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3130" windowHeight="429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M1820" i="61" l="1"/>
  <c r="L1820" i="61"/>
  <c r="J1820" i="61"/>
  <c r="T1683" i="61"/>
  <c r="U1680" i="61"/>
  <c r="K1680" i="61"/>
  <c r="T1680" i="61" s="1"/>
  <c r="L1680" i="61"/>
  <c r="K1681" i="61"/>
  <c r="T1681" i="61" s="1"/>
  <c r="L1681" i="61"/>
  <c r="U1681" i="61" s="1"/>
  <c r="K1682" i="61"/>
  <c r="T1682" i="61" s="1"/>
  <c r="L1682" i="61"/>
  <c r="U1682" i="61" s="1"/>
  <c r="K1683" i="61"/>
  <c r="L1683" i="61"/>
  <c r="U1683" i="61" s="1"/>
  <c r="L1679" i="61"/>
  <c r="U1679" i="61" s="1"/>
  <c r="K1679" i="61"/>
  <c r="T1679" i="61" s="1"/>
  <c r="J1683" i="61"/>
  <c r="J53" i="61"/>
  <c r="J52" i="61"/>
  <c r="G52" i="61"/>
  <c r="A4" i="41"/>
  <c r="P332" i="11"/>
  <c r="O332" i="11"/>
  <c r="M303" i="11"/>
  <c r="U166" i="11"/>
  <c r="T166" i="11"/>
  <c r="U165" i="11"/>
  <c r="T165" i="11"/>
  <c r="U164" i="11"/>
  <c r="T164" i="11"/>
  <c r="U163" i="11"/>
  <c r="T163" i="11"/>
  <c r="U162" i="11"/>
  <c r="T162" i="11"/>
  <c r="M162" i="11" s="1"/>
  <c r="M1679" i="61" l="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X770"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FZ760" i="61" l="1"/>
  <c r="IL766" i="61"/>
  <c r="N99" i="61"/>
  <c r="BW782" i="61"/>
  <c r="CE774" i="61"/>
  <c r="BX757" i="61"/>
  <c r="DB789" i="61"/>
  <c r="DC781" i="61"/>
  <c r="BU773" i="61"/>
  <c r="BW765" i="61"/>
  <c r="EY754" i="6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M853" i="61"/>
  <c r="M820" i="61"/>
  <c r="J809"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R16" i="59"/>
  <c r="R759" i="61" s="1"/>
  <c r="Q758" i="61"/>
  <c r="L1835" i="61"/>
  <c r="P69" i="61"/>
  <c r="L318" i="11"/>
  <c r="J1743" i="61"/>
  <c r="N69" i="61"/>
  <c r="J226" i="1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77"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8" i="6"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O302" i="11" l="1"/>
  <c r="P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l="1"/>
  <c r="P378" i="11"/>
  <c r="J165" i="11" s="1"/>
  <c r="J1682" i="61" s="1"/>
  <c r="O1895" i="61"/>
  <c r="I165" i="11"/>
  <c r="G984" i="61"/>
  <c r="L356" i="11"/>
  <c r="L355" i="11"/>
  <c r="P1895" i="61" l="1"/>
  <c r="I1682" i="61"/>
  <c r="O165" i="11"/>
  <c r="O1682" i="61" s="1"/>
  <c r="E1007" i="61"/>
  <c r="H984" i="61"/>
  <c r="L341" i="11"/>
  <c r="R1682" i="61" l="1"/>
  <c r="F1007" i="61"/>
  <c r="G1007" i="61"/>
  <c r="I984" i="61"/>
  <c r="P1819" i="61"/>
  <c r="H1007" i="61" l="1"/>
  <c r="J984"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F1037" i="61"/>
  <c r="H1014" i="61"/>
  <c r="J174" i="11"/>
  <c r="G1037" i="61" l="1"/>
  <c r="I1014" i="61"/>
  <c r="H1037" i="61" l="1"/>
  <c r="J1014" i="61"/>
  <c r="K1014" i="61" l="1"/>
  <c r="I1037" i="61" l="1"/>
  <c r="B1044" i="61"/>
  <c r="J1037" i="61"/>
  <c r="O164" i="15"/>
  <c r="A2" i="41"/>
  <c r="M387" i="11"/>
  <c r="C1044" i="61" l="1"/>
  <c r="V145" i="15"/>
  <c r="V129" i="15"/>
  <c r="V125" i="15"/>
  <c r="V117" i="15"/>
  <c r="V111" i="15"/>
  <c r="V105" i="15"/>
  <c r="V91" i="15"/>
  <c r="V83" i="15"/>
  <c r="V77" i="15"/>
  <c r="V38" i="15"/>
  <c r="V33" i="15"/>
  <c r="V27" i="15"/>
  <c r="V23" i="15"/>
  <c r="V17" i="15"/>
  <c r="K1037" i="61" l="1"/>
  <c r="B1067" i="61"/>
  <c r="D1044" i="61"/>
  <c r="V131" i="15"/>
  <c r="C1067" i="61" l="1"/>
  <c r="E1044" i="61"/>
  <c r="H4" i="51"/>
  <c r="E5" i="51"/>
  <c r="E4" i="51"/>
  <c r="F1044" i="61" l="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I163" i="11" l="1"/>
  <c r="O163" i="11" s="1"/>
  <c r="O1680" i="61" s="1"/>
  <c r="J163" i="11"/>
  <c r="J1680" i="61" s="1"/>
  <c r="P1560" i="61"/>
  <c r="J162" i="11"/>
  <c r="J1679" i="61" s="1"/>
  <c r="O1560" i="61"/>
  <c r="I162" i="11"/>
  <c r="I1679" i="61" l="1"/>
  <c r="O162" i="11"/>
  <c r="O1679" i="61" s="1"/>
  <c r="I1680" i="61"/>
  <c r="R1680" i="61" s="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O362" i="11" l="1"/>
  <c r="O1879" i="61" s="1"/>
  <c r="P362" i="11"/>
  <c r="P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59"/>
  <c r="U1" i="59" s="1"/>
  <c r="A1" i="15"/>
  <c r="A1" i="18"/>
  <c r="A1" i="6"/>
  <c r="A1" i="29"/>
  <c r="A1" i="3"/>
  <c r="A1" i="7"/>
  <c r="A1" i="8"/>
  <c r="M1905" i="61"/>
  <c r="A364" i="61"/>
  <c r="A1965" i="61"/>
  <c r="A3" i="61"/>
  <c r="J54" i="61"/>
  <c r="G1762" i="61"/>
  <c r="I697" i="61"/>
  <c r="M1907" i="61"/>
  <c r="A3" i="41"/>
  <c r="M390" i="11"/>
  <c r="M388" i="11"/>
  <c r="G245" i="11"/>
  <c r="C45" i="55"/>
  <c r="C33" i="57"/>
  <c r="E17" i="54"/>
  <c r="C31" i="55" s="1"/>
  <c r="I30" i="7"/>
  <c r="I55" i="61" s="1"/>
  <c r="H8" i="50"/>
  <c r="F14" i="49" s="1"/>
  <c r="A3" i="48" s="1"/>
  <c r="B28" i="8" l="1"/>
  <c r="C28" i="8" l="1"/>
  <c r="D28" i="8" s="1"/>
  <c r="E28" i="8" s="1"/>
  <c r="F28" i="8" s="1"/>
  <c r="G28" i="8" s="1"/>
  <c r="H28" i="8" s="1"/>
  <c r="I28" i="8" s="1"/>
  <c r="J28" i="8" s="1"/>
  <c r="K28" i="8" s="1"/>
  <c r="B58" i="8" s="1"/>
  <c r="C58" i="8" s="1"/>
  <c r="D58" i="8" s="1"/>
  <c r="E58" i="8" s="1"/>
  <c r="F58" i="8" s="1"/>
  <c r="G58" i="8" s="1"/>
  <c r="H58" i="8" s="1"/>
  <c r="I58" i="8" s="1"/>
  <c r="J58" i="8" s="1"/>
  <c r="K58" i="8" s="1"/>
  <c r="B88" i="8" s="1"/>
  <c r="C88" i="8" s="1"/>
  <c r="D88" i="8" s="1"/>
  <c r="E88" i="8" s="1"/>
  <c r="F88" i="8" s="1"/>
  <c r="G88" i="8" s="1"/>
  <c r="H88" i="8" s="1"/>
  <c r="I88" i="8" s="1"/>
  <c r="J88" i="8" s="1"/>
  <c r="K88" i="8" s="1"/>
  <c r="B118" i="8" s="1"/>
  <c r="C118" i="8" s="1"/>
  <c r="D118" i="8" s="1"/>
  <c r="E118" i="8" s="1"/>
  <c r="F118" i="8" s="1"/>
  <c r="L316" i="1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O1681" i="61" s="1"/>
  <c r="N42" i="3"/>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N405" i="61"/>
  <c r="B29" i="8"/>
  <c r="B23" i="8"/>
  <c r="N400" i="61"/>
  <c r="F115" i="8"/>
  <c r="F123" i="8" s="1"/>
  <c r="B115" i="8"/>
  <c r="B123" i="8" s="1"/>
  <c r="E115" i="8"/>
  <c r="E123" i="8" s="1"/>
  <c r="C115" i="8"/>
  <c r="C123" i="8" s="1"/>
  <c r="D115" i="8"/>
  <c r="D123" i="8" s="1"/>
  <c r="D116" i="8"/>
  <c r="C116" i="8"/>
  <c r="F116" i="8"/>
  <c r="B116" i="8"/>
  <c r="E116" i="8"/>
  <c r="F113" i="8"/>
  <c r="B113" i="8"/>
  <c r="E113" i="8"/>
  <c r="D113" i="8"/>
  <c r="C113" i="8"/>
  <c r="D114" i="8"/>
  <c r="D122" i="8" s="1"/>
  <c r="C114" i="8"/>
  <c r="C122" i="8" s="1"/>
  <c r="F114" i="8"/>
  <c r="F122" i="8" s="1"/>
  <c r="B114" i="8"/>
  <c r="B122" i="8" s="1"/>
  <c r="E114" i="8"/>
  <c r="E122" i="8" s="1"/>
  <c r="B25" i="8"/>
  <c r="B33" i="8" s="1"/>
  <c r="B24" i="8"/>
  <c r="B32" i="8" s="1"/>
  <c r="B26" i="8"/>
  <c r="B34" i="8" s="1"/>
  <c r="F1065" i="61" l="1"/>
  <c r="F124" i="8"/>
  <c r="C1065" i="61"/>
  <c r="C124" i="8"/>
  <c r="E1065" i="61"/>
  <c r="E124" i="8"/>
  <c r="D1065" i="61"/>
  <c r="D124" i="8"/>
  <c r="B1065" i="61"/>
  <c r="B124" i="8"/>
  <c r="D1064" i="61"/>
  <c r="F1064" i="61"/>
  <c r="C1064" i="61"/>
  <c r="E1064" i="61"/>
  <c r="B1064" i="61"/>
  <c r="F1063" i="61"/>
  <c r="C1063" i="61"/>
  <c r="E1063" i="61"/>
  <c r="D1063" i="61"/>
  <c r="B1063" i="61"/>
  <c r="D125" i="8"/>
  <c r="D121" i="8"/>
  <c r="E125" i="8"/>
  <c r="E121" i="8"/>
  <c r="B125" i="8"/>
  <c r="B121" i="8"/>
  <c r="C125" i="8"/>
  <c r="C121" i="8"/>
  <c r="F125" i="8"/>
  <c r="F121" i="8"/>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K1035" i="61" l="1"/>
  <c r="K94" i="8"/>
  <c r="D975" i="61"/>
  <c r="D34" i="8"/>
  <c r="H975" i="61"/>
  <c r="H34" i="8"/>
  <c r="B1005" i="61"/>
  <c r="B64" i="8"/>
  <c r="F1005" i="61"/>
  <c r="F64" i="8"/>
  <c r="J1005" i="61"/>
  <c r="J64" i="8"/>
  <c r="D1035" i="61"/>
  <c r="D94" i="8"/>
  <c r="H1035" i="61"/>
  <c r="H94" i="8"/>
  <c r="C975" i="61"/>
  <c r="C34" i="8"/>
  <c r="G1035" i="61"/>
  <c r="G94" i="8"/>
  <c r="E975" i="61"/>
  <c r="E34" i="8"/>
  <c r="I975" i="61"/>
  <c r="I34" i="8"/>
  <c r="C1005" i="61"/>
  <c r="C64" i="8"/>
  <c r="G1005" i="61"/>
  <c r="G64" i="8"/>
  <c r="K1005" i="61"/>
  <c r="K64" i="8"/>
  <c r="E1035" i="61"/>
  <c r="E94" i="8"/>
  <c r="I1035" i="61"/>
  <c r="I94" i="8"/>
  <c r="G975" i="61"/>
  <c r="G34" i="8"/>
  <c r="K975" i="61"/>
  <c r="K34" i="8"/>
  <c r="E1005" i="61"/>
  <c r="E64" i="8"/>
  <c r="I1005" i="61"/>
  <c r="I64" i="8"/>
  <c r="C1035" i="61"/>
  <c r="C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l="1"/>
  <c r="L395" i="61" s="1"/>
  <c r="C41" i="8"/>
  <c r="C982" i="61" s="1"/>
  <c r="F114" i="15"/>
  <c r="F113" i="15"/>
  <c r="F115" i="15"/>
  <c r="F116"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A58" i="26"/>
  <c r="G58" i="26"/>
  <c r="A1" i="25"/>
  <c r="O30" i="7"/>
  <c r="I3" i="29"/>
  <c r="A50" i="25"/>
  <c r="A1" i="26"/>
  <c r="A3" i="37"/>
  <c r="N30" i="7"/>
  <c r="D41" i="8" l="1"/>
  <c r="D982" i="61" s="1"/>
  <c r="E1868" i="61"/>
  <c r="D476" i="61"/>
  <c r="D47" i="15"/>
  <c r="D133" i="15"/>
  <c r="P1135" i="61"/>
  <c r="I418" i="61"/>
  <c r="I1788" i="61"/>
  <c r="I1868" i="61"/>
  <c r="L1868" i="61" s="1"/>
  <c r="P1134" i="61"/>
  <c r="M1906" i="61"/>
  <c r="M749" i="61"/>
  <c r="O55" i="61"/>
  <c r="O749" i="61"/>
  <c r="D980" i="61"/>
  <c r="E39" i="8"/>
  <c r="F979" i="61"/>
  <c r="G38" i="8"/>
  <c r="G11" i="51"/>
  <c r="J44" i="15"/>
  <c r="F43" i="15"/>
  <c r="J43" i="15"/>
  <c r="F44" i="15"/>
  <c r="P46" i="6"/>
  <c r="L68" i="6" s="1"/>
  <c r="O6" i="59"/>
  <c r="R15" i="59" s="1"/>
  <c r="R758" i="61" s="1"/>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E41" i="8" l="1"/>
  <c r="E982" i="61" s="1"/>
  <c r="R12" i="59"/>
  <c r="R755" i="61" s="1"/>
  <c r="R14" i="59"/>
  <c r="R757" i="61" s="1"/>
  <c r="R13" i="59"/>
  <c r="R756" i="61" s="1"/>
  <c r="R10" i="59"/>
  <c r="R753" i="61" s="1"/>
  <c r="R11" i="59"/>
  <c r="R754" i="61" s="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F41" i="8" l="1"/>
  <c r="F982" i="61" s="1"/>
  <c r="P411" i="61"/>
  <c r="F980" i="6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G41" i="8" l="1"/>
  <c r="G982" i="61"/>
  <c r="H41" i="8"/>
  <c r="P913" i="61"/>
  <c r="P170" i="59"/>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H982" i="61" l="1"/>
  <c r="I41" i="8"/>
  <c r="N171" i="59"/>
  <c r="P176" i="59"/>
  <c r="N172" i="59"/>
  <c r="P919" i="61"/>
  <c r="N915" i="61"/>
  <c r="N914" i="61"/>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I982" i="61" l="1"/>
  <c r="J41" i="8"/>
  <c r="N920" i="61"/>
  <c r="P933" i="61"/>
  <c r="F549" i="61"/>
  <c r="N177" i="59"/>
  <c r="P190" i="59"/>
  <c r="F550" i="61"/>
  <c r="F121" i="15"/>
  <c r="F120" i="15"/>
  <c r="B19"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J982" i="61" l="1"/>
  <c r="K41" i="8"/>
  <c r="B36" i="8"/>
  <c r="F109" i="8"/>
  <c r="I49" i="8"/>
  <c r="G19" i="8"/>
  <c r="J19" i="8"/>
  <c r="B79" i="8"/>
  <c r="D19" i="8"/>
  <c r="C19" i="8"/>
  <c r="I79" i="8"/>
  <c r="F79" i="8"/>
  <c r="D109" i="8"/>
  <c r="H19" i="8"/>
  <c r="C79" i="8"/>
  <c r="F19" i="8"/>
  <c r="J79" i="8"/>
  <c r="G79" i="8"/>
  <c r="D49" i="8"/>
  <c r="I19" i="8"/>
  <c r="E109" i="8"/>
  <c r="B109" i="8"/>
  <c r="E49" i="8"/>
  <c r="C49" i="8"/>
  <c r="D79" i="8"/>
  <c r="F49" i="8"/>
  <c r="B49" i="8"/>
  <c r="K49" i="8"/>
  <c r="K79" i="8"/>
  <c r="C109" i="8"/>
  <c r="J49" i="8"/>
  <c r="H79" i="8"/>
  <c r="E19" i="8"/>
  <c r="K19" i="8"/>
  <c r="G49" i="8"/>
  <c r="H49" i="8"/>
  <c r="E79" i="8"/>
  <c r="B977"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H21" i="8"/>
  <c r="C111" i="8"/>
  <c r="I21" i="8"/>
  <c r="C21" i="8"/>
  <c r="K51" i="8"/>
  <c r="H81" i="8"/>
  <c r="B51" i="8"/>
  <c r="D111" i="8"/>
  <c r="D112" i="8" s="1"/>
  <c r="D21" i="8"/>
  <c r="D81" i="8"/>
  <c r="C81" i="8"/>
  <c r="D51" i="8"/>
  <c r="J51" i="8"/>
  <c r="G51" i="8"/>
  <c r="F81" i="8"/>
  <c r="F82" i="8" s="1"/>
  <c r="C13" i="51"/>
  <c r="I51" i="8"/>
  <c r="H51" i="8"/>
  <c r="J21" i="8"/>
  <c r="F21" i="8"/>
  <c r="G81" i="8"/>
  <c r="G82" i="8" s="1"/>
  <c r="K21" i="8"/>
  <c r="E81" i="8"/>
  <c r="B111" i="8"/>
  <c r="E111" i="8"/>
  <c r="C51" i="8"/>
  <c r="G33" i="51" s="1"/>
  <c r="E76" i="50"/>
  <c r="E73" i="50" s="1"/>
  <c r="I76" i="50"/>
  <c r="I73" i="50" s="1"/>
  <c r="K76" i="50"/>
  <c r="K73" i="50" s="1"/>
  <c r="G76" i="50"/>
  <c r="G73" i="50" s="1"/>
  <c r="K982" i="61" l="1"/>
  <c r="B71" i="8"/>
  <c r="E96" i="8"/>
  <c r="K96" i="8"/>
  <c r="D96" i="8"/>
  <c r="J96" i="8"/>
  <c r="C82" i="8"/>
  <c r="E36" i="8"/>
  <c r="E126" i="8"/>
  <c r="D36" i="8"/>
  <c r="I66" i="8"/>
  <c r="H66" i="8"/>
  <c r="H96" i="8"/>
  <c r="K66" i="8"/>
  <c r="C66" i="8"/>
  <c r="B96" i="8"/>
  <c r="K36" i="8"/>
  <c r="C126" i="8"/>
  <c r="F66" i="8"/>
  <c r="B126" i="8"/>
  <c r="G96" i="8"/>
  <c r="H36" i="8"/>
  <c r="C36" i="8"/>
  <c r="G36" i="8"/>
  <c r="D126" i="8"/>
  <c r="I36" i="8"/>
  <c r="F36" i="8"/>
  <c r="F96" i="8"/>
  <c r="F126" i="8"/>
  <c r="G66" i="8"/>
  <c r="J66" i="8"/>
  <c r="E66" i="8"/>
  <c r="D66" i="8"/>
  <c r="C96" i="8"/>
  <c r="I96" i="8"/>
  <c r="J36" i="8"/>
  <c r="I82" i="8"/>
  <c r="E112" i="8"/>
  <c r="D82" i="8"/>
  <c r="J82" i="8"/>
  <c r="B112" i="8"/>
  <c r="H82" i="8"/>
  <c r="C112" i="8"/>
  <c r="B82" i="8"/>
  <c r="B66" i="8"/>
  <c r="F54" i="51"/>
  <c r="D54" i="51"/>
  <c r="G54" i="51"/>
  <c r="H54" i="51"/>
  <c r="E54" i="51"/>
  <c r="C54" i="51"/>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B1012" i="61" l="1"/>
  <c r="C71" i="8"/>
  <c r="M601" i="61"/>
  <c r="J603" i="61"/>
  <c r="E528" i="61" s="1"/>
  <c r="J174" i="15"/>
  <c r="M172" i="15"/>
  <c r="B1010" i="61"/>
  <c r="C69" i="8"/>
  <c r="D1009" i="61"/>
  <c r="E68" i="8"/>
  <c r="H31" i="51"/>
  <c r="P1523" i="61"/>
  <c r="L343" i="11"/>
  <c r="L1860" i="61" s="1"/>
  <c r="O1646" i="61"/>
  <c r="C1012" i="61" l="1"/>
  <c r="D71" i="8"/>
  <c r="L45" i="3"/>
  <c r="N45" i="3" s="1"/>
  <c r="M61" i="49"/>
  <c r="P61" i="49" s="1"/>
  <c r="L409" i="61"/>
  <c r="N409" i="61" s="1"/>
  <c r="C21" i="51"/>
  <c r="J7" i="7"/>
  <c r="E99" i="15"/>
  <c r="L408" i="61"/>
  <c r="N408" i="61" s="1"/>
  <c r="L46" i="3"/>
  <c r="N46" i="3" s="1"/>
  <c r="C1010" i="61"/>
  <c r="D69" i="8"/>
  <c r="E1009" i="61"/>
  <c r="F68" i="8"/>
  <c r="I31" i="51"/>
  <c r="D1012" i="61" l="1"/>
  <c r="E71" i="8"/>
  <c r="C41" i="51"/>
  <c r="D41" i="51" s="1"/>
  <c r="E41" i="51" s="1"/>
  <c r="C22" i="51"/>
  <c r="C42" i="51" s="1"/>
  <c r="D42" i="51" s="1"/>
  <c r="E42" i="51" s="1"/>
  <c r="D21" i="51"/>
  <c r="D1010" i="61"/>
  <c r="E69" i="8"/>
  <c r="F1009" i="61"/>
  <c r="G68" i="8"/>
  <c r="C51" i="51"/>
  <c r="E1012" i="61" l="1"/>
  <c r="F71" i="8"/>
  <c r="E21" i="51"/>
  <c r="D22" i="51"/>
  <c r="E1010" i="61"/>
  <c r="F69" i="8"/>
  <c r="G1009" i="61"/>
  <c r="H68" i="8"/>
  <c r="D51" i="51"/>
  <c r="F1012" i="61" l="1"/>
  <c r="G71" i="8"/>
  <c r="F21" i="51"/>
  <c r="E22" i="51"/>
  <c r="G69" i="8"/>
  <c r="F1010" i="61"/>
  <c r="H1009" i="61"/>
  <c r="I68" i="8"/>
  <c r="E51" i="51"/>
  <c r="G1012" i="61" l="1"/>
  <c r="H71" i="8"/>
  <c r="F22" i="51"/>
  <c r="G21" i="51"/>
  <c r="H69" i="8"/>
  <c r="G1010" i="61"/>
  <c r="I1009" i="61"/>
  <c r="J68" i="8"/>
  <c r="F51" i="51"/>
  <c r="H1012" i="61" l="1"/>
  <c r="I71" i="8"/>
  <c r="H21" i="51"/>
  <c r="G22" i="51"/>
  <c r="I69" i="8"/>
  <c r="H1010" i="61"/>
  <c r="J1009" i="61"/>
  <c r="K68" i="8"/>
  <c r="G51" i="51"/>
  <c r="I1012" i="61" l="1"/>
  <c r="J71" i="8"/>
  <c r="H22" i="51"/>
  <c r="I21" i="51"/>
  <c r="I22" i="51" s="1"/>
  <c r="I1010" i="61"/>
  <c r="J69" i="8"/>
  <c r="K1009" i="61"/>
  <c r="B98" i="8"/>
  <c r="H51" i="51"/>
  <c r="J1012" i="61" l="1"/>
  <c r="K71" i="8"/>
  <c r="J1010" i="61"/>
  <c r="K69" i="8"/>
  <c r="B1039" i="61"/>
  <c r="C98" i="8"/>
  <c r="K1012" i="61" l="1"/>
  <c r="B101" i="8"/>
  <c r="K1010" i="61"/>
  <c r="B99" i="8"/>
  <c r="C1039" i="61"/>
  <c r="D98" i="8"/>
  <c r="B1042" i="61" l="1"/>
  <c r="C101" i="8"/>
  <c r="B1040" i="61"/>
  <c r="C99" i="8"/>
  <c r="D1039" i="61"/>
  <c r="E98" i="8"/>
  <c r="C1042" i="61" l="1"/>
  <c r="D101" i="8"/>
  <c r="C1040" i="61"/>
  <c r="D99" i="8"/>
  <c r="E1039" i="61"/>
  <c r="F98" i="8"/>
  <c r="D1042" i="61" l="1"/>
  <c r="E101" i="8"/>
  <c r="D1040" i="61"/>
  <c r="E99" i="8"/>
  <c r="F1039" i="61"/>
  <c r="G98" i="8"/>
  <c r="E1042" i="61" l="1"/>
  <c r="F101" i="8"/>
  <c r="E1040" i="61"/>
  <c r="F99" i="8"/>
  <c r="G1039" i="61"/>
  <c r="H98" i="8"/>
  <c r="F1042" i="61" l="1"/>
  <c r="G101" i="8"/>
  <c r="F1040" i="61"/>
  <c r="G99" i="8"/>
  <c r="H1039" i="61"/>
  <c r="I98" i="8"/>
  <c r="G1042" i="61" l="1"/>
  <c r="H101" i="8"/>
  <c r="G1040" i="61"/>
  <c r="H99" i="8"/>
  <c r="I1039" i="61"/>
  <c r="J98" i="8"/>
  <c r="H1042" i="61" l="1"/>
  <c r="I101" i="8"/>
  <c r="H1040" i="61"/>
  <c r="I99" i="8"/>
  <c r="J1039" i="61"/>
  <c r="K98" i="8"/>
  <c r="I1042" i="61" l="1"/>
  <c r="J101" i="8"/>
  <c r="I1040" i="61"/>
  <c r="J99" i="8"/>
  <c r="K1039" i="61"/>
  <c r="B128" i="8"/>
  <c r="J1042" i="61" l="1"/>
  <c r="K101" i="8"/>
  <c r="J1040" i="61"/>
  <c r="K99" i="8"/>
  <c r="B1069" i="61"/>
  <c r="C128" i="8"/>
  <c r="K1042" i="61" l="1"/>
  <c r="B131" i="8"/>
  <c r="B129" i="8"/>
  <c r="K1040" i="61"/>
  <c r="C1069" i="61"/>
  <c r="D128" i="8"/>
  <c r="B1072" i="61" l="1"/>
  <c r="C131" i="8"/>
  <c r="B1070" i="61"/>
  <c r="C129" i="8"/>
  <c r="D1069" i="61"/>
  <c r="E128" i="8"/>
  <c r="B30" i="8"/>
  <c r="C23" i="8"/>
  <c r="D23" i="8"/>
  <c r="E23" i="8"/>
  <c r="F23" i="8"/>
  <c r="G23" i="8"/>
  <c r="H23" i="8"/>
  <c r="I23" i="8"/>
  <c r="J23" i="8"/>
  <c r="K23" i="8"/>
  <c r="D30" i="8"/>
  <c r="B53" i="8"/>
  <c r="C53" i="8"/>
  <c r="D53" i="8"/>
  <c r="D60" i="8" s="1"/>
  <c r="E53" i="8"/>
  <c r="F53" i="8"/>
  <c r="G53" i="8"/>
  <c r="H53" i="8"/>
  <c r="I53" i="8"/>
  <c r="J53" i="8"/>
  <c r="K53" i="8"/>
  <c r="E60" i="8"/>
  <c r="B83" i="8"/>
  <c r="C83" i="8"/>
  <c r="D83" i="8"/>
  <c r="D90" i="8" s="1"/>
  <c r="E83" i="8"/>
  <c r="F83" i="8"/>
  <c r="G83" i="8"/>
  <c r="H83" i="8"/>
  <c r="I83" i="8"/>
  <c r="J83" i="8"/>
  <c r="K83" i="8"/>
  <c r="E90" i="8"/>
  <c r="C1072" i="61" l="1"/>
  <c r="D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D1072" i="61" l="1"/>
  <c r="E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F9" i="51"/>
  <c r="C49" i="51"/>
  <c r="G29" i="51"/>
  <c r="G49" i="51"/>
  <c r="C29" i="51"/>
  <c r="I9" i="51"/>
  <c r="F49" i="51"/>
  <c r="H9" i="51"/>
  <c r="E49" i="51"/>
  <c r="D49" i="51"/>
  <c r="H49" i="51"/>
  <c r="D9" i="51"/>
  <c r="G9" i="51"/>
  <c r="D29" i="51"/>
  <c r="E29" i="51"/>
  <c r="F29" i="51"/>
  <c r="D10" i="51"/>
  <c r="D37" i="8"/>
  <c r="D978" i="61" s="1"/>
  <c r="E1072" i="61" l="1"/>
  <c r="F131" i="8"/>
  <c r="F1072" i="61" s="1"/>
  <c r="D120" i="8"/>
  <c r="E1070" i="61"/>
  <c r="F129" i="8"/>
  <c r="F1070" i="61" s="1"/>
  <c r="D17" i="51"/>
  <c r="D18" i="51" s="1"/>
  <c r="D20" i="51" s="1"/>
  <c r="D24" i="51" s="1"/>
  <c r="K7" i="51" s="1"/>
  <c r="E10" i="51"/>
  <c r="E37" i="8"/>
  <c r="E978" i="61" s="1"/>
  <c r="E120" i="8" l="1"/>
  <c r="F10" i="51"/>
  <c r="F17" i="51" s="1"/>
  <c r="F18" i="51" s="1"/>
  <c r="F20" i="51" s="1"/>
  <c r="F24" i="51" s="1"/>
  <c r="K9" i="51" s="1"/>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<sst xmlns="http://schemas.openxmlformats.org/spreadsheetml/2006/main" count="12521" uniqueCount="4500">
  <si>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</si>
  <si>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</si>
  <si>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</si>
  <si>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</si>
  <si>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</si>
  <si>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</si>
  <si>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</si>
  <si>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</si>
  <si>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</si>
  <si>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</si>
  <si>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</si>
  <si>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</si>
  <si>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</si>
  <si>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</si>
  <si>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</si>
  <si>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</si>
  <si>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</si>
  <si>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</si>
  <si>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</si>
  <si>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</si>
  <si>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</si>
  <si>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</si>
  <si>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</si>
  <si>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</si>
  <si>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</si>
  <si>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</si>
  <si>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</si>
  <si>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</si>
  <si>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</si>
  <si>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</si>
  <si>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</si>
  <si>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</si>
  <si>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</si>
  <si>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</si>
  <si>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</si>
  <si>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</si>
  <si>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</si>
  <si>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</si>
  <si>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</si>
  <si>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</si>
  <si>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</si>
  <si>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</si>
  <si>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</si>
  <si>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</si>
  <si>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</si>
  <si>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</si>
  <si>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</si>
  <si>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</si>
  <si>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</si>
  <si>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</si>
  <si>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</si>
  <si>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</si>
  <si>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</si>
  <si>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</si>
  <si>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</si>
  <si>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</si>
  <si>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</si>
  <si>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</si>
  <si>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</si>
  <si>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</si>
  <si>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</si>
  <si>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</si>
  <si>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</si>
  <si>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</si>
  <si>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</si>
  <si>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</si>
  <si>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</si>
  <si>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</si>
  <si>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</si>
  <si>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</si>
  <si>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</si>
  <si>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</si>
  <si>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</si>
  <si>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</si>
  <si>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</si>
  <si>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</si>
  <si>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</si>
  <si>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</si>
  <si>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</si>
  <si>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</si>
  <si>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</si>
  <si>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</si>
  <si>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</si>
  <si>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</si>
  <si>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</si>
  <si>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</si>
  <si>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</si>
  <si>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</si>
  <si>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</si>
  <si>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</si>
  <si>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</si>
  <si>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</si>
  <si>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</si>
  <si>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</si>
  <si>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</si>
  <si>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</si>
  <si>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</si>
  <si>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</si>
  <si>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</si>
  <si>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</si>
  <si>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</si>
  <si>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</si>
  <si>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</si>
  <si>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</si>
  <si>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</si>
  <si>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</si>
  <si>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</si>
  <si>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</si>
  <si>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</si>
  <si>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</si>
  <si>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</si>
  <si>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</si>
  <si>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</si>
  <si>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</si>
  <si>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</si>
  <si>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</si>
  <si>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</si>
  <si>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</si>
  <si>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</si>
  <si>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</si>
  <si>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</si>
  <si>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</si>
  <si>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</si>
  <si>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</si>
  <si>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</si>
  <si>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</si>
  <si>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</si>
  <si>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</si>
  <si>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</si>
  <si>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</si>
  <si>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</si>
  <si>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</si>
  <si>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</si>
  <si>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</si>
  <si>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</si>
  <si>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</si>
  <si>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</si>
  <si>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</si>
  <si>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</si>
  <si>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</si>
  <si>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</si>
  <si>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</si>
  <si>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</si>
  <si>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</si>
  <si>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</si>
  <si>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</si>
  <si>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</si>
  <si>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</si>
  <si>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</si>
  <si>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</si>
  <si>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</si>
  <si>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</si>
  <si>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</si>
  <si>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</si>
  <si>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</si>
  <si>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</si>
  <si>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</si>
  <si>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</si>
  <si>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</si>
  <si>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</si>
  <si>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</si>
  <si>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</si>
  <si>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</si>
  <si>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</si>
  <si>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</si>
  <si>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</si>
  <si>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</si>
  <si>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</si>
  <si>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</si>
  <si>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</si>
  <si>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</si>
  <si>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</si>
  <si>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</si>
  <si>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</si>
  <si>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</si>
  <si>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</si>
  <si>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</si>
  <si>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</si>
  <si>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</si>
  <si>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</si>
  <si>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</si>
  <si>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</si>
  <si>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</si>
  <si>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</si>
  <si>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</si>
  <si>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</si>
  <si>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</si>
  <si>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</si>
  <si>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</si>
  <si>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</si>
  <si>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</si>
  <si>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</si>
  <si>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</si>
  <si>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</si>
  <si>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</si>
  <si>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</si>
  <si>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</si>
  <si>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</si>
  <si>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</si>
  <si>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</si>
  <si>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</si>
  <si>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</si>
  <si>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</si>
  <si>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</si>
  <si>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</si>
  <si>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</si>
  <si>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</si>
  <si>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</si>
  <si>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</si>
  <si>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</si>
  <si>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</si>
  <si>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</si>
  <si>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</si>
  <si>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</si>
  <si>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</si>
  <si>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</si>
  <si>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</si>
  <si>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</si>
  <si>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</si>
  <si>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</si>
  <si>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</si>
  <si>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</si>
  <si>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</si>
  <si>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</si>
  <si>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</si>
  <si>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</si>
  <si>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</si>
  <si>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</si>
  <si>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</si>
  <si>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</si>
  <si>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</si>
  <si>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</si>
  <si>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</si>
  <si>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</si>
  <si>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</si>
  <si>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</si>
  <si>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</si>
  <si>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</si>
  <si>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</si>
  <si>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</si>
  <si>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</si>
  <si>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</si>
  <si>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</si>
  <si>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</si>
  <si>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</si>
  <si>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</si>
  <si>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</si>
  <si>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</si>
  <si>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</si>
  <si>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</si>
  <si>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</si>
  <si>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</si>
  <si>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</si>
  <si>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</si>
  <si>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</si>
  <si>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</si>
  <si>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</si>
  <si>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</si>
  <si>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</si>
  <si>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</si>
  <si>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</si>
  <si>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</si>
  <si>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</si>
  <si>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</si>
  <si>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</si>
  <si>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</si>
  <si>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</si>
  <si>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</si>
  <si>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</si>
  <si>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</si>
  <si>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</si>
  <si>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</si>
  <si>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</si>
  <si>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</si>
  <si>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</si>
  <si>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</si>
  <si>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</si>
  <si>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</si>
  <si>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</si>
  <si>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</si>
  <si>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</si>
  <si>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</si>
  <si>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</si>
  <si>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</si>
  <si>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</si>
  <si>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</si>
  <si>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</si>
  <si>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</si>
  <si>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</si>
  <si>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</si>
  <si>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</si>
  <si>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</si>
  <si>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</si>
  <si>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</si>
  <si>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</si>
  <si>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</si>
  <si>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</si>
  <si>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</si>
  <si>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</si>
  <si>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</si>
  <si>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</si>
  <si>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</si>
  <si>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</si>
  <si>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</si>
  <si>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</si>
  <si>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</si>
  <si>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</si>
  <si>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</si>
  <si>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</si>
  <si>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</si>
  <si>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</si>
  <si>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</si>
  <si>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</si>
  <si>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</si>
  <si>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</si>
  <si>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</si>
  <si>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</si>
  <si>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</si>
  <si>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</si>
  <si>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</si>
  <si>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</si>
  <si>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</si>
  <si>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</si>
  <si>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</si>
  <si>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</si>
  <si>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</si>
  <si>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</si>
  <si>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</si>
  <si>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</si>
  <si>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</si>
  <si>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</si>
  <si>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</si>
  <si>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</si>
  <si>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</si>
  <si>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</si>
  <si>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</si>
  <si>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</si>
  <si>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</si>
  <si>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</si>
  <si>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</si>
  <si>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</si>
  <si>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</si>
  <si>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</si>
  <si>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</si>
  <si>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</si>
  <si>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</si>
  <si>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</si>
  <si>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</si>
  <si>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</si>
  <si>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</si>
  <si>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</si>
  <si>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</si>
  <si>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</si>
  <si>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</si>
  <si>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</si>
  <si>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</si>
  <si>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</si>
  <si>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</si>
  <si>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</si>
  <si>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</si>
  <si>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</si>
  <si>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</si>
  <si>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</si>
  <si>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</si>
  <si>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</si>
  <si>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</si>
  <si>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</si>
  <si>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</si>
  <si>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</si>
  <si>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</si>
  <si>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</si>
  <si>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</si>
  <si>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</si>
  <si>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</si>
  <si>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</si>
  <si>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</si>
  <si>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</si>
  <si>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</si>
  <si>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</si>
  <si>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</si>
  <si>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</si>
  <si>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</si>
  <si>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</si>
  <si>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</si>
  <si>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</si>
  <si>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</si>
  <si>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</si>
  <si>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</si>
  <si>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</si>
  <si>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</si>
  <si>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</si>
  <si>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</si>
  <si>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</si>
  <si>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</si>
  <si>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</si>
  <si>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</si>
  <si>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</si>
  <si>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</si>
  <si>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</si>
  <si>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</si>
  <si>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</si>
  <si>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</si>
  <si>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</si>
  <si>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</si>
  <si>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</si>
  <si>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</si>
  <si>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</si>
  <si>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</si>
  <si>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</si>
  <si>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</si>
  <si>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</si>
  <si>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</si>
  <si>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</si>
  <si>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</si>
  <si>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</si>
  <si>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</si>
  <si>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</si>
  <si>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</si>
  <si>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</si>
  <si>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</si>
  <si>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</si>
  <si>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</si>
  <si>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</si>
  <si>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</si>
  <si>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</si>
  <si>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</si>
  <si>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</si>
  <si>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</si>
  <si>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</si>
  <si>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</si>
  <si>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</si>
  <si>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</si>
  <si>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</si>
  <si>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</si>
  <si>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</si>
  <si>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</si>
  <si>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</si>
  <si>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</si>
  <si>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</si>
  <si>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</si>
  <si>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</si>
  <si>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</si>
  <si>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</si>
  <si>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</si>
  <si>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</si>
  <si>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</si>
  <si>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</si>
  <si>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</si>
  <si>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</si>
  <si>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</si>
  <si>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</si>
  <si>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</si>
  <si>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</si>
  <si>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</si>
  <si>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</si>
  <si>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</si>
  <si>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</si>
  <si>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</si>
  <si>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</si>
  <si>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</si>
  <si>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</si>
  <si>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</si>
  <si>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</si>
  <si>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</si>
  <si>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</si>
  <si>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</si>
  <si>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</si>
  <si>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</si>
  <si>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</si>
  <si>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</si>
  <si>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</si>
  <si>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</si>
  <si>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</si>
  <si>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</si>
  <si>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</si>
  <si>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</si>
  <si>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</si>
  <si>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</si>
  <si>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</si>
  <si>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</si>
  <si>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</si>
  <si>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</si>
  <si>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</si>
  <si>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</si>
  <si>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</si>
  <si>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</si>
  <si>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</si>
  <si>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</si>
  <si>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</si>
  <si>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</si>
  <si>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</si>
  <si>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</si>
  <si>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</si>
  <si>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</si>
  <si>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</si>
  <si>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</si>
  <si>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</si>
  <si>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</si>
  <si>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</si>
  <si>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</si>
  <si>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</si>
  <si>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</si>
  <si>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</si>
  <si>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</si>
  <si>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</si>
  <si>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</si>
  <si>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</si>
  <si>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</si>
  <si>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</si>
  <si>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</si>
  <si>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</si>
  <si>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</si>
  <si>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</si>
  <si>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</si>
  <si>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</si>
  <si>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</si>
  <si>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</si>
  <si>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</si>
  <si>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</si>
  <si>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</si>
  <si>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</si>
  <si>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</si>
  <si>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</si>
  <si>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</si>
  <si>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</si>
  <si>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</si>
  <si>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</si>
  <si>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</si>
  <si>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</si>
  <si>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</si>
  <si>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</si>
  <si>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</si>
  <si>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</si>
  <si>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</si>
  <si>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</si>
  <si>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</si>
  <si>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</si>
  <si>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</si>
  <si>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</si>
  <si>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</si>
  <si>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</si>
  <si>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</si>
  <si>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</si>
  <si>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</si>
  <si>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</si>
  <si>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</si>
  <si>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</si>
  <si>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</si>
  <si>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</si>
  <si>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</si>
  <si>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</si>
  <si>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</si>
  <si>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</si>
  <si>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</si>
  <si>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</si>
  <si>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</si>
  <si>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</si>
  <si>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</si>
  <si>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</si>
  <si>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</si>
  <si>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</si>
  <si>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</si>
  <si>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</si>
  <si>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</si>
  <si>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</si>
  <si>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</si>
  <si>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</si>
  <si>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</si>
  <si>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</si>
  <si>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</si>
  <si>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</si>
  <si>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</si>
  <si>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</si>
  <si>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</si>
  <si>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</si>
  <si>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</si>
  <si>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</si>
  <si>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</si>
  <si>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</si>
  <si>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</si>
  <si>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</si>
  <si>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</si>
  <si>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</si>
  <si>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</si>
  <si>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</si>
  <si>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</si>
  <si>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</si>
  <si>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</si>
  <si>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</si>
  <si>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</si>
  <si>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</si>
  <si>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</si>
  <si>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</si>
  <si>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</si>
  <si>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</si>
  <si>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</si>
  <si>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</si>
  <si>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</si>
  <si>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</si>
  <si>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</si>
  <si>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</si>
  <si>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</si>
  <si>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</si>
  <si>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</si>
  <si>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</si>
  <si>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</si>
  <si>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</si>
  <si>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</si>
  <si>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</si>
  <si>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</si>
  <si>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</si>
  <si>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</si>
  <si>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</si>
  <si>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</si>
  <si>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</si>
  <si>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</si>
  <si>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</si>
  <si>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</si>
  <si>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</si>
  <si>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</si>
  <si>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</si>
  <si>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</si>
  <si>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</si>
  <si>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</si>
  <si>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</si>
  <si>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</si>
  <si>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</si>
  <si>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</si>
  <si>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</si>
  <si>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</si>
  <si>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</si>
  <si>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</si>
  <si>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</si>
  <si>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</si>
  <si>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</si>
  <si>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</si>
  <si>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</si>
  <si>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</si>
  <si>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</si>
  <si>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</si>
  <si>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</si>
  <si>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</si>
  <si>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</si>
  <si>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</si>
  <si>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</si>
  <si>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</si>
  <si>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</si>
  <si>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</si>
  <si>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</si>
  <si>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</si>
  <si>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</si>
  <si>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</si>
  <si>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</si>
  <si>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</si>
  <si>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</si>
  <si>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</si>
  <si>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</si>
  <si>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</si>
  <si>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</si>
  <si>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</si>
  <si>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</si>
  <si>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</si>
  <si>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</si>
  <si>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</si>
  <si>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</si>
  <si>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</si>
  <si>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</si>
  <si>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</si>
  <si>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</si>
  <si>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</si>
  <si>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</si>
  <si>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</si>
  <si>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</si>
  <si>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</si>
  <si>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</si>
  <si>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</si>
  <si>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</si>
  <si>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</si>
  <si>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</si>
  <si>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</si>
  <si>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</si>
  <si>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</si>
  <si>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</si>
  <si>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</si>
  <si>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</si>
  <si>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</si>
  <si>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</si>
  <si>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</si>
  <si>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</si>
  <si>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</si>
  <si>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</si>
  <si>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</si>
  <si>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</si>
  <si>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</si>
  <si>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</si>
  <si>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</si>
  <si>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</si>
  <si>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</si>
  <si>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</si>
  <si>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</si>
  <si>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</si>
  <si>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</si>
  <si>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</si>
  <si>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</si>
  <si>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</si>
  <si>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</si>
  <si>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</si>
  <si>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</si>
  <si>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</si>
  <si>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</si>
  <si>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</si>
  <si>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</si>
  <si>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</si>
  <si>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</si>
  <si>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</si>
  <si>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</si>
  <si>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</si>
  <si>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</si>
  <si>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</si>
  <si>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</si>
  <si>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</si>
  <si>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</si>
  <si>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</si>
  <si>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</si>
  <si>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</si>
  <si>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</si>
  <si>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</si>
  <si>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</si>
  <si>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</si>
  <si>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</si>
  <si>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</si>
  <si>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</si>
  <si>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</si>
  <si>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</si>
  <si>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</si>
  <si>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</si>
  <si>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</si>
  <si>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</si>
  <si>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</si>
  <si>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</si>
  <si>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</si>
  <si>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</si>
  <si>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</si>
  <si>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</si>
  <si>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</si>
  <si>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</si>
  <si>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</si>
  <si>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</si>
  <si>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</si>
  <si>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</si>
  <si>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</si>
  <si>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</si>
  <si>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</si>
  <si>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</si>
  <si>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</si>
  <si>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</si>
  <si>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</si>
  <si>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</si>
  <si>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</si>
  <si>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</si>
  <si>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</si>
  <si>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</si>
  <si>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</si>
  <si>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</si>
  <si>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</si>
  <si>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</si>
  <si>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</si>
  <si>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</si>
  <si>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</si>
  <si>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</si>
  <si>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</si>
  <si>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</si>
  <si>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</si>
  <si>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</si>
  <si>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</si>
  <si>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</si>
  <si>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</si>
  <si>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</si>
  <si>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</si>
  <si>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</si>
  <si>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</si>
  <si>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</si>
  <si>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</si>
  <si>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</si>
  <si>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</si>
  <si>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</si>
  <si>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</si>
  <si>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</si>
  <si>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</si>
  <si>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</si>
  <si>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</si>
  <si>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</si>
  <si>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</si>
  <si>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</si>
  <si>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</si>
  <si>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</si>
  <si>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</si>
  <si>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</si>
  <si>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</si>
  <si>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</si>
  <si>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</si>
  <si>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</si>
  <si>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</si>
  <si>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</si>
  <si>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</si>
  <si>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</si>
  <si>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</si>
  <si>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</si>
  <si>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</si>
  <si>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</si>
  <si>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</si>
  <si>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</si>
  <si>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</si>
  <si>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</si>
  <si>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</si>
  <si>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</si>
  <si>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</si>
  <si>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</si>
  <si>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</si>
  <si>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</si>
  <si>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</si>
  <si>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</si>
  <si>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</si>
  <si>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</si>
  <si>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</si>
  <si>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</si>
  <si>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</si>
  <si>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</si>
  <si>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</si>
  <si>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</si>
  <si>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</si>
  <si>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</si>
  <si>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</si>
  <si>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</si>
  <si>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</si>
  <si>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</si>
  <si>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</si>
  <si>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</si>
  <si>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</si>
  <si>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</si>
  <si>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</si>
  <si>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</si>
  <si>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</si>
  <si>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</si>
  <si>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</si>
  <si>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</si>
  <si>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</si>
  <si>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</si>
  <si>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</si>
  <si>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</si>
  <si>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</si>
  <si>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</si>
  <si>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</si>
  <si>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</si>
  <si>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</si>
  <si>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</si>
  <si>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</si>
  <si>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</si>
  <si>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</si>
  <si>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</si>
  <si>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</si>
  <si>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</si>
  <si>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</si>
  <si>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</si>
  <si>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</si>
  <si>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</si>
  <si>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</si>
  <si>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</si>
  <si>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</si>
  <si>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</si>
  <si>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</si>
  <si>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</si>
  <si>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</si>
  <si>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</si>
  <si>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</si>
  <si>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</si>
  <si>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</si>
  <si>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</si>
  <si>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</si>
  <si>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</si>
  <si>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</si>
  <si>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</si>
  <si>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</si>
  <si>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</si>
  <si>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</si>
  <si>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</si>
  <si>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</si>
  <si>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</si>
  <si>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</si>
  <si>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</si>
  <si>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</si>
  <si>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</si>
  <si>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</si>
  <si>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</si>
  <si>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</si>
  <si>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</si>
  <si>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</si>
  <si>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</si>
  <si>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</si>
  <si>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</si>
  <si>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</si>
  <si>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</si>
  <si>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</si>
  <si>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</si>
  <si>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</si>
  <si>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</si>
  <si>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</si>
  <si>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</si>
  <si>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</si>
  <si>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</si>
  <si>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</si>
  <si>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</si>
  <si>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</si>
  <si>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</si>
  <si>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</si>
  <si>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</si>
  <si>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</si>
  <si>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</si>
  <si>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</si>
  <si>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</si>
  <si>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</si>
  <si>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</si>
  <si>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</si>
  <si>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</si>
  <si>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</si>
  <si>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</si>
  <si>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</si>
  <si>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</si>
  <si>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</si>
  <si>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</si>
  <si>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</si>
  <si>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</si>
  <si>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</si>
  <si>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</si>
  <si>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</si>
  <si>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</si>
  <si>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</si>
  <si>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</si>
  <si>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</si>
  <si>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</si>
  <si>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</si>
  <si>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</si>
  <si>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</si>
  <si>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</si>
  <si>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</si>
  <si>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</si>
  <si>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</si>
  <si>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</si>
  <si>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</si>
  <si>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</si>
  <si>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</si>
  <si>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</si>
  <si>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</si>
  <si>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</si>
  <si>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</si>
  <si>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</si>
  <si>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</si>
  <si>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</si>
  <si>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</si>
  <si>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</si>
  <si>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</si>
  <si>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</si>
  <si>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</si>
  <si>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</si>
  <si>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</si>
  <si>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</si>
  <si>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</si>
  <si>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</si>
  <si>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</si>
  <si>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</si>
  <si>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</si>
  <si>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</si>
  <si>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</si>
  <si>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</si>
  <si>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</si>
  <si>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</si>
  <si>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</si>
  <si>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</si>
  <si>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</si>
  <si>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</si>
  <si>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</si>
  <si>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</si>
  <si>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</si>
  <si>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</si>
  <si>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</si>
  <si>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</si>
  <si>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</si>
  <si>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</si>
  <si>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</si>
  <si>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</si>
  <si>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</si>
  <si>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</si>
  <si>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</si>
  <si>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</si>
  <si>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</si>
  <si>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</si>
  <si>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</si>
  <si>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</si>
  <si>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</si>
  <si>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</si>
  <si>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</si>
  <si>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</si>
  <si>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</si>
  <si>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</si>
  <si>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</si>
  <si>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</si>
  <si>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</si>
  <si>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</si>
  <si>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</si>
  <si>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</si>
  <si>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</si>
  <si>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</si>
  <si>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</si>
  <si>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</si>
  <si>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</si>
  <si>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</si>
  <si>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</si>
  <si>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</si>
  <si>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</si>
  <si>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</si>
  <si>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</si>
  <si>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</si>
  <si>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</si>
  <si>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</si>
  <si>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</si>
  <si>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</si>
  <si>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</si>
  <si>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</si>
  <si>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</si>
  <si>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</si>
  <si>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</si>
  <si>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</si>
  <si>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</si>
  <si>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</si>
  <si>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</si>
  <si>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</si>
  <si>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</si>
  <si>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</si>
  <si>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</si>
  <si>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</si>
  <si>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</si>
  <si>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</si>
  <si>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</si>
  <si>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</si>
  <si>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</si>
  <si>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</si>
  <si>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</si>
  <si>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</si>
  <si>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</si>
  <si>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</si>
  <si>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</si>
  <si>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</si>
  <si>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</si>
  <si>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</si>
  <si>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</si>
  <si>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</si>
  <si>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</si>
  <si>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</si>
  <si>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</si>
  <si>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</si>
  <si>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</si>
  <si>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</si>
  <si>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</si>
  <si>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</si>
  <si>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</si>
  <si>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</si>
  <si>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</si>
  <si>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</si>
  <si>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</si>
  <si>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</si>
  <si>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</si>
  <si>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</si>
  <si>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</si>
  <si>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</si>
  <si>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</si>
  <si>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</si>
  <si>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</si>
  <si>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</si>
  <si>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</si>
  <si>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</si>
  <si>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</si>
  <si>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</si>
  <si>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</si>
  <si>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</si>
  <si>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</si>
  <si>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</si>
  <si>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</si>
  <si>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</si>
  <si>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</si>
  <si>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</si>
  <si>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</si>
  <si>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</si>
  <si>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</si>
  <si>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</si>
  <si>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</si>
  <si>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</si>
  <si>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</si>
  <si>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</si>
  <si>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</si>
  <si>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</si>
  <si>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</si>
  <si>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</si>
  <si>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</si>
  <si>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</si>
  <si>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</si>
  <si>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</si>
  <si>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</si>
  <si>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</si>
  <si>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</si>
  <si>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</si>
  <si>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</si>
  <si>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</si>
  <si>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</si>
  <si>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</si>
  <si>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</si>
  <si>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</si>
  <si>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</si>
  <si>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</si>
  <si>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</si>
  <si>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</si>
  <si>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</si>
  <si>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</si>
  <si>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</si>
  <si>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</si>
  <si>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</si>
  <si>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</si>
  <si>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</si>
  <si>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</si>
  <si>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</si>
  <si>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</si>
  <si>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</si>
  <si>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</si>
  <si>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</si>
  <si>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</si>
  <si>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</si>
  <si>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</si>
  <si>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</si>
  <si>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</si>
  <si>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</si>
  <si>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</si>
  <si>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</si>
  <si>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</si>
  <si>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</si>
  <si>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</si>
  <si>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</si>
  <si>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</si>
  <si>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</si>
  <si>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</si>
  <si>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</si>
  <si>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</si>
  <si>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</si>
  <si>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</si>
  <si>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</si>
  <si>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</si>
  <si>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</si>
  <si>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</si>
  <si>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</si>
  <si>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</si>
  <si>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</si>
  <si>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</si>
  <si>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</si>
  <si>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</si>
  <si>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</si>
  <si>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</si>
  <si>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</si>
  <si>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</si>
  <si>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</si>
  <si>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</si>
  <si>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</si>
  <si>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</si>
  <si>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</si>
  <si>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</si>
  <si>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</si>
  <si>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</si>
  <si>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</si>
  <si>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</si>
  <si>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</si>
  <si>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</si>
  <si>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</si>
  <si>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</si>
  <si>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</si>
  <si>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</si>
  <si>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</si>
  <si>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</si>
  <si>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</si>
  <si>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</si>
  <si>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</si>
  <si>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</si>
  <si>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</si>
  <si>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</si>
  <si>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</si>
  <si>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</si>
  <si>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</si>
  <si>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</si>
  <si>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</si>
  <si>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</si>
  <si>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</si>
  <si>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</si>
  <si>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</si>
  <si>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</si>
  <si>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</si>
  <si>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</si>
  <si>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</si>
  <si>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</si>
  <si>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</si>
  <si>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</si>
  <si>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</si>
  <si>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</si>
  <si>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</si>
  <si>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</si>
  <si>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</si>
  <si>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</si>
  <si>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</si>
  <si>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</si>
  <si>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</si>
  <si>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</si>
  <si>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</si>
  <si>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</si>
  <si>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</si>
  <si>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</si>
  <si>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</si>
  <si>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</si>
  <si>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</si>
  <si>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</si>
  <si>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</si>
  <si>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</si>
  <si>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</si>
  <si>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</si>
  <si>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</si>
  <si>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</si>
  <si>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</si>
  <si>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</si>
  <si>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</si>
  <si>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</si>
  <si>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</si>
  <si>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</si>
  <si>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</si>
  <si>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</si>
  <si>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</si>
  <si>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</si>
  <si>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</si>
  <si>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</si>
  <si>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</si>
  <si>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</si>
  <si>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</si>
  <si>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</si>
  <si>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</si>
  <si>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</si>
  <si>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</si>
  <si>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</si>
  <si>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</si>
  <si>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</si>
  <si>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</si>
  <si>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</si>
  <si>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</si>
  <si>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</si>
  <si>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</si>
  <si>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</si>
  <si>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</si>
  <si>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</si>
  <si>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</si>
  <si>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</si>
  <si>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</si>
  <si>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</si>
  <si>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</si>
  <si>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</si>
  <si>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</si>
  <si>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</si>
  <si>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</si>
  <si>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</si>
  <si>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</si>
  <si>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</si>
  <si>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</si>
  <si>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</si>
  <si>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</si>
  <si>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</si>
  <si>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</si>
  <si>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</si>
  <si>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</si>
  <si>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</si>
  <si>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</si>
  <si>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</si>
  <si>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</si>
  <si>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</si>
  <si>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</si>
  <si>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</si>
  <si>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</si>
  <si>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</si>
  <si>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</si>
  <si>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</si>
  <si>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</si>
  <si>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</si>
  <si>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</si>
  <si>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</si>
  <si>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</si>
  <si>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</si>
  <si>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</si>
  <si>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</si>
  <si>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</si>
  <si>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</si>
  <si>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</si>
  <si>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</si>
  <si>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</si>
  <si>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</si>
  <si>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</si>
  <si>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</si>
  <si>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</si>
  <si>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</si>
  <si>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</si>
  <si>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</si>
  <si>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</si>
  <si>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</si>
  <si>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</si>
  <si>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</si>
  <si>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</si>
  <si>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</si>
  <si>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</si>
  <si>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</si>
  <si>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</si>
  <si>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</si>
  <si>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</si>
  <si>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</si>
  <si>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</si>
  <si>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</si>
  <si>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</si>
  <si>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</si>
  <si>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</si>
  <si>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</si>
  <si>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</si>
  <si>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</si>
  <si>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</si>
  <si>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</si>
  <si>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</si>
  <si>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</si>
  <si>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</si>
  <si>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</si>
  <si>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</si>
  <si>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</si>
  <si>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</si>
  <si>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</si>
  <si>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</si>
  <si>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</si>
  <si>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</si>
  <si>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</si>
  <si>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</si>
  <si>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</si>
  <si>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</si>
  <si>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</si>
  <si>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</si>
  <si>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</si>
  <si>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</si>
  <si>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</si>
  <si>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</si>
  <si>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</si>
  <si>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</si>
  <si>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</si>
  <si>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</si>
  <si>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</si>
  <si>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</si>
  <si>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</si>
  <si>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</si>
  <si>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</si>
  <si>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</si>
  <si>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</si>
  <si>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</si>
  <si>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</si>
  <si>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</si>
  <si>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</si>
  <si>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</si>
  <si>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</si>
  <si>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</si>
  <si>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</si>
  <si>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</si>
  <si>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</si>
  <si>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</si>
  <si>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</si>
  <si>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</si>
  <si>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</si>
  <si>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</si>
  <si>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</si>
  <si>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</si>
  <si>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</si>
  <si>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</si>
  <si>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</si>
  <si>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</si>
  <si>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</si>
  <si>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</si>
  <si>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</si>
  <si>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</si>
  <si>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</si>
  <si>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</si>
  <si>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</si>
  <si>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</si>
  <si>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</si>
  <si>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</si>
  <si>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</si>
  <si>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</si>
  <si>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</si>
  <si>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</si>
  <si>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</si>
  <si>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</si>
  <si>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</si>
  <si>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</si>
  <si>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</si>
  <si>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</si>
  <si>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</si>
  <si>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</si>
  <si>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</si>
  <si>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</si>
  <si>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</si>
  <si>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</si>
  <si>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</si>
  <si>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</si>
  <si>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</si>
  <si>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</si>
  <si>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</si>
  <si>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</si>
  <si>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</si>
  <si>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</si>
  <si>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</si>
  <si>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</si>
  <si>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</si>
  <si>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</si>
  <si>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</si>
  <si>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</si>
  <si>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</si>
  <si>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</si>
  <si>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</si>
  <si>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</si>
  <si>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</si>
  <si>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</si>
  <si>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</si>
  <si>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</si>
  <si>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</si>
  <si>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</si>
  <si>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</si>
  <si>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</si>
  <si>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</si>
  <si>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</si>
  <si>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</si>
  <si>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</si>
  <si>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</si>
  <si>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</si>
  <si>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</si>
  <si>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</si>
  <si>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</si>
  <si>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</si>
  <si>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</si>
  <si>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</si>
  <si>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</si>
  <si>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</si>
  <si>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</si>
  <si>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</si>
  <si>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</si>
  <si>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</si>
  <si>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</si>
  <si>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</si>
  <si>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</si>
  <si>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</si>
  <si>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</si>
  <si>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</si>
  <si>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</si>
  <si>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</si>
  <si>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</si>
  <si>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</si>
  <si>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</si>
  <si>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</si>
  <si>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</si>
  <si>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</si>
  <si>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</si>
  <si>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</si>
  <si>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</si>
  <si>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</si>
  <si>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</si>
  <si>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</si>
  <si>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</si>
  <si>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</si>
  <si>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</si>
  <si>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</si>
  <si>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</si>
  <si>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</si>
  <si>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</si>
  <si>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</si>
  <si>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</si>
  <si>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</si>
  <si>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</si>
  <si>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</si>
  <si>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</si>
  <si>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</si>
  <si>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</si>
  <si>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</si>
  <si>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</si>
  <si>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</si>
  <si>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</si>
  <si>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</si>
  <si>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</si>
  <si>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</si>
  <si>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</si>
  <si>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</si>
  <si>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</si>
  <si>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</si>
  <si>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</si>
  <si>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</si>
  <si>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</si>
  <si>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</si>
  <si>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</si>
  <si>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</si>
  <si>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</si>
  <si>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</si>
  <si>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</si>
  <si>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</si>
  <si>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</si>
  <si>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</si>
  <si>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</si>
  <si>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</si>
  <si>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</si>
  <si>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</si>
  <si>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</si>
  <si>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</si>
  <si>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</si>
  <si>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</si>
  <si>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</si>
  <si>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</si>
  <si>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</si>
  <si>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</si>
  <si>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</si>
  <si>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</si>
  <si>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</si>
  <si>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</si>
  <si>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</si>
  <si>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</si>
  <si>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</si>
  <si>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</si>
  <si>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</si>
  <si>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</si>
  <si>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</si>
  <si>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</si>
  <si>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</si>
  <si>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</si>
  <si>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</si>
  <si>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</si>
  <si>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</si>
  <si>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</si>
  <si>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</si>
  <si>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</si>
  <si>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</si>
  <si>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</si>
  <si>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</si>
  <si>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</si>
  <si>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</si>
  <si>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</si>
  <si>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</si>
  <si>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</si>
  <si>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</si>
  <si>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</si>
  <si>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</si>
  <si>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</si>
  <si>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</si>
  <si>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</si>
  <si>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</si>
  <si>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</si>
  <si>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</si>
  <si>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</si>
  <si>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</si>
  <si>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</si>
  <si>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</si>
  <si>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</si>
  <si>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</si>
  <si>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</si>
  <si>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</si>
  <si>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</si>
  <si>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</si>
  <si>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</si>
  <si>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</si>
  <si>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</si>
  <si>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</si>
  <si>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</si>
  <si>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</si>
  <si>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</si>
  <si>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</si>
  <si>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</si>
  <si>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</si>
  <si>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</si>
  <si>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</si>
  <si>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</si>
  <si>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</si>
  <si>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</si>
  <si>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</si>
  <si>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</si>
  <si>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</si>
  <si>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</si>
  <si>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</si>
  <si>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</si>
  <si>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</si>
  <si>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</si>
  <si>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</si>
  <si>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</si>
  <si>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</si>
  <si>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</si>
  <si>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</si>
  <si>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</si>
  <si>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</si>
  <si>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</si>
  <si>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</si>
  <si>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</si>
  <si>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</si>
  <si>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</si>
  <si>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</si>
  <si>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</si>
  <si>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</si>
  <si>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</si>
  <si>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</si>
  <si>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</si>
  <si>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</si>
  <si>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</si>
  <si>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</si>
  <si>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</si>
  <si>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</si>
  <si>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</si>
  <si>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</si>
  <si>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</si>
  <si>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</si>
  <si>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</si>
  <si>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</si>
  <si>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</si>
  <si>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</si>
  <si>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</si>
  <si>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</si>
  <si>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</si>
  <si>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</si>
  <si>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</si>
  <si>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</si>
  <si>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</si>
  <si>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</si>
  <si>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</si>
  <si>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</si>
  <si>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</si>
  <si>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</si>
  <si>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</si>
  <si>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</si>
  <si>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</si>
  <si>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</si>
  <si>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</si>
  <si>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</si>
  <si>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</si>
  <si>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</si>
  <si>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</si>
  <si>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</si>
  <si>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</si>
  <si>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</si>
  <si>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</si>
  <si>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</si>
  <si>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</si>
  <si>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</si>
  <si>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</si>
  <si>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</si>
  <si>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</si>
  <si>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</si>
  <si>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</si>
  <si>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</si>
  <si>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</si>
  <si>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</si>
  <si>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</si>
  <si>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</si>
  <si>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</si>
  <si>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</si>
  <si>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</si>
  <si>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</si>
  <si>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</si>
  <si>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</si>
  <si>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</si>
  <si>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</si>
  <si>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</si>
  <si>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</si>
  <si>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</si>
  <si>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</si>
  <si>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</si>
  <si>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</si>
  <si>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</si>
  <si>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</si>
  <si>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</si>
  <si>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</si>
  <si>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</si>
  <si>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</si>
  <si>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</si>
  <si>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</si>
  <si>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</si>
  <si>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</si>
  <si>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</si>
  <si>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</si>
  <si>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</si>
  <si>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</si>
  <si>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</si>
  <si>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</si>
  <si>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</si>
  <si>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</si>
  <si>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</si>
  <si>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</si>
  <si>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</si>
  <si>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</si>
  <si>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</si>
  <si>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</si>
  <si>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</si>
  <si>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</si>
  <si>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</si>
  <si>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</si>
  <si>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</si>
  <si>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</si>
  <si>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</si>
  <si>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</si>
  <si>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</si>
  <si>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</si>
  <si>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</si>
  <si>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</si>
  <si>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</si>
  <si>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</si>
  <si>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</si>
  <si>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</si>
  <si>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</si>
  <si>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</si>
  <si>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</si>
  <si>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</si>
  <si>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</si>
  <si>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</si>
  <si>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</si>
  <si>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</si>
  <si>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</si>
  <si>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</si>
  <si>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</si>
  <si>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</si>
  <si>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</si>
  <si>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</si>
  <si>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</si>
  <si>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</si>
  <si>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</si>
  <si>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</si>
  <si>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</si>
  <si>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</si>
  <si>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</si>
  <si>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</si>
  <si>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</si>
  <si>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</si>
  <si>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</si>
  <si>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</si>
  <si>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</si>
  <si>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</si>
  <si>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</si>
  <si>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</si>
  <si>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</si>
  <si>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</si>
  <si>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</si>
  <si>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</si>
  <si>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</si>
  <si>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</si>
  <si>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</si>
  <si>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</si>
  <si>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</si>
  <si>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</si>
  <si>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</si>
  <si>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</si>
  <si>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</si>
  <si>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</si>
  <si>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</si>
  <si>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</si>
  <si>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</si>
  <si>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</si>
  <si>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</si>
  <si>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</si>
  <si>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</si>
  <si>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</si>
  <si>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</si>
  <si>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</si>
  <si>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</si>
  <si>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</si>
  <si>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</si>
  <si>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</si>
  <si>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</si>
  <si>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</si>
  <si>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</si>
  <si>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</si>
  <si>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</si>
  <si>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</si>
  <si>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</si>
  <si>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</si>
  <si>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</si>
  <si>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</si>
  <si>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</si>
  <si>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</si>
  <si>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</si>
  <si>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</si>
  <si>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</si>
  <si>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</si>
  <si>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</si>
  <si>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</si>
  <si>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</si>
  <si>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</si>
  <si>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</si>
  <si>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</si>
  <si>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</si>
  <si>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</si>
  <si>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</si>
  <si>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</si>
  <si>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</si>
  <si>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</si>
  <si>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</si>
  <si>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</si>
  <si>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</si>
  <si>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</si>
  <si>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</si>
  <si>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</si>
  <si>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</si>
  <si>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</si>
  <si>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</si>
  <si>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</si>
  <si>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</si>
  <si>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</si>
  <si>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</si>
  <si>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</si>
  <si>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</si>
  <si>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</si>
  <si>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</si>
  <si>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</si>
  <si>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</si>
  <si>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</si>
  <si>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</si>
  <si>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</si>
  <si>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</si>
  <si>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</si>
  <si>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</si>
  <si>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</si>
  <si>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</si>
  <si>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</si>
  <si>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</si>
  <si>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</si>
  <si>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</si>
  <si>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</si>
  <si>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</si>
  <si>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</si>
  <si>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</si>
  <si>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</si>
  <si>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</si>
  <si>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</si>
  <si>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</si>
  <si>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</si>
  <si>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</si>
  <si>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</si>
  <si>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</si>
  <si>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</si>
  <si>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</si>
  <si>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</si>
  <si>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</si>
  <si>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</si>
  <si>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</si>
  <si>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</si>
  <si>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</si>
  <si>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</si>
  <si>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</si>
  <si>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</si>
  <si>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</si>
  <si>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</si>
  <si>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</si>
  <si>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</si>
  <si>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</si>
  <si>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</si>
  <si>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</si>
  <si>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</si>
  <si>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</si>
  <si>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</si>
  <si>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</si>
  <si>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</si>
  <si>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</si>
  <si>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</si>
  <si>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</si>
  <si>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</si>
  <si>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</si>
  <si>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</si>
  <si>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</si>
  <si>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</si>
  <si>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</si>
  <si>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</si>
  <si>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</si>
  <si>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</si>
  <si>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</si>
  <si>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</si>
  <si>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</si>
  <si>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</si>
  <si>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</si>
  <si>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</si>
  <si>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</si>
  <si>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</si>
  <si>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</si>
  <si>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</si>
  <si>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</si>
  <si>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</si>
  <si>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</si>
  <si>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</si>
  <si>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</si>
  <si>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</si>
  <si>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</si>
  <si>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</si>
  <si>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</si>
  <si>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</si>
  <si>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</si>
  <si>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</si>
  <si>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</si>
  <si>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</si>
  <si>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</si>
  <si>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</si>
  <si>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</si>
  <si>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</si>
  <si>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</si>
  <si>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</si>
  <si>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</si>
  <si>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</si>
  <si>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</si>
  <si>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</si>
  <si>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</si>
  <si>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</si>
  <si>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</si>
  <si>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</si>
  <si>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</si>
  <si>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</si>
  <si>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</si>
  <si>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</si>
  <si>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</si>
  <si>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</si>
  <si>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</si>
  <si>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</si>
  <si>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</si>
  <si>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</si>
  <si>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</si>
  <si>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</si>
  <si>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</si>
  <si>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</si>
  <si>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</si>
  <si>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</si>
  <si>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</si>
  <si>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</si>
  <si>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</si>
  <si>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</si>
  <si>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</si>
  <si>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</si>
  <si>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</si>
  <si>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</si>
  <si>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</si>
  <si>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</si>
  <si>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</si>
  <si>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</si>
  <si>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</si>
  <si>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</si>
  <si>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</si>
  <si>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</si>
  <si>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</si>
  <si>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</si>
  <si>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</si>
  <si>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</si>
  <si>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</si>
  <si>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</si>
  <si>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</si>
  <si>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</si>
  <si>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</si>
  <si>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</si>
  <si>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</si>
  <si>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</si>
  <si>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</si>
  <si>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</si>
  <si>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</si>
  <si>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</si>
  <si>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</si>
  <si>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</si>
  <si>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</si>
  <si>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</si>
  <si>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</si>
  <si>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</si>
  <si>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</si>
  <si>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</si>
  <si>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</si>
  <si>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</si>
  <si>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</si>
  <si>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</si>
  <si>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</si>
  <si>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</si>
  <si>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</si>
  <si>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</si>
  <si>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</si>
  <si>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</si>
  <si>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</si>
  <si>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</si>
  <si>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</si>
  <si>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</si>
  <si>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</si>
  <si>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</si>
  <si>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</si>
  <si>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</si>
  <si>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</si>
  <si>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</si>
  <si>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</si>
  <si>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</si>
  <si>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</si>
  <si>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</si>
  <si>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</si>
  <si>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</si>
  <si>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</si>
  <si>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</si>
  <si>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</si>
  <si>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</si>
  <si>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</si>
  <si>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</si>
  <si>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</si>
  <si>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</si>
  <si>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</si>
  <si>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</si>
  <si>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</si>
  <si>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</si>
  <si>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</si>
  <si>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</si>
  <si>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</si>
  <si>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</si>
  <si>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</si>
  <si>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</si>
  <si>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</si>
  <si>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</si>
  <si>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</si>
  <si>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</si>
  <si>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</si>
  <si>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</si>
  <si>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</si>
  <si>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</si>
  <si>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</si>
  <si>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</si>
  <si>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</si>
  <si>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</si>
  <si>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</si>
  <si>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</si>
  <si>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</si>
  <si>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</si>
  <si>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</si>
  <si>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</si>
  <si>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</si>
  <si>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</si>
  <si>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</si>
  <si>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</si>
  <si>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</si>
  <si>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</si>
  <si>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</si>
  <si>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</si>
  <si>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</si>
  <si>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</si>
  <si>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</si>
  <si>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</si>
  <si>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</si>
  <si>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</si>
  <si>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</si>
  <si>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</si>
  <si>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</si>
  <si>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</si>
  <si>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</si>
  <si>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</si>
  <si>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</si>
  <si>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</si>
  <si>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</si>
  <si>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</si>
  <si>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</si>
  <si>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</si>
  <si>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</si>
  <si>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</si>
  <si>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</si>
  <si>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</si>
  <si>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</si>
  <si>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</si>
  <si>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</si>
  <si>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</si>
  <si>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</si>
  <si>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</si>
  <si>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</si>
  <si>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</si>
  <si>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</si>
  <si>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</si>
  <si>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</si>
  <si>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</si>
  <si>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</si>
  <si>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</si>
  <si>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</si>
  <si>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</si>
  <si>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</si>
  <si>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</si>
  <si>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</si>
  <si>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</si>
  <si>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</si>
  <si>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</si>
  <si>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</si>
  <si>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</si>
  <si>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</si>
  <si>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</si>
  <si>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</si>
  <si>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</si>
  <si>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</si>
  <si>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</si>
  <si>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</si>
  <si>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</si>
  <si>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</si>
  <si>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</si>
  <si>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</si>
  <si>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</si>
  <si>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</si>
  <si>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</si>
  <si>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</si>
  <si>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</si>
  <si>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</si>
  <si>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</si>
  <si>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</si>
  <si>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</si>
  <si>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</si>
  <si>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</si>
  <si>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</si>
  <si>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</si>
  <si>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</si>
  <si>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</si>
  <si>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</si>
  <si>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</si>
  <si>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</si>
  <si>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</si>
  <si>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</si>
  <si>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</si>
  <si>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</si>
  <si>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</si>
  <si>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</si>
  <si>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</si>
  <si>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</si>
  <si>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</si>
  <si>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</si>
  <si>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</si>
  <si>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</si>
  <si>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</si>
  <si>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</si>
  <si>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</si>
  <si>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</si>
  <si>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</si>
  <si>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</si>
  <si>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</si>
  <si>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</si>
  <si>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</si>
  <si>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</si>
  <si>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</si>
  <si>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</si>
  <si>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</si>
  <si>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</si>
  <si>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</si>
  <si>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</si>
  <si>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</si>
  <si>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</si>
  <si>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</si>
  <si>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</si>
  <si>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</si>
  <si>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</si>
  <si>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</si>
  <si>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</si>
  <si>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</si>
  <si>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</si>
  <si>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</si>
  <si>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</si>
  <si>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</si>
  <si>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</si>
  <si>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</si>
  <si>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</si>
  <si>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</si>
  <si>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</si>
  <si>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</si>
  <si>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</si>
  <si>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</si>
  <si>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</si>
  <si>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</si>
  <si>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</si>
  <si>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</si>
  <si>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</si>
  <si>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</si>
  <si>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</si>
  <si>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</si>
  <si>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</si>
  <si>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</si>
  <si>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</si>
  <si>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</si>
  <si>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</si>
  <si>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</si>
  <si>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</si>
  <si>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</si>
  <si>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</si>
  <si>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</si>
  <si>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</si>
  <si>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</si>
  <si>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</si>
  <si>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</si>
  <si>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</si>
  <si>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</si>
  <si>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</si>
  <si>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</si>
  <si>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</si>
  <si>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</si>
  <si>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</si>
  <si>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</si>
  <si>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</si>
  <si>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</si>
  <si>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</si>
  <si>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</si>
  <si>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</si>
  <si>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</si>
  <si>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</si>
  <si>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</si>
  <si>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</si>
  <si>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</si>
  <si>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</si>
  <si>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</si>
  <si>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</si>
  <si>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</si>
  <si>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</si>
  <si>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</si>
  <si>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</si>
  <si>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</si>
  <si>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</si>
  <si>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</si>
  <si>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</si>
  <si>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</si>
  <si>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</si>
  <si>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</si>
  <si>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</si>
  <si>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</si>
  <si>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</si>
  <si>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</si>
  <si>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</si>
  <si>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</si>
  <si>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</si>
  <si>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</si>
  <si>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</si>
  <si>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</si>
  <si>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</si>
  <si>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</si>
  <si>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</si>
  <si>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</si>
  <si>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</si>
  <si>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</si>
  <si>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</si>
  <si>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</si>
  <si>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</si>
  <si>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</si>
  <si>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</si>
  <si>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</si>
  <si>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</si>
  <si>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</si>
  <si>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</si>
  <si>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</si>
  <si>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</si>
  <si>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</si>
  <si>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</si>
  <si>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</si>
  <si>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</si>
  <si>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</si>
  <si>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</si>
  <si>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</si>
  <si>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</si>
  <si>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</si>
  <si>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</si>
  <si>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</si>
  <si>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</si>
  <si>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</si>
  <si>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</si>
  <si>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</si>
  <si>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</si>
  <si>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</si>
  <si>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</si>
  <si>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</si>
  <si>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</si>
  <si>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</si>
  <si>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</si>
  <si>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</si>
  <si>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</si>
  <si>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</si>
  <si>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</si>
  <si>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</si>
  <si>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</si>
  <si>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</si>
  <si>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</si>
  <si>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</si>
  <si>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</si>
  <si>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</si>
  <si>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</si>
  <si>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</si>
  <si>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</si>
  <si>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</si>
  <si>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</si>
  <si>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</si>
  <si>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</si>
  <si>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</si>
  <si>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</si>
  <si>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</si>
  <si>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</si>
  <si>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</si>
  <si>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</si>
  <si>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</si>
  <si>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</si>
  <si>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</si>
  <si>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</si>
  <si>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</si>
  <si>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</si>
  <si>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</si>
  <si>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</si>
  <si>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</si>
  <si>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</si>
  <si>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</si>
  <si>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</si>
  <si>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</si>
  <si>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</si>
  <si>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</si>
  <si>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</si>
  <si>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</si>
  <si>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</si>
  <si>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</si>
  <si>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</si>
  <si>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</si>
  <si>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</si>
  <si>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</si>
  <si>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</si>
  <si>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</si>
  <si>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</si>
  <si>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</si>
  <si>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</si>
  <si>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</si>
  <si>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</si>
  <si>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</si>
  <si>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</si>
  <si>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</si>
  <si>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</si>
  <si>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</si>
  <si>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</si>
  <si>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</si>
  <si>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</si>
  <si>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</si>
  <si>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</si>
  <si>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</si>
  <si>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</si>
  <si>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</si>
  <si>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</si>
  <si>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</si>
  <si>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</si>
  <si>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</si>
  <si>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</si>
  <si>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</si>
  <si>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</si>
  <si>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</si>
  <si>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</si>
  <si>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</si>
  <si>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</si>
  <si>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</si>
  <si>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</si>
  <si>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</si>
  <si>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</si>
  <si>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</si>
  <si>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</si>
  <si>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</si>
  <si>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</si>
  <si>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</si>
  <si>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</si>
  <si>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</si>
  <si>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</si>
  <si>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</si>
  <si>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</si>
  <si>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</si>
  <si>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</si>
  <si>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</si>
  <si>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</si>
  <si>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</si>
  <si>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</si>
  <si>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</si>
  <si>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</si>
  <si>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</si>
  <si>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</si>
  <si>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</si>
  <si>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</si>
  <si>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</si>
  <si>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</si>
  <si>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</si>
  <si>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</si>
  <si>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</si>
  <si>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</si>
  <si>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</si>
  <si>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</si>
  <si>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</si>
  <si>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</si>
  <si>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</si>
  <si>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</si>
  <si>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</si>
  <si>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</si>
  <si>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</si>
  <si>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</si>
  <si>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</si>
  <si>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</si>
  <si>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</si>
  <si>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</si>
  <si>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</si>
  <si>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</si>
  <si>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</si>
  <si>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</si>
  <si>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</si>
  <si>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</si>
  <si>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</si>
  <si>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</si>
  <si>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</si>
  <si>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</si>
  <si>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</si>
  <si>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</si>
  <si>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</si>
  <si>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</si>
  <si>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</si>
  <si>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</si>
  <si>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</si>
  <si>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</si>
  <si>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</si>
  <si>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</si>
  <si>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</si>
  <si>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</si>
  <si>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</si>
  <si>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</si>
  <si>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</si>
  <si>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</si>
  <si>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</si>
  <si>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</si>
  <si>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</si>
  <si>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</si>
  <si>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</si>
  <si>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</si>
  <si>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</si>
  <si>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</si>
  <si>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</si>
  <si>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</si>
  <si>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</si>
  <si>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</si>
  <si>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</si>
  <si>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</si>
  <si>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</si>
  <si>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</si>
  <si>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</si>
  <si>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</si>
  <si>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</si>
  <si>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</si>
  <si>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</si>
  <si>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</si>
  <si>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</si>
  <si>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</si>
  <si>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</si>
  <si>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</si>
  <si>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</si>
  <si>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</si>
  <si>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</si>
  <si>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</si>
  <si>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</si>
  <si>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</si>
  <si>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</si>
  <si>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</si>
  <si>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</si>
  <si>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</si>
  <si>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</si>
  <si>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</si>
  <si>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</si>
  <si>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</si>
  <si>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</si>
  <si>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</si>
  <si>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</si>
  <si>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</si>
  <si>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</si>
  <si>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</si>
  <si>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</si>
  <si>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</si>
  <si>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</si>
  <si>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</si>
  <si>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</si>
  <si>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</si>
  <si>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</si>
  <si>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</si>
  <si>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</si>
  <si>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</si>
  <si>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</si>
  <si>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</si>
  <si>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</si>
  <si>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</si>
  <si>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</si>
  <si>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</si>
  <si>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</si>
  <si>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</si>
  <si>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</si>
  <si>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</si>
  <si>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</si>
  <si>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</si>
  <si>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</si>
  <si>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</si>
  <si>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</si>
  <si>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</si>
  <si>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</si>
  <si>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</si>
  <si>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</si>
  <si>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</si>
  <si>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</si>
  <si>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</si>
  <si>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</si>
  <si>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</si>
  <si>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</si>
  <si>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</si>
  <si>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</si>
  <si>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</si>
  <si>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</si>
  <si>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</si>
  <si>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</si>
  <si>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</si>
  <si>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</si>
  <si>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</si>
  <si>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</si>
  <si>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</si>
  <si>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</si>
  <si>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</si>
  <si>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</si>
  <si>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</si>
  <si>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</si>
  <si>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</si>
  <si>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</si>
  <si>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</si>
  <si>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</si>
  <si>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</si>
  <si>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</si>
  <si>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</si>
  <si>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</si>
  <si>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</si>
  <si>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</si>
  <si>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</si>
  <si>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</si>
  <si>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</si>
  <si>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</si>
  <si>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</si>
  <si>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</si>
  <si>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</si>
  <si>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</si>
  <si>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</si>
  <si>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</si>
  <si>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</si>
  <si>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</si>
  <si>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</si>
  <si>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</si>
  <si>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</si>
  <si>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</si>
  <si>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</si>
  <si>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</si>
  <si>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</si>
  <si>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</si>
  <si>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</si>
  <si>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</si>
  <si>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</si>
  <si>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</si>
  <si>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</si>
  <si>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</si>
  <si>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</si>
  <si>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</si>
  <si>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</si>
  <si>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</si>
  <si>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</si>
  <si>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</si>
  <si>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</si>
  <si>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</si>
  <si>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</si>
  <si>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</si>
  <si>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</si>
  <si>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</si>
  <si>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</si>
  <si>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</si>
  <si>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</si>
  <si>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</si>
  <si>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</si>
  <si>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</si>
  <si>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</si>
  <si>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</si>
  <si>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</si>
  <si>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</si>
  <si>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</si>
  <si>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</si>
  <si>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</si>
  <si>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</si>
  <si>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</si>
  <si>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</si>
  <si>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</si>
  <si>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</si>
  <si>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</si>
  <si>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</si>
  <si>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</si>
  <si>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</si>
  <si>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</si>
  <si>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</si>
  <si>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</si>
  <si>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</si>
  <si>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</si>
  <si>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</si>
  <si>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</si>
  <si>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</si>
  <si>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</si>
  <si>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</si>
  <si>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</si>
  <si>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</si>
  <si>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</si>
  <si>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</si>
  <si>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</si>
  <si>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</si>
  <si>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</si>
  <si>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</si>
  <si>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</si>
  <si>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</si>
  <si>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</si>
  <si>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</si>
  <si>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</si>
  <si>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</si>
  <si>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</si>
  <si>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</si>
  <si>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</si>
  <si>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</si>
  <si>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</si>
  <si>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</si>
  <si>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</si>
  <si>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</si>
  <si>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</si>
  <si>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</si>
  <si>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</si>
  <si>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</si>
  <si>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</si>
  <si>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</si>
  <si>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</si>
  <si>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</si>
  <si>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</si>
  <si>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</si>
  <si>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</si>
  <si>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</si>
  <si>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</si>
  <si>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</si>
  <si>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</si>
  <si>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</si>
  <si>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</si>
  <si>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</si>
  <si>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</si>
  <si>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</si>
  <si>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</si>
  <si>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</si>
  <si>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</si>
  <si>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</si>
  <si>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</si>
  <si>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</si>
  <si>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</si>
  <si>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</si>
  <si>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</si>
  <si>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</si>
  <si>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</si>
  <si>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</si>
  <si>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</si>
  <si>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</si>
  <si>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</si>
  <si>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</si>
  <si>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</si>
  <si>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</si>
  <si>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</si>
  <si>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</si>
  <si>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</si>
  <si>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</si>
  <si>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</si>
  <si>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</si>
  <si>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</si>
  <si>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</si>
  <si>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</si>
  <si>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</si>
  <si>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</si>
  <si>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</si>
  <si>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</si>
  <si>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</si>
  <si>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</si>
  <si>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</si>
  <si>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</si>
  <si>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</si>
  <si>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</si>
  <si>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</si>
  <si>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</si>
  <si>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</si>
  <si>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</si>
  <si>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</si>
  <si>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</si>
  <si>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</si>
  <si>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</si>
  <si>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</si>
  <si>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</si>
  <si>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</si>
  <si>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</si>
  <si>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</si>
  <si>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</si>
  <si>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</si>
  <si>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</si>
  <si>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</si>
  <si>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</si>
  <si>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</si>
  <si>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</si>
  <si>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</si>
  <si>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</si>
  <si>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</si>
  <si>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</si>
  <si>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</si>
  <si>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</si>
  <si>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</si>
  <si>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</si>
  <si>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</si>
  <si>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</si>
  <si>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</si>
  <si>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</si>
  <si>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</si>
  <si>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</si>
  <si>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</si>
  <si>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</si>
  <si>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</si>
  <si>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</si>
  <si>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</si>
  <si>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</si>
  <si>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</si>
  <si>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</si>
  <si>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</si>
  <si>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</si>
  <si>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</si>
  <si>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</si>
  <si>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</si>
  <si>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</si>
  <si>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</si>
  <si>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</si>
  <si>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</si>
  <si>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</si>
  <si>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</si>
  <si>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</si>
  <si>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</si>
  <si>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</si>
  <si>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</si>
  <si>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</si>
  <si>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</si>
  <si>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</si>
  <si>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</si>
  <si>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</si>
  <si>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</si>
  <si>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</si>
  <si>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</si>
  <si>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</si>
  <si>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</si>
  <si>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</si>
  <si>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</si>
  <si>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</si>
  <si>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</si>
  <si>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</si>
  <si>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</si>
  <si>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</si>
  <si>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</si>
  <si>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</si>
  <si>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</si>
  <si>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</si>
  <si>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</si>
  <si>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</si>
  <si>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</si>
  <si>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</si>
  <si>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</si>
  <si>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</si>
  <si>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</si>
  <si>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</si>
  <si>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</si>
  <si>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</si>
  <si>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</si>
  <si>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</si>
  <si>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</si>
  <si>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</si>
  <si>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</si>
  <si>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</si>
  <si>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</si>
  <si>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</si>
  <si>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</si>
  <si>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</si>
  <si>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</si>
  <si>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</si>
  <si>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</si>
  <si>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</si>
  <si>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</si>
  <si>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</si>
  <si>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</si>
  <si>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</si>
  <si>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</si>
  <si>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</si>
  <si>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</si>
  <si>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</si>
  <si>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</si>
  <si>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</si>
  <si>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</si>
  <si>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</si>
  <si>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</si>
  <si>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</si>
  <si>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</si>
  <si>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</si>
  <si>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</si>
  <si>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</si>
  <si>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</si>
  <si>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</si>
  <si>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</si>
  <si>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</si>
  <si>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</si>
  <si>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</si>
  <si>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</si>
  <si>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</si>
  <si>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</si>
  <si>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</si>
  <si>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</si>
  <si>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</si>
  <si>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</si>
  <si>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</si>
  <si>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</si>
  <si>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</si>
  <si>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</si>
  <si>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</si>
  <si>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</si>
  <si>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</si>
  <si>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</si>
  <si>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</si>
  <si>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</si>
  <si>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</si>
  <si>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</si>
  <si>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</si>
  <si>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</si>
  <si>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</si>
  <si>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</si>
  <si>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</si>
  <si>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</si>
  <si>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</si>
  <si>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</si>
  <si>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</si>
  <si>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</si>
  <si>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</si>
  <si>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</si>
  <si>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</si>
  <si>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</si>
  <si>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</si>
  <si>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</si>
  <si>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</si>
  <si>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</si>
  <si>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</si>
  <si>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</si>
  <si>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</si>
  <si>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</si>
  <si>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</si>
  <si>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</si>
  <si>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</si>
  <si>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</si>
  <si>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</si>
  <si>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</si>
  <si>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</si>
  <si>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</si>
  <si>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</si>
  <si>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</si>
  <si>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</si>
  <si>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</si>
  <si>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</si>
  <si>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</si>
  <si>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</si>
  <si>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</si>
  <si>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</si>
  <si>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</si>
  <si>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</si>
  <si>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</si>
  <si>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</si>
  <si>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</si>
  <si>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</si>
  <si>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</si>
  <si>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</si>
  <si>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</si>
  <si>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</si>
  <si>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</si>
  <si>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</si>
  <si>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</si>
  <si>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</si>
  <si>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</si>
  <si>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</si>
  <si>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</si>
  <si>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</si>
  <si>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</si>
  <si>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</si>
  <si>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</si>
  <si>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</si>
  <si>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</si>
  <si>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</si>
  <si>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</si>
  <si>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</si>
  <si>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</si>
  <si>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</si>
  <si>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</si>
  <si>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</si>
  <si>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</si>
  <si>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</si>
  <si>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</si>
  <si>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</si>
  <si>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</si>
  <si>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</si>
  <si>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</si>
  <si>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</si>
  <si>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</si>
  <si>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</si>
  <si>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</si>
  <si>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</si>
  <si>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</si>
  <si>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</si>
  <si>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</si>
  <si>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</si>
  <si>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</si>
  <si>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</si>
  <si>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</si>
  <si>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</si>
  <si>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</si>
  <si>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</si>
  <si>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</si>
  <si>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</si>
  <si>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</si>
  <si>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</si>
  <si>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</si>
  <si>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</si>
  <si>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</si>
  <si>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</si>
  <si>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</si>
  <si>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</si>
  <si>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</si>
  <si>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</si>
  <si>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</si>
  <si>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</si>
  <si>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</si>
  <si>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</si>
  <si>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</si>
  <si>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</si>
  <si>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</si>
  <si>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</si>
  <si>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</si>
  <si>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</si>
  <si>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</si>
  <si>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</si>
  <si>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</si>
  <si>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</si>
  <si>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</si>
  <si>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</si>
  <si>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</si>
  <si>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</si>
  <si>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</si>
  <si>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</si>
  <si>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</si>
  <si>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</si>
  <si>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</si>
  <si>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</si>
  <si>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</si>
  <si>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</si>
  <si>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</si>
  <si>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</si>
  <si>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</si>
  <si>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</si>
  <si>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</si>
  <si>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</si>
  <si>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</si>
  <si>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</si>
  <si>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</si>
  <si>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</si>
  <si>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</si>
  <si>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</si>
  <si>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</si>
  <si>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</si>
  <si>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</si>
  <si>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</si>
  <si>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</si>
  <si>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</si>
  <si>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</si>
  <si>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</si>
  <si>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</si>
  <si>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</si>
  <si>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</si>
  <si>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</si>
  <si>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</si>
  <si>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</si>
  <si>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</si>
  <si>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</si>
  <si>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</si>
  <si>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</si>
  <si>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</si>
  <si>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</si>
  <si>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</si>
  <si>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</si>
  <si>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</si>
  <si>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</si>
  <si>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</si>
  <si>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</si>
  <si>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</si>
  <si>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</si>
  <si>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</si>
  <si>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</si>
  <si>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</si>
  <si>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</si>
  <si>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</si>
  <si>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</si>
  <si>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</si>
  <si>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</si>
  <si>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</si>
  <si>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</si>
  <si>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</si>
  <si>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</si>
  <si>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</si>
  <si>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</si>
  <si>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</si>
  <si>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</si>
  <si>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</si>
  <si>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</si>
  <si>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</si>
  <si>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</si>
  <si>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</si>
  <si>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</si>
  <si>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</si>
  <si>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</si>
  <si>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</si>
  <si>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</si>
  <si>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</si>
  <si>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</si>
  <si>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</si>
  <si>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</si>
  <si>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</si>
  <si>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</si>
  <si>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</si>
  <si>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</si>
  <si>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</si>
  <si>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</si>
  <si>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</si>
  <si>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</si>
  <si>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</si>
  <si>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</si>
  <si>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</si>
  <si>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</si>
  <si>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</si>
  <si>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</si>
  <si>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</si>
  <si>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</si>
  <si>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</si>
  <si>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</si>
  <si>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</si>
  <si>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</si>
  <si>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</si>
  <si>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</si>
  <si>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</si>
  <si>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</si>
  <si>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</si>
  <si>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</si>
  <si>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</si>
  <si>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</si>
  <si>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</si>
  <si>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</si>
  <si>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</si>
  <si>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</si>
  <si>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</si>
  <si>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</si>
  <si>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</si>
  <si>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</si>
  <si>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</si>
  <si>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</si>
  <si>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</si>
  <si>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</si>
  <si>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</si>
  <si>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</si>
  <si>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</si>
  <si>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</si>
  <si>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</si>
  <si>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</si>
  <si>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</si>
  <si>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</si>
  <si>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</si>
  <si>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</si>
  <si>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</si>
  <si>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</si>
  <si>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</si>
  <si>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</si>
  <si>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</si>
  <si>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</si>
  <si>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</si>
  <si>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</si>
  <si>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</si>
  <si>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</si>
  <si>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</si>
  <si>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</si>
  <si>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</si>
  <si>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</si>
  <si>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</si>
  <si>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</si>
  <si>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</si>
  <si>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</si>
  <si>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</si>
  <si>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</si>
  <si>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</si>
  <si>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</si>
  <si>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</si>
  <si>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</si>
  <si>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</si>
  <si>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</si>
  <si>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</si>
  <si>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</si>
  <si>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</si>
  <si>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</si>
  <si>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</si>
  <si>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</si>
  <si>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</si>
  <si>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</si>
  <si>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</si>
  <si>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</si>
  <si>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</si>
  <si>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</si>
  <si>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</si>
  <si>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</si>
  <si>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</si>
  <si>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</si>
  <si>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</si>
  <si>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</si>
  <si>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</si>
  <si>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</si>
  <si>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</si>
  <si>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</si>
  <si>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</si>
  <si>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</si>
  <si>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</si>
  <si>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</si>
  <si>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</si>
  <si>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</si>
  <si>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</si>
  <si>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</si>
  <si>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</si>
  <si>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</si>
  <si>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</si>
  <si>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</si>
  <si>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</si>
  <si>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</si>
  <si>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</si>
  <si>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</si>
  <si>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</si>
  <si>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</si>
  <si>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</si>
  <si>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</si>
  <si>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</si>
  <si>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</si>
  <si>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</si>
  <si>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</si>
  <si>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</si>
  <si>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</si>
  <si>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</si>
  <si>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</si>
  <si>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</si>
  <si>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</si>
  <si>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</si>
  <si>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</si>
  <si>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</si>
  <si>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</si>
  <si>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</si>
  <si>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</si>
  <si>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</si>
  <si>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</si>
  <si>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</si>
  <si>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</si>
  <si>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</si>
  <si>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</si>
  <si>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</si>
  <si>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</si>
  <si>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</si>
  <si>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</si>
  <si>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</si>
  <si>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</si>
  <si>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</si>
  <si>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</si>
  <si>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</si>
  <si>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</si>
  <si>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</si>
  <si>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</si>
  <si>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</si>
  <si>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</si>
  <si>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</si>
  <si>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</si>
  <si>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</si>
  <si>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</si>
  <si>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</si>
  <si>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</si>
  <si>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</si>
  <si>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</si>
  <si>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</si>
  <si>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</si>
  <si>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</si>
  <si>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</si>
  <si>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</si>
  <si>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</si>
  <si>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</si>
  <si>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</si>
  <si>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</si>
  <si>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</si>
  <si>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</si>
  <si>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</si>
  <si>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</si>
  <si>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</si>
  <si>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</si>
  <si>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</si>
  <si>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</si>
  <si>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</si>
  <si>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</si>
  <si>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</si>
  <si>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</si>
  <si>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</si>
  <si>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</si>
  <si>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</si>
  <si>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</si>
  <si>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</si>
  <si>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</si>
  <si>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</si>
  <si>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</si>
  <si>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</si>
  <si>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</si>
  <si>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</si>
  <si>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</si>
  <si>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</si>
  <si>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</si>
  <si>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</si>
  <si>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</si>
  <si>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</si>
  <si>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</si>
  <si>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</si>
  <si>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</si>
  <si>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</si>
  <si>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</si>
  <si>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</si>
  <si>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</si>
  <si>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</si>
  <si>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</si>
  <si>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</si>
  <si>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</si>
  <si>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</si>
  <si>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</si>
  <si>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</si>
  <si>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</si>
  <si>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</si>
  <si>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</si>
  <si>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</si>
  <si>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</si>
  <si>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</si>
  <si>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</si>
  <si>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</si>
  <si>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</si>
  <si>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</si>
  <si>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</si>
  <si>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</si>
  <si>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</si>
  <si>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</si>
  <si>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</si>
  <si>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</si>
  <si>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</si>
  <si>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</si>
  <si>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</si>
  <si>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</si>
  <si>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</si>
  <si>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</si>
  <si>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</si>
  <si>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</si>
  <si>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</si>
  <si>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</si>
  <si>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</si>
  <si>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</si>
  <si>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</si>
  <si>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</si>
  <si>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</si>
  <si>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</si>
  <si>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</si>
  <si>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</si>
  <si>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</si>
  <si>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</si>
  <si>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</si>
  <si>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</si>
  <si>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</si>
  <si>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</si>
  <si>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</si>
  <si>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</si>
  <si>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</si>
  <si>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</si>
  <si>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</si>
  <si>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</si>
  <si>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</si>
  <si>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</si>
  <si>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</si>
  <si>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</si>
  <si>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</si>
  <si>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</si>
  <si>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</si>
  <si>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</si>
  <si>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</si>
  <si>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</si>
  <si>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</si>
  <si>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</si>
  <si>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</si>
  <si>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</si>
  <si>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</si>
  <si>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</si>
  <si>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</si>
  <si>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</si>
  <si>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</si>
  <si>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</si>
  <si>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</si>
  <si>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</si>
  <si>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</si>
  <si>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</si>
  <si>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</si>
  <si>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</si>
  <si>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</si>
  <si>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</si>
  <si>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</si>
  <si>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</si>
  <si>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</si>
  <si>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</si>
  <si>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</si>
  <si>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</si>
  <si>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</si>
  <si>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</si>
  <si>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</si>
  <si>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</si>
  <si>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</si>
  <si>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</si>
  <si>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</si>
  <si>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</si>
  <si>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</si>
  <si>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</si>
  <si>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</si>
  <si>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</si>
  <si>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</si>
  <si>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</si>
  <si>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</si>
  <si>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</si>
  <si>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</si>
  <si>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</si>
  <si>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</si>
  <si>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</si>
  <si>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</si>
  <si>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</si>
  <si>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</si>
  <si>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</si>
  <si>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</si>
  <si>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</si>
  <si>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</si>
  <si>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</si>
  <si>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</si>
  <si>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</si>
  <si>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</si>
  <si>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</si>
  <si>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</si>
  <si>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</si>
  <si>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</si>
  <si>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</si>
  <si>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</si>
  <si>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</si>
  <si>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</si>
  <si>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</si>
  <si>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</si>
  <si>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</si>
  <si>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</si>
  <si>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</si>
  <si>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</si>
  <si>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</si>
  <si>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</si>
  <si>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</si>
  <si>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</si>
  <si>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</si>
  <si>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</si>
  <si>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</si>
  <si>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</si>
  <si>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</si>
  <si>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</si>
  <si>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</si>
  <si>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</si>
  <si>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</si>
  <si>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</si>
  <si>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</si>
  <si>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</si>
  <si>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</si>
  <si>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</si>
  <si>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</si>
  <si>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</si>
  <si>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</si>
  <si>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</si>
  <si>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</si>
  <si>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</si>
  <si>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</si>
  <si>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</si>
  <si>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</si>
  <si>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</si>
  <si>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</si>
  <si>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</si>
  <si>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</si>
  <si>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</si>
  <si>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</si>
  <si>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</si>
  <si>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</si>
  <si>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</si>
  <si>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</si>
  <si>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</si>
  <si>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</si>
  <si>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</si>
  <si>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</si>
  <si>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</si>
  <si>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</si>
  <si>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</si>
  <si>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</si>
  <si>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</si>
  <si>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</si>
  <si>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</si>
  <si>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</si>
  <si>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</si>
  <si>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</si>
  <si>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</si>
  <si>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</si>
  <si>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</si>
  <si>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</si>
  <si>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</si>
  <si>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</si>
  <si>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</si>
  <si>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</si>
  <si>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</si>
  <si>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</si>
  <si>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</si>
  <si>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</si>
  <si>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</si>
  <si>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</si>
  <si>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</si>
  <si>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</si>
  <si>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</si>
  <si>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</si>
  <si>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</si>
  <si>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</si>
  <si>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</si>
  <si>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</si>
  <si>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</si>
  <si>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</si>
  <si>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</si>
  <si>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</si>
  <si>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</si>
  <si>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</si>
  <si>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</si>
  <si>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</si>
  <si>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</si>
  <si>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</si>
  <si>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</si>
  <si>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</si>
  <si>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</si>
  <si>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</si>
  <si>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</si>
  <si>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</si>
  <si>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</si>
  <si>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</si>
  <si>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</si>
  <si>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</si>
  <si>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</si>
  <si>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</si>
  <si>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</si>
  <si>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</si>
  <si>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</si>
  <si>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</si>
  <si>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</si>
  <si>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</si>
  <si>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</si>
  <si>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</si>
  <si>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</si>
  <si>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</si>
  <si>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</si>
  <si>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</si>
  <si>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</si>
  <si>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</si>
  <si>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</si>
  <si>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</si>
  <si>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</si>
  <si>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</si>
  <si>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</si>
  <si>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</si>
  <si>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</si>
  <si>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</si>
  <si>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</si>
  <si>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</si>
  <si>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</si>
  <si>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</si>
  <si>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</si>
  <si>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</si>
  <si>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</si>
  <si>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</si>
  <si>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</si>
  <si>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</si>
  <si>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</si>
  <si>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</si>
  <si>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</si>
  <si>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</si>
  <si>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</si>
  <si>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</si>
  <si>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</si>
  <si>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</si>
  <si>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</si>
  <si>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</si>
  <si>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</si>
  <si>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</si>
  <si>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</si>
  <si>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</si>
  <si>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</si>
  <si>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</si>
  <si>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</si>
  <si>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</si>
  <si>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</si>
  <si>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</si>
  <si>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</si>
  <si>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</si>
  <si>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</si>
  <si>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</si>
  <si>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</si>
  <si>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</si>
  <si>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</si>
  <si>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</si>
  <si>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</si>
  <si>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</si>
  <si>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</si>
  <si>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</si>
  <si>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</si>
  <si>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</si>
  <si>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</si>
  <si>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</si>
  <si>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</si>
  <si>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</si>
  <si>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</si>
  <si>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</si>
  <si>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</si>
  <si>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</si>
  <si>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</si>
  <si>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</si>
  <si>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</si>
  <si>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</si>
  <si>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</si>
  <si>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</si>
  <si>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</si>
  <si>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</si>
  <si>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</si>
  <si>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</si>
  <si>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</si>
  <si>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</si>
  <si>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</si>
  <si>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</si>
  <si>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</si>
  <si>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</si>
  <si>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</si>
  <si>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</si>
  <si>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</si>
  <si>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</si>
  <si>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</si>
  <si>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</si>
  <si>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</si>
  <si>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</si>
  <si>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</si>
  <si>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</si>
  <si>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</si>
  <si>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</si>
  <si>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</si>
  <si>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</si>
  <si>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</si>
  <si>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</si>
  <si>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</si>
  <si>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</si>
  <si>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</si>
  <si>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</si>
  <si>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</si>
  <si>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</si>
  <si>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</si>
  <si>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</si>
  <si>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</si>
  <si>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</si>
  <si>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</si>
  <si>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</si>
  <si>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</si>
  <si>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</si>
  <si>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</si>
  <si>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</si>
  <si>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</si>
  <si>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</si>
  <si>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</si>
  <si>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</si>
  <si>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</si>
  <si>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</si>
  <si>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</si>
  <si>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</si>
  <si>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</si>
  <si>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</si>
  <si>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</si>
  <si>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</si>
  <si>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</si>
  <si>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</si>
  <si>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</si>
  <si>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</si>
  <si>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</si>
  <si>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</si>
  <si>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</si>
  <si>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</si>
  <si>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</si>
  <si>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</si>
  <si>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</si>
  <si>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</si>
  <si>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</si>
  <si>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</si>
  <si>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</si>
  <si>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</si>
  <si>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</si>
  <si>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</si>
  <si>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</si>
  <si>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</si>
  <si>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</si>
  <si>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</si>
  <si>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</si>
  <si>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</si>
  <si>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</si>
  <si>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</si>
  <si>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</si>
  <si>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</si>
  <si>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</si>
  <si>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</si>
  <si>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</si>
  <si>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</si>
  <si>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</si>
  <si>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</si>
  <si>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</si>
  <si>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</si>
  <si>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</si>
  <si>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</si>
  <si>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</si>
  <si>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</si>
  <si>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</si>
  <si>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</si>
  <si>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</si>
  <si>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</si>
  <si>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</si>
  <si>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</si>
  <si>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</si>
  <si>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</si>
  <si>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</si>
  <si>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</si>
  <si>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</si>
  <si>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</si>
  <si>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</si>
  <si>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</si>
  <si>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</si>
  <si>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</si>
  <si>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</si>
  <si>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</si>
  <si>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</si>
  <si>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</si>
  <si>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</si>
  <si>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</si>
  <si>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</si>
  <si>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</si>
  <si>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</si>
  <si>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</si>
  <si>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</si>
  <si>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</si>
  <si>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</si>
  <si>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</si>
  <si>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</si>
  <si>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</si>
  <si>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</si>
  <si>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</si>
  <si>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</si>
  <si>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</si>
  <si>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</si>
  <si>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</si>
  <si>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</si>
  <si>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</si>
  <si>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</si>
  <si>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</si>
  <si>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</si>
  <si>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</si>
  <si>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</si>
  <si>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</si>
  <si>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</si>
  <si>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</si>
  <si>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</si>
  <si>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</si>
  <si>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</si>
  <si>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</si>
  <si>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</si>
  <si>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</si>
  <si>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</si>
  <si>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</si>
  <si>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</si>
  <si>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</si>
  <si>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</si>
  <si>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</si>
  <si>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</si>
  <si>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</si>
  <si>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</si>
  <si>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</si>
  <si>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</si>
  <si>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</si>
  <si>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</si>
  <si>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</si>
  <si>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</si>
  <si>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</si>
  <si>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</si>
  <si>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</si>
  <si>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</si>
  <si>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</si>
  <si>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</si>
  <si>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</si>
  <si>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</si>
  <si>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</si>
  <si>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</si>
  <si>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</si>
  <si>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</si>
  <si>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</si>
  <si>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</si>
  <si>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</si>
  <si>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</si>
  <si>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</si>
  <si>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</si>
  <si>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</si>
  <si>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</si>
  <si>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</si>
  <si>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</si>
  <si>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</si>
  <si>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</si>
  <si>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</si>
  <si>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</si>
  <si>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</si>
  <si>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</si>
  <si>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</si>
  <si>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</si>
  <si>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</si>
  <si>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</si>
  <si>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</si>
  <si>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</si>
  <si>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</si>
  <si>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</si>
  <si>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</si>
  <si>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</si>
  <si>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</si>
  <si>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</si>
  <si>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</si>
  <si>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</si>
  <si>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</si>
  <si>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</si>
  <si>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</si>
  <si>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</si>
  <si>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</si>
  <si>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</si>
  <si>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</si>
  <si>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</si>
  <si>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</si>
  <si>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</si>
  <si>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</si>
  <si>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</si>
  <si>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</si>
  <si>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</si>
  <si>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</si>
  <si>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</si>
  <si>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</si>
  <si>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</si>
  <si>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</si>
  <si>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</si>
  <si>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</si>
  <si>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</si>
  <si>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</si>
  <si>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</si>
  <si>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</si>
  <si>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</si>
  <si>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</si>
  <si>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</si>
  <si>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</si>
  <si>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</si>
  <si>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</si>
  <si>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</si>
  <si>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</si>
  <si>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</si>
  <si>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</si>
  <si>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</si>
  <si>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</si>
  <si>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</si>
  <si>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</si>
  <si>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</si>
  <si>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</si>
  <si>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</si>
  <si>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</si>
  <si>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</si>
  <si>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</si>
  <si>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</si>
  <si>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</si>
  <si>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</si>
  <si>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</si>
  <si>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</si>
  <si>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</si>
  <si>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</si>
  <si>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</si>
  <si>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</si>
  <si>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</si>
  <si>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</si>
  <si>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</si>
  <si>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</si>
  <si>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</si>
  <si>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</si>
  <si>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</si>
  <si>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</si>
  <si>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</si>
  <si>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</si>
  <si>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</si>
  <si>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</si>
  <si>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</si>
  <si>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</si>
  <si>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</si>
  <si>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</si>
  <si>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</si>
  <si>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</si>
  <si>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</si>
  <si>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</si>
  <si>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</si>
  <si>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</si>
  <si>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</si>
  <si>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</si>
  <si>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</si>
  <si>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</si>
  <si>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</si>
  <si>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</si>
  <si>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</si>
  <si>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</si>
  <si>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</si>
  <si>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</si>
  <si>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</si>
  <si>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</si>
  <si>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</si>
  <si>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</si>
  <si>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</si>
  <si>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</si>
  <si>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</si>
  <si>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</si>
  <si>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</si>
  <si>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</si>
  <si>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</si>
  <si>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</si>
  <si>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</si>
  <si>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</si>
  <si>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</si>
  <si>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</si>
  <si>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</si>
  <si>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</si>
  <si>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</si>
  <si>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</si>
  <si>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</si>
  <si>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</si>
  <si>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</si>
  <si>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</si>
  <si>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</si>
  <si>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</si>
  <si>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</si>
  <si>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</si>
  <si>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</si>
  <si>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</si>
  <si>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</si>
  <si>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</si>
  <si>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</si>
  <si>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</si>
  <si>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</si>
  <si>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</si>
  <si>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</si>
  <si>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</si>
  <si>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</si>
  <si>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</si>
  <si>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</si>
  <si>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</si>
  <si>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</si>
  <si>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</si>
  <si>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</si>
  <si>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</si>
  <si>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</si>
  <si>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</si>
  <si>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</si>
  <si>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</si>
  <si>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</si>
  <si>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</si>
  <si>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</si>
  <si>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</si>
  <si>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</si>
  <si>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</si>
  <si>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</si>
  <si>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</si>
  <si>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</si>
  <si>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</si>
  <si>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</si>
  <si>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</si>
  <si>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</si>
  <si>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</si>
  <si>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</si>
  <si>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</si>
  <si>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</si>
  <si>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</si>
  <si>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</si>
  <si>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</si>
  <si>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</si>
  <si>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</si>
  <si>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</si>
  <si>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</si>
  <si>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</si>
  <si>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</si>
  <si>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</si>
  <si>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</si>
  <si>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</si>
  <si>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</si>
  <si>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</si>
  <si>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</si>
  <si>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</si>
  <si>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</si>
  <si>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</si>
  <si>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</si>
  <si>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</si>
  <si>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</si>
  <si>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</si>
  <si>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</si>
  <si>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</si>
  <si>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</si>
  <si>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</si>
  <si>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</si>
  <si>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</si>
  <si>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</si>
  <si>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</si>
  <si>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</si>
  <si>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</si>
  <si>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</si>
  <si>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</si>
  <si>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</si>
  <si>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</si>
  <si>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</si>
  <si>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</si>
  <si>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</si>
  <si>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</si>
  <si>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</si>
  <si>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</si>
  <si>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</si>
  <si>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</si>
  <si>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</si>
  <si>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Points from other sections:</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</si>
  <si>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</si>
  <si>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</si>
  <si>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</si>
  <si>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</si>
  <si>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</si>
  <si>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</si>
  <si>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</si>
  <si>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</si>
  <si>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</si>
  <si>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</si>
  <si>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</si>
  <si>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</si>
  <si>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</si>
  <si>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</si>
  <si>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</si>
  <si>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</si>
  <si>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</si>
  <si>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</si>
  <si>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</si>
  <si>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</si>
  <si>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</si>
  <si>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</si>
  <si>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</si>
  <si>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</si>
  <si>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</si>
  <si>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</si>
  <si>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</si>
  <si>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</si>
  <si>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</si>
  <si>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</si>
  <si>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</si>
  <si>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</si>
  <si>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</si>
  <si>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</si>
  <si>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</si>
  <si>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</si>
  <si>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</si>
  <si>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</si>
  <si>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</si>
  <si>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</si>
  <si>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</si>
  <si>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</si>
  <si>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</si>
  <si>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</si>
  <si>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</si>
  <si>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</si>
  <si>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</si>
  <si>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</si>
  <si>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</si>
  <si>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</si>
  <si>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</si>
  <si>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</si>
  <si>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</si>
  <si>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</si>
  <si>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</si>
  <si>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</si>
  <si>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</si>
  <si>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</si>
  <si>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</si>
  <si>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</si>
  <si>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</si>
  <si>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</si>
  <si>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</si>
  <si>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</si>
  <si>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</si>
  <si>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</si>
  <si>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</si>
  <si>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</si>
  <si>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</si>
  <si>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</si>
  <si>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</si>
  <si>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</si>
  <si>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</si>
  <si>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</si>
  <si>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</si>
  <si>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</si>
  <si>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</si>
  <si>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</si>
  <si>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</si>
  <si>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</si>
  <si>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</si>
  <si>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</si>
  <si>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</si>
  <si>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</si>
  <si>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</si>
  <si>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</si>
  <si>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</si>
  <si>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</si>
  <si>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</si>
  <si>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</si>
  <si>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</si>
  <si>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</si>
  <si>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</si>
  <si>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</si>
  <si>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</si>
  <si>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</si>
  <si>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</si>
  <si>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</si>
  <si>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</si>
  <si>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</si>
  <si>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</si>
  <si>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</si>
  <si>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</si>
  <si>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</si>
  <si>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</si>
  <si>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</si>
  <si>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</si>
  <si>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</si>
  <si>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</si>
  <si>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</si>
  <si>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</si>
  <si>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</si>
  <si>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</si>
  <si>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</si>
  <si>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</si>
  <si>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</si>
  <si>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</si>
  <si>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</si>
  <si>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</si>
  <si>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</si>
  <si>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</si>
  <si>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</si>
  <si>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</si>
  <si>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</si>
  <si>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</si>
  <si>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</si>
  <si>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</si>
  <si>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</si>
  <si>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</si>
  <si>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</si>
  <si>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</si>
  <si>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</si>
  <si>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</si>
  <si>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</si>
  <si>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</si>
  <si>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</si>
  <si>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</si>
  <si>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</si>
  <si>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</si>
  <si>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</si>
  <si>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</si>
  <si>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</si>
  <si>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</si>
  <si>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</si>
  <si>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</si>
  <si>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</si>
  <si>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</si>
  <si>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</si>
  <si>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</si>
  <si>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</si>
  <si>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</si>
  <si>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</si>
  <si>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</si>
  <si>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</si>
  <si>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</si>
  <si>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</si>
  <si>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</si>
  <si>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</si>
  <si>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</si>
  <si>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</si>
  <si>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</si>
  <si>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</si>
  <si>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</si>
  <si>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</si>
  <si>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</si>
  <si>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</si>
  <si>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</si>
  <si>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</si>
  <si>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</si>
  <si>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</si>
  <si>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</si>
  <si>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</si>
  <si>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</si>
  <si>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</si>
  <si>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</si>
  <si>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</si>
  <si>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</si>
  <si>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</si>
  <si>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</si>
  <si>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</si>
  <si>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</si>
  <si>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</si>
  <si>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</si>
  <si>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</si>
  <si>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</si>
  <si>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</si>
  <si>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</si>
  <si>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</si>
  <si>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</si>
  <si>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</si>
  <si>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</si>
  <si>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</si>
  <si>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</si>
  <si>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</si>
  <si>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</si>
  <si>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</si>
  <si>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</si>
  <si>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</si>
  <si>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</si>
  <si>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</si>
  <si>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</si>
  <si>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</si>
  <si>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</si>
  <si>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</si>
  <si>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</si>
  <si>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</si>
  <si>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</si>
  <si>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</si>
  <si>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</si>
  <si>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</si>
  <si>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</si>
  <si>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</si>
  <si>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</si>
  <si>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</si>
  <si>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</si>
  <si>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</si>
  <si>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</si>
  <si>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</si>
  <si>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</si>
  <si>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</si>
  <si>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</si>
  <si>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</si>
  <si>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</si>
  <si>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</si>
  <si>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</si>
  <si>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</si>
  <si>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</si>
  <si>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</si>
  <si>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</si>
  <si>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</si>
  <si>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</si>
  <si>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</si>
  <si>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</si>
  <si>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</si>
  <si>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</si>
  <si>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</si>
  <si>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</si>
  <si>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</si>
  <si>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</si>
  <si>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</si>
  <si>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</si>
  <si>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</si>
  <si>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</si>
  <si>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</si>
  <si>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</si>
  <si>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</si>
  <si>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</si>
  <si>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</si>
  <si>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</si>
  <si>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</si>
  <si>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</si>
  <si>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</si>
  <si>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</si>
  <si>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</si>
  <si>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</si>
  <si>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</si>
  <si>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</si>
  <si>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</si>
  <si>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</si>
  <si>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</si>
  <si>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</si>
  <si>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2016PA-052</t>
  </si>
  <si>
    <t>David K. Loeffel</t>
  </si>
  <si>
    <t>Principal - Affordable Housing Investments</t>
  </si>
  <si>
    <t>2181 Newmarket Parkway</t>
  </si>
  <si>
    <t>dloeffel@waltoncommunities.com</t>
  </si>
  <si>
    <t>240 Atlanta Street Development Phase 2</t>
  </si>
  <si>
    <t>Yes- w/Master Plan</t>
  </si>
  <si>
    <t>2015-046</t>
  </si>
  <si>
    <t>12.01</t>
  </si>
  <si>
    <t>240 Atlanta Street</t>
  </si>
  <si>
    <t>Within City Limits</t>
  </si>
  <si>
    <t>http://www.gainesville.org/city-council</t>
  </si>
  <si>
    <t>citycouncil@gainesville.org</t>
  </si>
  <si>
    <t>City of Gainesville, Georgia</t>
  </si>
  <si>
    <t>Danny Dunagan</t>
  </si>
  <si>
    <t>Mayor</t>
  </si>
  <si>
    <t>300 Henry Ward Way, Suite 303</t>
  </si>
  <si>
    <t>15th Street Development Phase 2</t>
  </si>
  <si>
    <t>Direct</t>
  </si>
  <si>
    <t>1 L. Barry Teague</t>
  </si>
  <si>
    <t>2 Lynda T. Ausburn</t>
  </si>
  <si>
    <t>3 W. David Knight</t>
  </si>
  <si>
    <t>4 Keith A. Davidson</t>
  </si>
  <si>
    <t>5 Thomas L. Wilkes</t>
  </si>
  <si>
    <t>6 David K. Loeffel</t>
  </si>
  <si>
    <t>7 Ben Teague</t>
  </si>
  <si>
    <t>8 Matthew L. Teague</t>
  </si>
  <si>
    <t>The Housing Authority of the City of Gainesville, Georgia</t>
  </si>
  <si>
    <t>750 Pearl Nix Parkway</t>
  </si>
  <si>
    <t>Beth Brown</t>
  </si>
  <si>
    <t>bbrown@gainesvillehousing.org</t>
  </si>
  <si>
    <t>240 Atlanta Street Phase 2, L.P.</t>
  </si>
  <si>
    <t>Non Profit</t>
  </si>
  <si>
    <t>ED of NonProfit Sponsor</t>
  </si>
  <si>
    <t>240 Atlanta Street Phase 2 GP, LLC</t>
  </si>
  <si>
    <t>www.gainesvillehousing.org</t>
  </si>
  <si>
    <t>240 Atlanta Street Phase 2 Walton Limited, LLC</t>
  </si>
  <si>
    <t>Keith A. Davidson</t>
  </si>
  <si>
    <t>Co-Manager</t>
  </si>
  <si>
    <t>kdavidson@waltoncommunities.com</t>
  </si>
  <si>
    <t>Gainesville Housing Corporation</t>
  </si>
  <si>
    <t>KDTA Development, Inc.</t>
  </si>
  <si>
    <t>Treasurer</t>
  </si>
  <si>
    <t>Walton Construction Services, LP</t>
  </si>
  <si>
    <t>Mark Stovall</t>
  </si>
  <si>
    <t>6640 Akers Mill Road, Building 1700</t>
  </si>
  <si>
    <t>President</t>
  </si>
  <si>
    <t>www.wcsatl.com</t>
  </si>
  <si>
    <t>mstovall@wcsatl.com</t>
  </si>
  <si>
    <t>Walton Communities, LLC</t>
  </si>
  <si>
    <t>www.waltoncommunities.com</t>
  </si>
  <si>
    <t>Jeff Adams</t>
  </si>
  <si>
    <t>Arnall Golden Gregory LLP</t>
  </si>
  <si>
    <t>171 17th St., NW, Suite 2100</t>
  </si>
  <si>
    <t>Partner</t>
  </si>
  <si>
    <t>www.agg.com</t>
  </si>
  <si>
    <t>jeffrey.adams@agg.com</t>
  </si>
  <si>
    <t>CohnReznick LLP</t>
  </si>
  <si>
    <t>3560 Lenox Rd., Suite 2800</t>
  </si>
  <si>
    <t>www.cohnreznick.com</t>
  </si>
  <si>
    <t>wendy.langlais@cohnreznick.com</t>
  </si>
  <si>
    <t>Arrive Architecture Group (fka Gailer Tolson French)</t>
  </si>
  <si>
    <t>2344 Highway 121, Suite 100</t>
  </si>
  <si>
    <t>Bedford</t>
  </si>
  <si>
    <t>http://arriveag.com</t>
  </si>
  <si>
    <t>marc@arriveag.com</t>
  </si>
  <si>
    <t>Wendy R. Langlais-Tillery</t>
  </si>
  <si>
    <t>Office Manager Partner</t>
  </si>
  <si>
    <t>Marc Tolson</t>
  </si>
  <si>
    <t>Co-developer, KDTA Development, Inc. is managed by Keith A. Davidson, who is a partner in Walton Construction Services. Additionally, David Knight is a principal in both entities.</t>
  </si>
  <si>
    <t>The property will be leased by the Gainesville Housing Authority to the Project Parnership in which the Gainesville Housing Corporation is the managing member of the GP. The Gainesville Housing Authority is affiliated with the Gainesvile Housing Corporation.</t>
  </si>
  <si>
    <t>The minority member of the GP is 240 Atlanta Street Phase 2 Walton GP, LLC and is managed by Keith A. Davidson, who is a partner in Walton Construction Services. Additionally, David Knight is an owner in both entities.</t>
  </si>
  <si>
    <t>The Limited Partner, 240 Atlanta Street Phase 2 Walton Limited, LLC is managed by Keith A. Davidson, who also manages KDTA Development, Inc. Additionally, all the owners of KDTA Development, Inc. will be participating in the syndication through 240 Atlanta Street Phase 2 Walton Limited, LLC.</t>
  </si>
  <si>
    <t>The Limited Partner, 240 Atlanta Street Phase 2 Walton Limited, LLC is managed by Keith A. Davidson, who is a partner in Walton Construction Services. Additionally, one of the owners of KDTA Development, Inc. (i.e. David Knight) will be participating in the syndication through 240 Atlanta Street Phase 2 Walton Limited, LLC.</t>
  </si>
  <si>
    <t>Keith A. Davidson and David Knight are principals in the Management Company, Co-Developer, Syndicator (State Limited Parnter) and Contractor</t>
  </si>
  <si>
    <t>For Profit</t>
  </si>
  <si>
    <t>The NonProfit Sponsor will have a 51% interest in the General Partner entity. As such, the NonProfit Sponsor will have ownership. For the purposes of the chart above, we are putting 0% ownership to avoid double counting ownership which would result in the total ownership exceeding 100%.All Identity of Interest is noted in Section IV.B.</t>
  </si>
  <si>
    <t>Gainesville Housing Corporation RHF Funds</t>
  </si>
  <si>
    <t>Wells Fargo Securities</t>
  </si>
  <si>
    <t>Gainesville Housing Corporation RHF</t>
  </si>
  <si>
    <t>KDTA Development</t>
  </si>
  <si>
    <t>Construction Cost Review</t>
  </si>
  <si>
    <t>DDA/QCT</t>
  </si>
  <si>
    <t>Electric Heat Pump</t>
  </si>
  <si>
    <t>3+ Story</t>
  </si>
  <si>
    <t>PHA Oper Sub</t>
  </si>
  <si>
    <t>Monthly birthday celebrations, Monthly themed events, other socials throughout the month. (see note)</t>
  </si>
  <si>
    <t>Technology tutoring, gardening, ID theft protection, etc (see note)</t>
  </si>
  <si>
    <t>Healthy cooking, diabetes management, exercise classes, etc. (see note)</t>
  </si>
  <si>
    <t>Social and Recreational•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Fiesta)On-site enrichment classes to include:o Technology tutoring, gardening, identity theft prevention, CPR, self defense, Learning about Medicare options, knitting/crocheting, Avoiding Scams, On-site health classes, to include:o Healthy cooking, diabetes management, exercise classes (chair aerobics and more active exercises), walking club, water aerobics (if there is a pool), fall prevention, heart health, Alzheimer’s and Dementia, Elder Abuse, Advanced Care Planning, Stroke Awareness, Arthritis &amp; Joint Pain)</t>
  </si>
  <si>
    <t>Chattahoochee Bank of Georgia</t>
  </si>
  <si>
    <t>Hall Area Transit</t>
  </si>
  <si>
    <t>http://www.gainesville.org/hall-area-transit</t>
  </si>
  <si>
    <t>http://www.gainesville.org/fullpanel/uploads/files/redrabbitroutes-july182012.pdf</t>
  </si>
  <si>
    <t>Earth Craft House Multifamily</t>
  </si>
  <si>
    <t>240 Atlanta Street Development Phase 1</t>
  </si>
  <si>
    <t>N/a</t>
  </si>
  <si>
    <t>Agree</t>
  </si>
  <si>
    <t>Gainesville City - 776</t>
  </si>
  <si>
    <t>Gainesville High School - 3050</t>
  </si>
  <si>
    <t>09, 10, 11, 12</t>
  </si>
  <si>
    <t>Corbin Adams</t>
  </si>
  <si>
    <t>Walton Communities</t>
  </si>
  <si>
    <t>Tad Scepaniak; Real Property Research Group</t>
  </si>
  <si>
    <t>Seven Months; page viii; section 8</t>
  </si>
  <si>
    <t>1.3%; page viii; section 7</t>
  </si>
  <si>
    <t>240 Atlanta St P1</t>
  </si>
  <si>
    <t>Gainesville is a growing economy atracting a mix of new residents and jobs. Retirees are moving in at the same time manufacturing jobs are increasing at a rapid pace. The market study fully supports this development which will provide much needed affordable housing for seniors in Gainesville, GA.</t>
  </si>
  <si>
    <t>http://www.gainesville.org/pdfs/bidding/Tax%20Allocation%20District%20Document_2006.pdf</t>
  </si>
  <si>
    <t>The Times, Gainesville, Georgia</t>
  </si>
  <si>
    <t>9/21/2006 and 9/24/2006</t>
  </si>
  <si>
    <t>Published local govt public mtg</t>
  </si>
  <si>
    <t>Non-profit organization</t>
  </si>
  <si>
    <t>Gainesville Non-Profit Development Foundation, Inc.</t>
  </si>
  <si>
    <t>9 years and 8 months</t>
  </si>
  <si>
    <t>24,25</t>
  </si>
  <si>
    <t>Via Email from City</t>
  </si>
  <si>
    <t>26, 27, 30</t>
  </si>
  <si>
    <t>21</t>
  </si>
  <si>
    <t xml:space="preserve">Local business coalition </t>
  </si>
  <si>
    <t>No commitments are submitted as "Under Consideration".  All commitments are provided in accordance with the requirements of the 2016 QAP.</t>
  </si>
  <si>
    <t>The total development cost does not exceed the project cost limit for this location.</t>
  </si>
  <si>
    <t>Units will be age restricted as Housing for Older Persons.</t>
  </si>
  <si>
    <t>Not Applicable</t>
  </si>
  <si>
    <t>Since the ground lease is for a nominal amount there is no requirement for an appraisal. The plan was recently rezoned as a site specific site plan consistent with the current site plan.</t>
  </si>
  <si>
    <t>This is a master planned site. Access to the master site is provided by public right of way. All infrastructure is provided via a commonly owned.  Commitments to provide access easement rights to the project partnership are made in the Option to Lease.</t>
  </si>
  <si>
    <t>Georgia Power</t>
  </si>
  <si>
    <t>The letter included in tab 11 confirms that Georgia Power has availability and capacity to provide electrical service to the project.</t>
  </si>
  <si>
    <t>City of Gainesville; Dept of Water Services</t>
  </si>
  <si>
    <t>The letter included in tab 12 confirms that the City of Gainesville has availability and capacity to provide water and sewer service to the project.</t>
  </si>
  <si>
    <t>Room</t>
  </si>
  <si>
    <t>Gazebo</t>
  </si>
  <si>
    <t>On-site laundry</t>
  </si>
  <si>
    <t>Furnished Library (DCA Pre-Approval in tab 14)</t>
  </si>
  <si>
    <t>Furnished Exercise / Fitness Center</t>
  </si>
  <si>
    <t>Please see tab 14 for DCA's pre-approval of the furnished library. All other amenities will provided in accordance with DCA's amenity guidebook.</t>
  </si>
  <si>
    <t>Project is entirely new construction.</t>
  </si>
  <si>
    <t>In order to cover all requirements requested by DCA, several conceptual site plans are included in tab 16.</t>
  </si>
  <si>
    <t>Project will be Earthcraft Multifamily (or equivalent) certified.</t>
  </si>
  <si>
    <t>Project will meet all accessibility requirements and any additional requirements established by DCA.</t>
  </si>
  <si>
    <t>Enercon</t>
  </si>
  <si>
    <t>Arpeggio</t>
  </si>
  <si>
    <t>Athens Highway, Norfolk Southern Rail Road, Amtrak Rail Road</t>
  </si>
  <si>
    <t>Ground lease/Option</t>
  </si>
  <si>
    <t>240 ATLANTA STREET PHASE 2, L.P.</t>
  </si>
  <si>
    <t>The option expires 12 months after notification of tax credit awards for 2016.</t>
  </si>
  <si>
    <t>The Times of Gainesville</t>
  </si>
  <si>
    <t>The Project Partnership will comply with all of DCA's architectural requirements.</t>
  </si>
  <si>
    <t>A pre-qualification letter is contained in tab 20, listing the project team as Qualified - Complete.</t>
  </si>
  <si>
    <t>The project partnership is qualified based on the compliance history of Walton Communities.</t>
  </si>
  <si>
    <t>See section 3.2 and 4.1 of the JV Agreement in tab 22 for the ownership and developer fee share of the non-profit partner.</t>
  </si>
  <si>
    <t>Gainesville Housing Authority is not a CHDO.</t>
  </si>
  <si>
    <t>The non-profit opinion letter can be found in tab 24.</t>
  </si>
  <si>
    <t>The numbers provided in 25.D. above are as of April 30, 2015. All residents, including those who are rent burndened, will have the opportunity to receive a relocation voucher or remain in public housing, therefore, none of the residents will actually be rent burdened as they will only pay 30% of their income as rent.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t>
  </si>
  <si>
    <t>We will incorporate these concepts into our marketing and leasing practices.</t>
  </si>
  <si>
    <t>This site is the redevelopment of a public housing site and is utilizing some of the pre-existing infrastructure. In addition, we are leveraging substantial local government resources to help implement the governments place based strategy.</t>
  </si>
  <si>
    <t>Department of Commuity Affairs (Northern Region)</t>
  </si>
  <si>
    <t>Because of an identity of interest between the contractor and a member of GP, we are required to do a Construction Cost Review.</t>
  </si>
  <si>
    <t>Amortizing</t>
  </si>
  <si>
    <t>Hall County Govt Admin - Courthouse Annex</t>
  </si>
  <si>
    <t>Northeast GA Health System</t>
  </si>
  <si>
    <t>The Project will be built to the Earthcraft Multifamily standard consistent with other projects developed by the applicant.</t>
  </si>
  <si>
    <t>This will be the second phase of a three-phase development called Walton Summit.</t>
  </si>
  <si>
    <t>At the conclusion of 2015, the Greater Hall Chamber had the single best year of investment on record with 24 new and existing projects announcing capital investment plans for over $320 million and 1,100 jobs. It’s no wonder Gainesville-Hall County was recently ranked third in the nation and first in Georgia for number of economic development projects (population 200,000/less) by Site Selection Magazine.
International commerce continues to grow in Gainesville-Hall County, with 47 international firms, many serving as North American headquarters. Kubota Manufacturing is developing a new 180-acre campus, investing $220 million, and adding 580 additional jobs to its current 1,300 employee base. The company recently celebrated their “One-Millionth” tractor produced since opening its Gainesville facility in 1988.
The above was excerpted from: http://www.bizjournals.com/atlanta/print-edition/2016/04/29/bridging-economic-growth-with-historical.html</t>
  </si>
  <si>
    <t>The application is being submitted under the flexible pool.</t>
  </si>
  <si>
    <t>See Tab 36 for letters and documentation regarding the GICH's support and activities in Gainesville, GA.</t>
  </si>
  <si>
    <t>The Project Partnership is receiving both leveraging and a long term ground lease for a nominal rent in conjuction with this project.</t>
  </si>
  <si>
    <t>Applicant is not seeking preservation points.</t>
  </si>
  <si>
    <t>Gainesville is a thriving economy and more jobs are being added. The increase in workforce housing is a huge benefit to this community.</t>
  </si>
  <si>
    <t>Greater Hall Chamber of Commerce</t>
  </si>
  <si>
    <t>The Ordinance establishing the redevelopment area and the TAD lists the date of First Reading, Publication, and Passage as 10/3/06, 10/5/06, and 10/17/06 respectively.
In addition, the TAD was reauthorized per Resolution BR-2010-15 included in tab 32 on 5/4/2010.
Furthermore, email correspondence with the city of Gainesville, and included in tab 32, demonstrate that the TAD is currently active and in use.
The redevelopment plan is being submitted in electronic format in tab 32.</t>
  </si>
  <si>
    <t>See note below</t>
  </si>
  <si>
    <t>GICH - City of Gainesville 
Narrative 
GICH Goals and Objectives and how the proposed project meets the objective: 
Improve the quality of all residential properties in the City: The redevelopment plan includes replacing public housing apartments that have been determined to be physically obsolete with new, quality affordable housing units. 
Improve access to safe and affordable housing choices: Current site of the proposed project is crime ridden and dilapidated. The proposed project will improve the community and be a catalyst for community wide redevelopment. 
Strengthen connections between resources and recipients: One of the action items under this goal was to determine the role of the Housing Authority in GICH. The Housing Authority is now a member of GICH and relationships have strengthened throughout the planning and redevelopment process. 
Increase awareness of and availability to transitional housing/rental assistance: N/ A 
Enhance overall appearance of downtown area: The proposed project is on the edge between the downtown and midtown areas. The project will greatly enhance the appearance of the downtown area.</t>
  </si>
  <si>
    <t>Latitude:</t>
  </si>
  <si>
    <t>Longitude:</t>
  </si>
  <si>
    <t>Application (family or senior) meets criteria for at least one (1) pt under Sect 20 QEA?</t>
  </si>
  <si>
    <t>Property serves mixed-income tenant base (min 15% unrestricted units)?  Percent:</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</si>
  <si>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</si>
  <si>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</si>
  <si>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</si>
  <si>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</si>
  <si>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</si>
  <si>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34°17'43.65"N</t>
  </si>
  <si>
    <t>83°49'12.06"W</t>
  </si>
  <si>
    <t>Appl:</t>
  </si>
  <si>
    <t>Nbr of units to have DCA PBRA:</t>
  </si>
  <si>
    <t>May 2016 Revision v6</t>
  </si>
  <si>
    <t>V. There are 85 spaces in within the Phase 2 boundary, but an additional 25 spaces in the common access easement are dedicated to Phase 2. So the overall total for Phase 2 is 110 spaces. This is sufficient per the zoning, which is site plan specific. See tab 10 for zoning details.
XIII Additional Project Information: B. Extension of Cancelation Option. The expiration year depends on when we actually take our first year credits. At this time we do not know when that will be. 
We previously received our development team's Qualification Determination during the pre-application process, and the development team has not changed since then.</t>
  </si>
  <si>
    <t>J. Frederick Davis, III</t>
  </si>
  <si>
    <t>Senior Vice President</t>
  </si>
  <si>
    <t>Wells Fargo Community Lending and Investment</t>
  </si>
  <si>
    <t>301 South College Street</t>
  </si>
  <si>
    <t>Charlotte</t>
  </si>
  <si>
    <t>rick.davis@wellsfargo.com</t>
  </si>
  <si>
    <t>Non-minority</t>
  </si>
  <si>
    <t>7.01, 12.02, 101.03, 13.03, 13.01, 11.01, 8</t>
  </si>
  <si>
    <t>7.B. A Lead in Soils report is included as Exhibit E to the Phase I.  
7.C. A Noise Assessment and Attenuation Plan is included in Exhibit F to the Phase I.
7.F. Because this project will be a HUD mixed finance deal, we have completed the HOME/HUD forms.</t>
  </si>
  <si>
    <t>16.3%; page viii; section 6</t>
  </si>
  <si>
    <t>240 Atlanta Street Development (Phase 2) will be developed, built and managed through the joint efforts of Walton Communities and the Gainesville Housing Authority.  This development will consist of +/- 90 one- and two-bedroom units displaying exceptional interior appointments with the highest quality elevations.  The units serve moderate-income seniors of 55 years of age and older earning 60% or less of the area median income.  In order to reach these potential residents, marketing efforts will reach out to senior centers, churches, work-force employment centers such as the call centers in the area, retail and service industries, local government employees, teachers and seniors.  
240 Atlanta Street Development (Phase 2) will offer a laundry facility, a community room set aside for resident use and a covered porch as well as a pavilion and landscaped courtyard.  Programs will also be available for adults;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Floorplans at 240 Atlanta Street Development (Phase 2) will include spacious one and two-bedroom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Amenities
Standard Site Amenities
1. Community Room
2. Gazebo
3. On-site laundry with a minimum of 1 washer and 1 dryer per 25 units
4. Washer / Dryer Hookups in each unit
5. Furnished Exercise/Fitness Center
6. Furnished Library
Unit Amenities
1. HVAC Systems
2. Energy Star Refrigerators
3. Built in Energy Star Dishwasher
4. Stoves
5. Powder-based stovetop fire suppression canisters installed above the range cook top
Services:
- Games, Senior Proms, Day Trips and other events are planned/overseen
- Exercise and cultural classes are provided.
- Cultural Enrichment Program - Walton Communities offers a 90% reimbursment towards various cultural attractions</t>
  </si>
  <si>
    <t>This project will be funded in part by a loan from an Instrumentatlity of the Housing Authority using RHF funds and in part through a nominal lease from the housing authority.</t>
  </si>
  <si>
    <t>Utilities are based on DCA's northern region utility allowances for 2015.  See tab 01.</t>
  </si>
  <si>
    <t>This is a cost of construction and as such attributable as basis.  Also, past cost certification audits have always included this cost as basis.</t>
  </si>
  <si>
    <t>The rezoning of the property allowed the local government and community to receive notice of the project and an opportunity to comment.  Meetings were publicized and held is multiple meetings.  The zoning agenda is included as proof of public meetings.  In addition, both the zoning application that was available to the public before and during the meeting, as well as the presentation that was presented during the meeting are included in tab 13 of this binder.  Specifically, the zoning was publicized for "Low Income multi-family apartments" and not merely to rezone to a certain density.  The public and government both knew and supported every detail of the project.
Furthermore, the housing authority, in an effort to keep the community and city leaders fully informed worked with them both (community and city leaders) to craft the redevelopment plan and gain support for the plan all along the way.  A detailed list of meetings held is included in tab 13.
In addition, a letter from the GIHC Letter of support is also included in tab 13.</t>
  </si>
  <si>
    <t>Construction cost has been estimated based on the most recent projects that we have developed of similar construction type.  
Paved Pedestrian Walkway: The paved pedestrian walkway will extend beyond the boundary of Phase 2 of the project. This cost is covered in the construction estimate shown above (site cost) and not included for basis.  Also, an easement will be provided as is required by the option to lease in tab 08.
Local Government Fees:
The local government fees are based on estimates obtained from using the fee schedules Gainesville has listed online:Impact Fees: http://www.gainesville.org/fullpanel/uploads/files/impact-fee-inquiry-all--3--updated-2-25-13.pdfInspection Fees (building permits) http://www.gainesville.org/fullpanel/uploads/files/2015-02-04-inspection-permitting-fees-effective-7-1-12-00001.pdf
Water and Sewer taps are already present and should be a minimal cost to the project.  
Building permits have been waived by the city.
The compliance monitoring fee is set at $800 per unit.  The spreadsheet seems to be calculating another amount, but we believe $800 per unit is consistent with the QAP.
Equity Cost:
Partnership and Organization Fees include the legal cost incurred by the GP entity and the non-profit.</t>
  </si>
  <si>
    <t>There is no real estate tax abatement. However, historically when doing projects in partnership with a housing authority, there has been a tax exemption per a private enterprise agreement for the low income units. In this case we expect there to be some tax levied per the market rate units in the project. The taxes shown here are estimated based on (20/90)*$170,364.64.  $170,364.64 is the most probable tax estimate anticipated by our property tax consultants for the first stabilized year of operations. This estimate is included in tab 01 for feasibility.  This is multiplied by the portion of market rate units in the property.  This conclusion is also supported by an email from our tax consultant and a tax memo from Arnall Golden Gregory (AGG).
Insurance is based on a quote from our insurance provider, a copy of which is located in tab 01.</t>
  </si>
  <si>
    <t>Asbestos and Lead-Based Paint will be remediated by the current owner prior to the Project Partnership taking possession of the site.
Noise levels above 65 will be attenuated per the noise attenuation plan by Arpeggio in Appendix F of the Environmental.
An MOA with GA SHPO was required and all requirements were fulfilled per the letter from SHPO dated Sep 8, 2015 in Appendix Q</t>
  </si>
  <si>
    <t>The site plan fully complies with the zoning as passed.  
C - 2:  Zoning and Land Use are one in the same for this site.</t>
  </si>
  <si>
    <t>The site is an intown infill location surrounded by many desirable sites including banks, churches, parks, the downtown, the hospital, a school, etc.
All desirable site distances are measured from the main pedestrian entrance to the site.  In addition, we have measured distances on the conceptual site plan of the on site sidewalks from the main entrance to the community center for this project to the public ROW.  Regardless of direction (to the front or rear of the property), the added distance would not change the qualification any desirable site.</t>
  </si>
  <si>
    <t>Hall Area Transit's main office is located at 687 Main St SW, Gainesville, GA 30501, which is less than 1 mile from the site and easily accessible for pedestrians. This is the main office for the transit system and the point from which all bus routes start and stop.
The route schedules are PDF documents which can be found at the bottom of the page referenced above (http://www.gainesville.org/hall-area-transit). We are listing them here for your convenience:
Route 10: http://www.gainesville.org/fullpanel/uploads/files/gvilleconnection-route10-july15.pdf
Route 11: http://www.gainesville.org/fullpanel/uploads/files/gvilleconnection-route11-july15.pdf
Route 20: http://www.gainesville.org/fullpanel/uploads/files/gvilleconnection-route20-july15.pdf
Route 30: http://www.gainesville.org/fullpanel/uploads/files/gvilleconnection-route30-july15.pdf
Route 40: http://www.gainesville.org/fullpanel/uploads/files/gvilleconnection-route40-july15.pdf
Route 41: http://www.gainesville.org/fullpanel/uploads/files/gvilleconnection-route41-july15.pdf
Route 50: http://www.gainesville.org/fullpanel/uploads/files/gvilleconnection-route50-july15.pdf
On each route map, the Hall Area Transit office is listed as the Gainesville Connection Transfer Center on the route schedule in the bottom left of the route map.
All desirable site distances are measured from the main pedestrian entrance to the site.  In addition, we have measured distances on the conceptual site plan of the on site sidewalks from the main entrance to the community center for this project to the public ROW.  Regardless of direction (to the front or rear of the property), the added distance would not change the qualification of the transit hub.  Also, routes have been provided in tab 28 from the front and the rear of the property.  In either case, the distance to the travel hub is less than a mile.</t>
  </si>
  <si>
    <t>The Project, and the entire city of Gainesville, is districted for Gainesville High School which meets the performance standard necessary for a point in this category. While we are not a family category, we should still receive the point for the multiplier for locating the property in an area with good schools.</t>
  </si>
  <si>
    <t xml:space="preserve">22.A. The qualifying principal and qualifying entity (Barry Teague and KDTA Development) have been involved in at least 15 successful tax credit projects as owner/developer.
</t>
  </si>
  <si>
    <t>2016-032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</si>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</sst>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43" fontId="52" fillId="5" borderId="30" xfId="0" applyNumberFormat="1" applyFont="1" applyFill="1" applyBorder="1" applyAlignment="1" applyProtection="1">
      <alignment horizontal="lef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0" fontId="2" fillId="5" borderId="3" xfId="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240 Atlanta Street Development Phase 2</v>
      </c>
    </row>
    <row r="3" spans="1:6" ht="15" customHeight="1">
      <c r="A3" s="1151" t="str">
        <f>CONCATENATE('Part I-Project Information'!F28,", ", 'Part I-Project Information'!J29," County")</f>
        <v>Gainesville, Hall County</v>
      </c>
    </row>
    <row r="4" spans="1:6" ht="12" customHeight="1"/>
    <row r="5" spans="1:6" ht="111" customHeight="1">
      <c r="A5" s="2621" t="s">
        <v>4400</v>
      </c>
      <c r="B5" s="1444" t="s">
        <v>3065</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ELW5cIHRnlEX3evYFSCy1iHa8O0xnnk049gjAtVDRcEB0xwrbelXvEnZVKQdknaDaeRwXtJQqVUbNddglP5Emw==" saltValue="pr4c+yvMCG5F7hq98Vl0/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10" zoomScaleNormal="11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2016-032 240 Atlanta Street Development Phase 2, Gainesville, Hall County</v>
      </c>
      <c r="B1" s="1561"/>
      <c r="C1" s="1561"/>
      <c r="D1" s="1561"/>
      <c r="E1" s="1561"/>
      <c r="F1" s="1561"/>
      <c r="G1" s="1561"/>
      <c r="H1" s="1561"/>
      <c r="I1" s="1561"/>
      <c r="J1" s="1561"/>
      <c r="K1" s="1561"/>
      <c r="L1" s="1561"/>
      <c r="M1" s="1561"/>
      <c r="N1" s="1561"/>
      <c r="O1" s="1561"/>
      <c r="P1" s="1562"/>
      <c r="U1" s="1687" t="str">
        <f>A1</f>
        <v>PART SIX - PROJECTED REVENUES &amp; EXPENSES  -  2016-032 240 Atlanta Street Development Phase 2, Gainesville, Hall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0" t="s">
        <v>3662</v>
      </c>
      <c r="JD3" s="1680" t="s">
        <v>3663</v>
      </c>
      <c r="JE3" s="1680" t="s">
        <v>3664</v>
      </c>
      <c r="JF3" s="1680" t="s">
        <v>3665</v>
      </c>
      <c r="JG3" s="1680"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8" t="s">
        <v>4150</v>
      </c>
      <c r="Q4" s="1413"/>
      <c r="R4" s="467"/>
      <c r="S4" s="467"/>
      <c r="T4" s="467"/>
      <c r="U4" s="467"/>
      <c r="V4" s="468"/>
      <c r="W4" s="1686" t="s">
        <v>952</v>
      </c>
      <c r="X4" s="1686" t="s">
        <v>786</v>
      </c>
      <c r="Y4" s="1686" t="s">
        <v>787</v>
      </c>
      <c r="Z4" s="1686" t="s">
        <v>788</v>
      </c>
      <c r="AA4" s="1686" t="s">
        <v>789</v>
      </c>
      <c r="AB4" s="1686" t="s">
        <v>953</v>
      </c>
      <c r="AC4" s="1686" t="s">
        <v>2390</v>
      </c>
      <c r="AD4" s="1686" t="s">
        <v>2391</v>
      </c>
      <c r="AE4" s="1686" t="s">
        <v>2392</v>
      </c>
      <c r="AF4" s="1686" t="s">
        <v>2393</v>
      </c>
      <c r="AG4" s="1686" t="s">
        <v>954</v>
      </c>
      <c r="AH4" s="1686" t="s">
        <v>2394</v>
      </c>
      <c r="AI4" s="1686" t="s">
        <v>2395</v>
      </c>
      <c r="AJ4" s="1686" t="s">
        <v>2396</v>
      </c>
      <c r="AK4" s="1686" t="s">
        <v>2397</v>
      </c>
      <c r="AL4" s="1686" t="s">
        <v>131</v>
      </c>
      <c r="AM4" s="1686" t="s">
        <v>2398</v>
      </c>
      <c r="AN4" s="1686" t="s">
        <v>2399</v>
      </c>
      <c r="AO4" s="1686" t="s">
        <v>2400</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2515</v>
      </c>
      <c r="BV4" s="1686" t="s">
        <v>2516</v>
      </c>
      <c r="BW4" s="1686" t="s">
        <v>2517</v>
      </c>
      <c r="BX4" s="1686" t="s">
        <v>2518</v>
      </c>
      <c r="BY4" s="1686" t="s">
        <v>2519</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2514</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2287</v>
      </c>
      <c r="EN4" s="1681" t="s">
        <v>2288</v>
      </c>
      <c r="EO4" s="1681" t="s">
        <v>2289</v>
      </c>
      <c r="EP4" s="1681" t="s">
        <v>1536</v>
      </c>
      <c r="EQ4" s="1681" t="s">
        <v>1537</v>
      </c>
      <c r="ER4" s="1681" t="s">
        <v>28</v>
      </c>
      <c r="ES4" s="1681" t="s">
        <v>29</v>
      </c>
      <c r="ET4" s="1681" t="s">
        <v>30</v>
      </c>
      <c r="EU4" s="1681" t="s">
        <v>31</v>
      </c>
      <c r="EV4" s="1681"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0" t="s">
        <v>1683</v>
      </c>
      <c r="IE4" s="1680" t="s">
        <v>2611</v>
      </c>
      <c r="IF4" s="1680" t="s">
        <v>2612</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0" t="str">
        <f>IF(A48&gt;0,"Finish Row!","")</f>
        <v/>
      </c>
      <c r="B5" s="4" t="s">
        <v>1916</v>
      </c>
      <c r="D5" s="1"/>
      <c r="E5" s="4"/>
      <c r="F5" s="1"/>
      <c r="G5" s="2969"/>
      <c r="J5" s="1414" t="s">
        <v>3848</v>
      </c>
      <c r="M5" s="1428" t="s">
        <v>597</v>
      </c>
      <c r="O5" s="1416" t="s">
        <v>1072</v>
      </c>
      <c r="P5" s="1688"/>
      <c r="Q5" s="1413"/>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3657</v>
      </c>
      <c r="JI5" s="1685" t="s">
        <v>3658</v>
      </c>
      <c r="JJ5" s="1685" t="s">
        <v>3659</v>
      </c>
      <c r="JK5" s="1685" t="s">
        <v>3660</v>
      </c>
      <c r="JL5" s="1685" t="s">
        <v>3661</v>
      </c>
      <c r="JM5" s="1680" t="s">
        <v>3671</v>
      </c>
      <c r="JN5" s="1680" t="s">
        <v>3673</v>
      </c>
      <c r="JO5" s="1680" t="s">
        <v>3674</v>
      </c>
      <c r="JP5" s="1680" t="s">
        <v>3675</v>
      </c>
      <c r="JQ5" s="1680"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0"/>
      <c r="B6" s="30" t="s">
        <v>1872</v>
      </c>
      <c r="D6" s="1"/>
      <c r="E6" s="4"/>
      <c r="F6" s="2970" t="s">
        <v>3155</v>
      </c>
      <c r="G6" s="1414" t="s">
        <v>4097</v>
      </c>
      <c r="H6" s="1691" t="s">
        <v>4100</v>
      </c>
      <c r="J6" s="1414" t="s">
        <v>4102</v>
      </c>
      <c r="M6" s="1682" t="str">
        <f>'Part I-Project Information'!$O$30</f>
        <v>Gainesville</v>
      </c>
      <c r="N6" s="1682"/>
      <c r="O6" s="1168">
        <f>VLOOKUP('Part I-Project Information'!$O$30,'DCA Underwriting Assumptions'!$C$141:$D$251,2)</f>
        <v>60700</v>
      </c>
      <c r="P6" s="1688"/>
      <c r="Q6" s="1413"/>
      <c r="R6" s="100"/>
      <c r="S6" s="1683" t="s">
        <v>2801</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0"/>
      <c r="B7" s="4"/>
      <c r="C7" s="1"/>
      <c r="D7" s="4"/>
      <c r="E7" s="1"/>
      <c r="F7" s="1"/>
      <c r="G7" s="1414" t="s">
        <v>4098</v>
      </c>
      <c r="H7" s="1691"/>
      <c r="J7" s="1414" t="s">
        <v>4103</v>
      </c>
      <c r="M7" s="1"/>
      <c r="P7" s="1688"/>
      <c r="Q7" s="1413"/>
      <c r="R7" s="1159"/>
      <c r="S7" s="1160"/>
      <c r="T7" s="1165" t="s">
        <v>2798</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0"/>
      <c r="B8" s="1415" t="s">
        <v>1535</v>
      </c>
      <c r="C8" s="1414" t="s">
        <v>177</v>
      </c>
      <c r="D8" s="1414" t="s">
        <v>564</v>
      </c>
      <c r="E8" s="1414" t="s">
        <v>1533</v>
      </c>
      <c r="F8" s="1414" t="s">
        <v>1533</v>
      </c>
      <c r="G8" s="1414" t="s">
        <v>1535</v>
      </c>
      <c r="H8" s="1414" t="s">
        <v>4098</v>
      </c>
      <c r="I8" s="1414" t="s">
        <v>830</v>
      </c>
      <c r="J8" s="1414" t="s">
        <v>2491</v>
      </c>
      <c r="K8" s="1684" t="s">
        <v>147</v>
      </c>
      <c r="L8" s="1684"/>
      <c r="M8" s="1414" t="s">
        <v>2450</v>
      </c>
      <c r="N8" s="1414" t="s">
        <v>551</v>
      </c>
      <c r="O8" s="1414" t="s">
        <v>397</v>
      </c>
      <c r="P8" s="1688"/>
      <c r="Q8" s="1684" t="s">
        <v>3859</v>
      </c>
      <c r="R8" s="1684"/>
      <c r="S8" s="1414" t="s">
        <v>2797</v>
      </c>
      <c r="T8" s="1414" t="s">
        <v>2799</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4" t="s">
        <v>2525</v>
      </c>
      <c r="EY8" s="514" t="s">
        <v>2526</v>
      </c>
      <c r="EZ8" s="514" t="s">
        <v>2527</v>
      </c>
      <c r="FA8" s="514" t="s">
        <v>2528</v>
      </c>
      <c r="FB8" s="1680" t="s">
        <v>2583</v>
      </c>
      <c r="FC8" s="1680" t="s">
        <v>2583</v>
      </c>
      <c r="FD8" s="1680" t="s">
        <v>2583</v>
      </c>
      <c r="FE8" s="1680" t="s">
        <v>2583</v>
      </c>
      <c r="FF8" s="1680" t="s">
        <v>2583</v>
      </c>
      <c r="FG8" s="1680" t="s">
        <v>3553</v>
      </c>
      <c r="FH8" s="1680" t="s">
        <v>3553</v>
      </c>
      <c r="FI8" s="1680" t="s">
        <v>3553</v>
      </c>
      <c r="FJ8" s="1680" t="s">
        <v>3553</v>
      </c>
      <c r="FK8" s="1680" t="s">
        <v>3553</v>
      </c>
      <c r="FL8" s="514" t="s">
        <v>587</v>
      </c>
      <c r="FM8" s="514" t="s">
        <v>2525</v>
      </c>
      <c r="FN8" s="514" t="s">
        <v>2526</v>
      </c>
      <c r="FO8" s="514" t="s">
        <v>2527</v>
      </c>
      <c r="FP8" s="514" t="s">
        <v>2528</v>
      </c>
      <c r="FQ8" s="514" t="s">
        <v>587</v>
      </c>
      <c r="FR8" s="514" t="s">
        <v>2525</v>
      </c>
      <c r="FS8" s="514" t="s">
        <v>2526</v>
      </c>
      <c r="FT8" s="514" t="s">
        <v>2527</v>
      </c>
      <c r="FU8" s="514" t="s">
        <v>2528</v>
      </c>
      <c r="FV8" s="1680" t="s">
        <v>2585</v>
      </c>
      <c r="FW8" s="1680" t="s">
        <v>2585</v>
      </c>
      <c r="FX8" s="1680" t="s">
        <v>2585</v>
      </c>
      <c r="FY8" s="1680" t="s">
        <v>2585</v>
      </c>
      <c r="FZ8" s="1680" t="s">
        <v>2585</v>
      </c>
      <c r="GA8" s="1680" t="s">
        <v>3549</v>
      </c>
      <c r="GB8" s="1680" t="s">
        <v>3549</v>
      </c>
      <c r="GC8" s="1680" t="s">
        <v>3549</v>
      </c>
      <c r="GD8" s="1680" t="s">
        <v>3549</v>
      </c>
      <c r="GE8" s="1680" t="s">
        <v>3549</v>
      </c>
      <c r="GF8" s="1680" t="s">
        <v>372</v>
      </c>
      <c r="GG8" s="1680" t="s">
        <v>372</v>
      </c>
      <c r="GH8" s="1680" t="s">
        <v>372</v>
      </c>
      <c r="GI8" s="1680" t="s">
        <v>372</v>
      </c>
      <c r="GJ8" s="1680" t="s">
        <v>372</v>
      </c>
      <c r="GK8" s="1680" t="s">
        <v>3548</v>
      </c>
      <c r="GL8" s="1680" t="s">
        <v>3548</v>
      </c>
      <c r="GM8" s="1680" t="s">
        <v>3548</v>
      </c>
      <c r="GN8" s="1680" t="s">
        <v>3548</v>
      </c>
      <c r="GO8" s="1680" t="s">
        <v>3548</v>
      </c>
      <c r="GP8" s="1680" t="s">
        <v>373</v>
      </c>
      <c r="GQ8" s="1680" t="s">
        <v>373</v>
      </c>
      <c r="GR8" s="1680" t="s">
        <v>373</v>
      </c>
      <c r="GS8" s="1680" t="s">
        <v>373</v>
      </c>
      <c r="GT8" s="1680" t="s">
        <v>373</v>
      </c>
      <c r="GU8" s="1680" t="s">
        <v>3547</v>
      </c>
      <c r="GV8" s="1680" t="s">
        <v>3547</v>
      </c>
      <c r="GW8" s="1680" t="s">
        <v>3547</v>
      </c>
      <c r="GX8" s="1680" t="s">
        <v>3547</v>
      </c>
      <c r="GY8" s="1680" t="s">
        <v>3547</v>
      </c>
      <c r="GZ8" s="1680" t="s">
        <v>374</v>
      </c>
      <c r="HA8" s="1680" t="s">
        <v>374</v>
      </c>
      <c r="HB8" s="1680" t="s">
        <v>374</v>
      </c>
      <c r="HC8" s="1680" t="s">
        <v>374</v>
      </c>
      <c r="HD8" s="1680" t="s">
        <v>374</v>
      </c>
      <c r="HE8" s="1680" t="s">
        <v>3550</v>
      </c>
      <c r="HF8" s="1680" t="s">
        <v>3550</v>
      </c>
      <c r="HG8" s="1680" t="s">
        <v>3550</v>
      </c>
      <c r="HH8" s="1680" t="s">
        <v>3550</v>
      </c>
      <c r="HI8" s="1680" t="s">
        <v>3550</v>
      </c>
      <c r="HJ8" s="1680" t="s">
        <v>375</v>
      </c>
      <c r="HK8" s="1680" t="s">
        <v>375</v>
      </c>
      <c r="HL8" s="1680" t="s">
        <v>375</v>
      </c>
      <c r="HM8" s="1680" t="s">
        <v>375</v>
      </c>
      <c r="HN8" s="1680" t="s">
        <v>375</v>
      </c>
      <c r="HO8" s="1680" t="s">
        <v>3551</v>
      </c>
      <c r="HP8" s="1680" t="s">
        <v>3551</v>
      </c>
      <c r="HQ8" s="1680" t="s">
        <v>3551</v>
      </c>
      <c r="HR8" s="1680" t="s">
        <v>3551</v>
      </c>
      <c r="HS8" s="1680" t="s">
        <v>3551</v>
      </c>
      <c r="HT8" s="1680" t="s">
        <v>1517</v>
      </c>
      <c r="HU8" s="1680" t="s">
        <v>1517</v>
      </c>
      <c r="HV8" s="1680" t="s">
        <v>1517</v>
      </c>
      <c r="HW8" s="1680" t="s">
        <v>1517</v>
      </c>
      <c r="HX8" s="1680" t="s">
        <v>1517</v>
      </c>
      <c r="HY8" s="1680" t="s">
        <v>3552</v>
      </c>
      <c r="HZ8" s="1680" t="s">
        <v>3552</v>
      </c>
      <c r="IA8" s="1680" t="s">
        <v>3552</v>
      </c>
      <c r="IB8" s="1680" t="s">
        <v>3552</v>
      </c>
      <c r="IC8" s="1680" t="s">
        <v>3552</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0"/>
      <c r="B9" s="1415" t="s">
        <v>1345</v>
      </c>
      <c r="C9" s="1414" t="s">
        <v>176</v>
      </c>
      <c r="D9" s="1414" t="s">
        <v>178</v>
      </c>
      <c r="E9" s="1414" t="s">
        <v>1534</v>
      </c>
      <c r="F9" s="1414" t="s">
        <v>1326</v>
      </c>
      <c r="G9" s="1414" t="s">
        <v>4099</v>
      </c>
      <c r="H9" s="1414" t="s">
        <v>1535</v>
      </c>
      <c r="I9" s="1414" t="s">
        <v>831</v>
      </c>
      <c r="J9" s="506" t="s">
        <v>363</v>
      </c>
      <c r="K9" s="1414" t="s">
        <v>1587</v>
      </c>
      <c r="L9" s="1414" t="s">
        <v>558</v>
      </c>
      <c r="M9" s="1414" t="s">
        <v>1533</v>
      </c>
      <c r="N9" s="1414" t="s">
        <v>3497</v>
      </c>
      <c r="O9" s="1414" t="s">
        <v>398</v>
      </c>
      <c r="P9" s="1689"/>
      <c r="Q9" s="1414" t="s">
        <v>3860</v>
      </c>
      <c r="R9" s="1414" t="s">
        <v>1077</v>
      </c>
      <c r="S9" s="1414" t="s">
        <v>1535</v>
      </c>
      <c r="T9" s="1414" t="s">
        <v>2800</v>
      </c>
      <c r="U9" s="1520" t="s">
        <v>1915</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4" t="s">
        <v>2582</v>
      </c>
      <c r="EY9" s="514" t="s">
        <v>2582</v>
      </c>
      <c r="EZ9" s="514" t="s">
        <v>2582</v>
      </c>
      <c r="FA9" s="514" t="s">
        <v>2582</v>
      </c>
      <c r="FB9" s="1680"/>
      <c r="FC9" s="1680"/>
      <c r="FD9" s="1680"/>
      <c r="FE9" s="1680"/>
      <c r="FF9" s="1680"/>
      <c r="FG9" s="1680"/>
      <c r="FH9" s="1680"/>
      <c r="FI9" s="1680"/>
      <c r="FJ9" s="1680"/>
      <c r="FK9" s="1680"/>
      <c r="FL9" s="514" t="s">
        <v>2584</v>
      </c>
      <c r="FM9" s="514" t="s">
        <v>2584</v>
      </c>
      <c r="FN9" s="514" t="s">
        <v>2584</v>
      </c>
      <c r="FO9" s="514" t="s">
        <v>2584</v>
      </c>
      <c r="FP9" s="514" t="s">
        <v>2584</v>
      </c>
      <c r="FQ9" s="514" t="s">
        <v>3554</v>
      </c>
      <c r="FR9" s="514" t="s">
        <v>3554</v>
      </c>
      <c r="FS9" s="514" t="s">
        <v>3554</v>
      </c>
      <c r="FT9" s="514" t="s">
        <v>3554</v>
      </c>
      <c r="FU9" s="514" t="s">
        <v>3554</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120</v>
      </c>
      <c r="C10" s="2972">
        <v>1</v>
      </c>
      <c r="D10" s="2973">
        <v>1</v>
      </c>
      <c r="E10" s="2974">
        <v>13</v>
      </c>
      <c r="F10" s="2974">
        <v>700</v>
      </c>
      <c r="G10" s="2974">
        <v>557</v>
      </c>
      <c r="H10" s="2974">
        <v>0</v>
      </c>
      <c r="I10" s="2974">
        <v>136</v>
      </c>
      <c r="J10" s="2975" t="s">
        <v>4287</v>
      </c>
      <c r="K10" s="792">
        <f t="shared" ref="K10:K47" si="1">MAX(0,H10-I10)</f>
        <v>0</v>
      </c>
      <c r="L10" s="792">
        <f t="shared" ref="L10:L47" si="2">MAX(0,E10*K10)</f>
        <v>0</v>
      </c>
      <c r="M10" s="2976" t="s">
        <v>3155</v>
      </c>
      <c r="N10" s="2976" t="s">
        <v>4286</v>
      </c>
      <c r="O10" s="2976" t="s">
        <v>2375</v>
      </c>
      <c r="P10" s="2977" t="s">
        <v>3155</v>
      </c>
      <c r="Q10" s="1259">
        <f t="shared" ref="Q10:Q47" si="3">IF(H10="","",H10*12/0.3)</f>
        <v>0</v>
      </c>
      <c r="R10" s="1260">
        <f>IF(H10="","",IF(C10="Efficiency",Q10/($O$6*VLOOKUP(0,'DCA Underwriting Assumptions'!$J$132:$K$137,2,FALSE)),Q10/($O$6*VLOOKUP(C10,'DCA Underwriting Assumptions'!$J$132:$K$137,2,FALSE))))</f>
        <v>0</v>
      </c>
      <c r="S10" s="2978"/>
      <c r="T10" s="2979"/>
      <c r="U10" s="2980"/>
      <c r="V10" s="290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f t="shared" ref="BL10:BL47" si="45">IF(OR(AND($C10=1,$J10="PHA Oper Sub",$B10="50% AMI",NOT($M10="Common Space")),AND($C10=1,$J10="PHA Oper Sub",$B10="HOME 50% AMI",NOT($M10="Common Space"))),$E10,"")</f>
        <v>13</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9100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9100</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13</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13</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13</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120</v>
      </c>
      <c r="C11" s="2982">
        <v>1</v>
      </c>
      <c r="D11" s="2983">
        <v>1</v>
      </c>
      <c r="E11" s="2984">
        <v>9</v>
      </c>
      <c r="F11" s="2984">
        <v>700</v>
      </c>
      <c r="G11" s="2984">
        <v>557</v>
      </c>
      <c r="H11" s="2984">
        <v>555</v>
      </c>
      <c r="I11" s="2984">
        <v>136</v>
      </c>
      <c r="J11" s="2985"/>
      <c r="K11" s="793">
        <f t="shared" si="1"/>
        <v>419</v>
      </c>
      <c r="L11" s="793">
        <f t="shared" si="2"/>
        <v>3771</v>
      </c>
      <c r="M11" s="2986" t="s">
        <v>3155</v>
      </c>
      <c r="N11" s="2986" t="s">
        <v>4286</v>
      </c>
      <c r="O11" s="2986" t="s">
        <v>2375</v>
      </c>
      <c r="P11" s="2987" t="s">
        <v>3155</v>
      </c>
      <c r="Q11" s="1261">
        <f t="shared" si="3"/>
        <v>22200</v>
      </c>
      <c r="R11" s="1262">
        <f>IF(H11="","",IF(C11="Efficiency",Q11/($O$6*VLOOKUP(0,'DCA Underwriting Assumptions'!$J$132:$K$137,2,FALSE)),Q11/($O$6*VLOOKUP(C11,'DCA Underwriting Assumptions'!$J$132:$K$137,2,FALSE))))</f>
        <v>0.48764415156507412</v>
      </c>
      <c r="S11" s="2988"/>
      <c r="T11" s="2989"/>
      <c r="U11" s="2990"/>
      <c r="V11" s="2905"/>
      <c r="W11" s="158" t="str">
        <f t="shared" si="4"/>
        <v/>
      </c>
      <c r="X11" s="158" t="str">
        <f t="shared" si="5"/>
        <v/>
      </c>
      <c r="Y11" s="158" t="str">
        <f t="shared" si="6"/>
        <v/>
      </c>
      <c r="Z11" s="158" t="str">
        <f t="shared" si="7"/>
        <v/>
      </c>
      <c r="AA11" s="158" t="str">
        <f t="shared" si="8"/>
        <v/>
      </c>
      <c r="AB11" s="158" t="str">
        <f t="shared" si="9"/>
        <v/>
      </c>
      <c r="AC11" s="158">
        <f t="shared" si="10"/>
        <v>9</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6300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9</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9</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9</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9</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1" t="s">
        <v>1191</v>
      </c>
      <c r="C12" s="2982">
        <v>1</v>
      </c>
      <c r="D12" s="2983">
        <v>1</v>
      </c>
      <c r="E12" s="2984">
        <v>32</v>
      </c>
      <c r="F12" s="2984">
        <v>700</v>
      </c>
      <c r="G12" s="2984">
        <v>669</v>
      </c>
      <c r="H12" s="2984">
        <v>665</v>
      </c>
      <c r="I12" s="2984">
        <v>136</v>
      </c>
      <c r="J12" s="2985"/>
      <c r="K12" s="793">
        <f t="shared" si="1"/>
        <v>529</v>
      </c>
      <c r="L12" s="793">
        <f t="shared" si="2"/>
        <v>16928</v>
      </c>
      <c r="M12" s="2986" t="s">
        <v>3155</v>
      </c>
      <c r="N12" s="2986" t="s">
        <v>4286</v>
      </c>
      <c r="O12" s="2986" t="s">
        <v>2375</v>
      </c>
      <c r="P12" s="2987" t="s">
        <v>3155</v>
      </c>
      <c r="Q12" s="1261">
        <f t="shared" si="3"/>
        <v>26600</v>
      </c>
      <c r="R12" s="1262">
        <f>IF(H12="","",IF(C12="Efficiency",Q12/($O$6*VLOOKUP(0,'DCA Underwriting Assumptions'!$J$132:$K$137,2,FALSE)),Q12/($O$6*VLOOKUP(C12,'DCA Underwriting Assumptions'!$J$132:$K$137,2,FALSE))))</f>
        <v>0.58429434376716094</v>
      </c>
      <c r="S12" s="2988"/>
      <c r="T12" s="2989"/>
      <c r="U12" s="2990"/>
      <c r="V12" s="2905"/>
      <c r="W12" s="158" t="str">
        <f t="shared" si="4"/>
        <v/>
      </c>
      <c r="X12" s="158">
        <f t="shared" si="5"/>
        <v>32</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22400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32</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32</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32</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32</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120</v>
      </c>
      <c r="C13" s="2982">
        <v>2</v>
      </c>
      <c r="D13" s="2983">
        <v>2</v>
      </c>
      <c r="E13" s="2984">
        <v>3</v>
      </c>
      <c r="F13" s="2984">
        <v>980</v>
      </c>
      <c r="G13" s="2984">
        <v>668</v>
      </c>
      <c r="H13" s="2984">
        <v>662</v>
      </c>
      <c r="I13" s="2984">
        <v>172</v>
      </c>
      <c r="J13" s="2985"/>
      <c r="K13" s="793">
        <f t="shared" si="1"/>
        <v>490</v>
      </c>
      <c r="L13" s="793">
        <f t="shared" si="2"/>
        <v>1470</v>
      </c>
      <c r="M13" s="2986" t="s">
        <v>3155</v>
      </c>
      <c r="N13" s="2986" t="s">
        <v>4286</v>
      </c>
      <c r="O13" s="2986" t="s">
        <v>2375</v>
      </c>
      <c r="P13" s="2987" t="s">
        <v>3155</v>
      </c>
      <c r="Q13" s="1261">
        <f t="shared" si="3"/>
        <v>26480</v>
      </c>
      <c r="R13" s="1262">
        <f>IF(H13="","",IF(C13="Efficiency",Q13/($O$6*VLOOKUP(0,'DCA Underwriting Assumptions'!$J$132:$K$137,2,FALSE)),Q13/($O$6*VLOOKUP(C13,'DCA Underwriting Assumptions'!$J$132:$K$137,2,FALSE))))</f>
        <v>0.48471535786198061</v>
      </c>
      <c r="S13" s="2988"/>
      <c r="T13" s="2989"/>
      <c r="U13" s="2990"/>
      <c r="V13" s="2905"/>
      <c r="W13" s="158" t="str">
        <f t="shared" si="4"/>
        <v/>
      </c>
      <c r="X13" s="158" t="str">
        <f t="shared" si="5"/>
        <v/>
      </c>
      <c r="Y13" s="158" t="str">
        <f t="shared" si="6"/>
        <v/>
      </c>
      <c r="Z13" s="158" t="str">
        <f t="shared" si="7"/>
        <v/>
      </c>
      <c r="AA13" s="158" t="str">
        <f t="shared" si="8"/>
        <v/>
      </c>
      <c r="AB13" s="158" t="str">
        <f t="shared" si="9"/>
        <v/>
      </c>
      <c r="AC13" s="158" t="str">
        <f t="shared" si="10"/>
        <v/>
      </c>
      <c r="AD13" s="158">
        <f t="shared" si="11"/>
        <v>3</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2940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3</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3</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3</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t="s">
        <v>1191</v>
      </c>
      <c r="C14" s="2982">
        <v>2</v>
      </c>
      <c r="D14" s="2983">
        <v>2</v>
      </c>
      <c r="E14" s="2984">
        <v>13</v>
      </c>
      <c r="F14" s="2984">
        <v>980</v>
      </c>
      <c r="G14" s="2984">
        <v>802</v>
      </c>
      <c r="H14" s="2984">
        <v>800</v>
      </c>
      <c r="I14" s="2984">
        <v>172</v>
      </c>
      <c r="J14" s="2985"/>
      <c r="K14" s="793">
        <f t="shared" si="1"/>
        <v>628</v>
      </c>
      <c r="L14" s="793">
        <f t="shared" si="2"/>
        <v>8164</v>
      </c>
      <c r="M14" s="2986" t="s">
        <v>3155</v>
      </c>
      <c r="N14" s="2986" t="s">
        <v>4286</v>
      </c>
      <c r="O14" s="2986" t="s">
        <v>2375</v>
      </c>
      <c r="P14" s="2987" t="s">
        <v>3155</v>
      </c>
      <c r="Q14" s="1261">
        <f t="shared" si="3"/>
        <v>32000</v>
      </c>
      <c r="R14" s="1262">
        <f>IF(H14="","",IF(C14="Efficiency",Q14/($O$6*VLOOKUP(0,'DCA Underwriting Assumptions'!$J$132:$K$137,2,FALSE)),Q14/($O$6*VLOOKUP(C14,'DCA Underwriting Assumptions'!$J$132:$K$137,2,FALSE))))</f>
        <v>0.5857587406187077</v>
      </c>
      <c r="S14" s="2988"/>
      <c r="T14" s="2989"/>
      <c r="U14" s="2990"/>
      <c r="V14" s="2905"/>
      <c r="W14" s="158" t="str">
        <f t="shared" si="4"/>
        <v/>
      </c>
      <c r="X14" s="158" t="str">
        <f t="shared" si="5"/>
        <v/>
      </c>
      <c r="Y14" s="158">
        <f t="shared" si="6"/>
        <v>13</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12740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13</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13</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13</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13</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1" t="s">
        <v>316</v>
      </c>
      <c r="C15" s="2982">
        <v>2</v>
      </c>
      <c r="D15" s="2983">
        <v>2</v>
      </c>
      <c r="E15" s="2984">
        <v>20</v>
      </c>
      <c r="F15" s="2984">
        <v>980</v>
      </c>
      <c r="G15" s="2984">
        <v>802</v>
      </c>
      <c r="H15" s="2984">
        <v>750</v>
      </c>
      <c r="I15" s="2984"/>
      <c r="J15" s="2985"/>
      <c r="K15" s="793">
        <f t="shared" si="1"/>
        <v>750</v>
      </c>
      <c r="L15" s="793">
        <f t="shared" si="2"/>
        <v>15000</v>
      </c>
      <c r="M15" s="2986" t="s">
        <v>3155</v>
      </c>
      <c r="N15" s="2986" t="s">
        <v>4286</v>
      </c>
      <c r="O15" s="2986" t="s">
        <v>2375</v>
      </c>
      <c r="P15" s="2987" t="s">
        <v>3155</v>
      </c>
      <c r="Q15" s="1261">
        <f t="shared" si="3"/>
        <v>30000</v>
      </c>
      <c r="R15" s="1262">
        <f>IF(H15="","",IF(C15="Efficiency",Q15/($O$6*VLOOKUP(0,'DCA Underwriting Assumptions'!$J$132:$K$137,2,FALSE)),Q15/($O$6*VLOOKUP(C15,'DCA Underwriting Assumptions'!$J$132:$K$137,2,FALSE))))</f>
        <v>0.54914881933003845</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20</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19600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20</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20</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20</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20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1" t="s">
        <v>1837</v>
      </c>
      <c r="C16" s="2982"/>
      <c r="D16" s="2983"/>
      <c r="E16" s="2984"/>
      <c r="F16" s="2984"/>
      <c r="G16" s="2984"/>
      <c r="H16" s="2984"/>
      <c r="I16" s="2984"/>
      <c r="J16" s="2985"/>
      <c r="K16" s="793">
        <f t="shared" si="1"/>
        <v>0</v>
      </c>
      <c r="L16" s="793">
        <f t="shared" si="2"/>
        <v>0</v>
      </c>
      <c r="M16" s="2986"/>
      <c r="N16" s="2986"/>
      <c r="O16" s="2986"/>
      <c r="P16" s="2987"/>
      <c r="Q16" s="1261" t="str">
        <f t="shared" si="3"/>
        <v/>
      </c>
      <c r="R16" s="1262" t="str">
        <f>IF(H16="","",IF(C16="Efficiency",Q16/($O$6*VLOOKUP(0,'DCA Underwriting Assumptions'!$J$132:$K$137,2,FALSE)),Q16/($O$6*VLOOKUP(C16,'DCA Underwriting Assumptions'!$J$132:$K$137,2,FALSE))))</f>
        <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1" t="s">
        <v>1837</v>
      </c>
      <c r="C17" s="2982"/>
      <c r="D17" s="2983"/>
      <c r="E17" s="2984"/>
      <c r="F17" s="2984"/>
      <c r="G17" s="2984"/>
      <c r="H17" s="2984"/>
      <c r="I17" s="2984"/>
      <c r="J17" s="2985"/>
      <c r="K17" s="793">
        <f t="shared" si="1"/>
        <v>0</v>
      </c>
      <c r="L17" s="793">
        <f t="shared" si="2"/>
        <v>0</v>
      </c>
      <c r="M17" s="2986"/>
      <c r="N17" s="2986"/>
      <c r="O17" s="2986"/>
      <c r="P17" s="2987"/>
      <c r="Q17" s="1261" t="str">
        <f t="shared" si="3"/>
        <v/>
      </c>
      <c r="R17" s="1262" t="str">
        <f>IF(H17="","",IF(C17="Efficiency",Q17/($O$6*VLOOKUP(0,'DCA Underwriting Assumptions'!$J$132:$K$137,2,FALSE)),Q17/($O$6*VLOOKUP(C17,'DCA Underwriting Assumptions'!$J$132:$K$137,2,FALSE))))</f>
        <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1" t="s">
        <v>1837</v>
      </c>
      <c r="C18" s="2982"/>
      <c r="D18" s="2983"/>
      <c r="E18" s="2984"/>
      <c r="F18" s="2984"/>
      <c r="G18" s="2984"/>
      <c r="H18" s="2984"/>
      <c r="I18" s="2984"/>
      <c r="J18" s="2985"/>
      <c r="K18" s="793">
        <f t="shared" si="1"/>
        <v>0</v>
      </c>
      <c r="L18" s="793">
        <f t="shared" si="2"/>
        <v>0</v>
      </c>
      <c r="M18" s="2986"/>
      <c r="N18" s="2986"/>
      <c r="O18" s="2986"/>
      <c r="P18" s="2987"/>
      <c r="Q18" s="1261" t="str">
        <f t="shared" si="3"/>
        <v/>
      </c>
      <c r="R18" s="1262" t="str">
        <f>IF(H18="","",IF(C18="Efficiency",Q18/($O$6*VLOOKUP(0,'DCA Underwriting Assumptions'!$J$132:$K$137,2,FALSE)),Q18/($O$6*VLOOKUP(C18,'DCA Underwriting Assumptions'!$J$132:$K$137,2,FALSE))))</f>
        <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t="s">
        <v>1837</v>
      </c>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t="s">
        <v>1837</v>
      </c>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t="s">
        <v>1837</v>
      </c>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t="s">
        <v>1837</v>
      </c>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t="s">
        <v>1837</v>
      </c>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t="s">
        <v>1837</v>
      </c>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t="s">
        <v>1837</v>
      </c>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t="s">
        <v>1837</v>
      </c>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t="s">
        <v>1837</v>
      </c>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t="s">
        <v>1837</v>
      </c>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t="s">
        <v>1837</v>
      </c>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t="s">
        <v>1837</v>
      </c>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t="s">
        <v>1837</v>
      </c>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t="s">
        <v>1837</v>
      </c>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t="s">
        <v>1837</v>
      </c>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t="s">
        <v>1837</v>
      </c>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t="s">
        <v>1837</v>
      </c>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t="s">
        <v>1837</v>
      </c>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t="s">
        <v>1837</v>
      </c>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t="s">
        <v>1837</v>
      </c>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t="s">
        <v>1837</v>
      </c>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t="s">
        <v>1837</v>
      </c>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t="s">
        <v>1837</v>
      </c>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t="s">
        <v>1837</v>
      </c>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t="s">
        <v>1837</v>
      </c>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t="s">
        <v>1837</v>
      </c>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t="s">
        <v>1837</v>
      </c>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t="s">
        <v>1837</v>
      </c>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t="s">
        <v>1837</v>
      </c>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90</v>
      </c>
      <c r="F48" s="1309">
        <f>(E10*F10+E11*F11+E12*F12+E13*F13+E14*F14+E15*F15+E16*F16+E17*F17+E18*F18+E19*F19+E20*F20+E21*F21+E22*F22+E23*F23+E24*F24+E25*F25+E26*F26+E27*F27+E28*F28+E29*F29+E30*F30+E31*F31+E32*F32+E33*F33+E34*F34+E35*F35+E36*F36+E37*F37+E38*F38+E39*F39+E40*F40+E41*F41+E42*F42+E43*F43+E44*F44+E45*F45+E46*F46+E47*F47)</f>
        <v>73080</v>
      </c>
      <c r="G48" s="754"/>
      <c r="H48" s="755"/>
      <c r="I48" s="755"/>
      <c r="J48" s="755"/>
      <c r="K48" s="1312" t="s">
        <v>1351</v>
      </c>
      <c r="L48" s="133">
        <f>SUM(L10:L47)</f>
        <v>45333</v>
      </c>
      <c r="M48" s="100"/>
      <c r="N48" s="756"/>
      <c r="O48" s="100"/>
      <c r="P48" s="531"/>
      <c r="Q48" s="531"/>
      <c r="R48" s="531"/>
      <c r="S48" s="531"/>
      <c r="T48" s="531"/>
      <c r="U48" s="1222"/>
      <c r="V48" s="757"/>
      <c r="W48" s="758">
        <f t="shared" ref="W48:CH48" si="259">SUM(W10:W47)</f>
        <v>0</v>
      </c>
      <c r="X48" s="758">
        <f t="shared" si="259"/>
        <v>32</v>
      </c>
      <c r="Y48" s="758">
        <f t="shared" si="259"/>
        <v>13</v>
      </c>
      <c r="Z48" s="758">
        <f t="shared" si="259"/>
        <v>0</v>
      </c>
      <c r="AA48" s="758">
        <f t="shared" si="259"/>
        <v>0</v>
      </c>
      <c r="AB48" s="758">
        <f t="shared" si="259"/>
        <v>0</v>
      </c>
      <c r="AC48" s="758">
        <f t="shared" si="259"/>
        <v>22</v>
      </c>
      <c r="AD48" s="758">
        <f t="shared" si="259"/>
        <v>3</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20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13</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22400</v>
      </c>
      <c r="CB48" s="758">
        <f t="shared" si="259"/>
        <v>12740</v>
      </c>
      <c r="CC48" s="758">
        <f t="shared" si="259"/>
        <v>0</v>
      </c>
      <c r="CD48" s="758">
        <f t="shared" si="259"/>
        <v>0</v>
      </c>
      <c r="CE48" s="758">
        <f t="shared" si="259"/>
        <v>0</v>
      </c>
      <c r="CF48" s="758">
        <f t="shared" si="259"/>
        <v>15400</v>
      </c>
      <c r="CG48" s="758">
        <f t="shared" si="259"/>
        <v>2940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19600</v>
      </c>
      <c r="CR48" s="758">
        <f t="shared" si="260"/>
        <v>0</v>
      </c>
      <c r="CS48" s="758">
        <f t="shared" si="260"/>
        <v>0</v>
      </c>
      <c r="CT48" s="758">
        <f t="shared" si="260"/>
        <v>0</v>
      </c>
      <c r="CU48" s="758">
        <f t="shared" si="260"/>
        <v>9100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54</v>
      </c>
      <c r="DF48" s="758">
        <f t="shared" si="260"/>
        <v>16</v>
      </c>
      <c r="DG48" s="758">
        <f t="shared" si="260"/>
        <v>0</v>
      </c>
      <c r="DH48" s="758">
        <f t="shared" si="260"/>
        <v>0</v>
      </c>
      <c r="DI48" s="758">
        <f t="shared" si="260"/>
        <v>0</v>
      </c>
      <c r="DJ48" s="758">
        <f t="shared" si="260"/>
        <v>0</v>
      </c>
      <c r="DK48" s="758">
        <f t="shared" si="260"/>
        <v>20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54</v>
      </c>
      <c r="EY48" s="517">
        <f t="shared" si="261"/>
        <v>36</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54</v>
      </c>
      <c r="HV48" s="517">
        <f t="shared" si="262"/>
        <v>36</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54</v>
      </c>
      <c r="JJ48" s="517">
        <f t="shared" si="262"/>
        <v>36</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543996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20" t="s">
        <v>1915</v>
      </c>
      <c r="V55" s="1520"/>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32</v>
      </c>
      <c r="L56" s="795">
        <f>Y48</f>
        <v>13</v>
      </c>
      <c r="M56" s="795">
        <f>Z48</f>
        <v>0</v>
      </c>
      <c r="N56" s="795">
        <f>AA48</f>
        <v>0</v>
      </c>
      <c r="O56" s="795">
        <f t="shared" ref="O56:O62" si="263">SUM(J56:N56)</f>
        <v>45</v>
      </c>
      <c r="P56" s="1676" t="s">
        <v>4104</v>
      </c>
      <c r="Q56" s="1426"/>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64" t="s">
        <v>457</v>
      </c>
      <c r="B57" s="1664"/>
      <c r="C57" s="4"/>
      <c r="D57" s="1"/>
      <c r="E57" s="1"/>
      <c r="F57" s="1"/>
      <c r="G57" s="87"/>
      <c r="H57" s="37" t="s">
        <v>120</v>
      </c>
      <c r="I57" s="87"/>
      <c r="J57" s="796">
        <f>AB48</f>
        <v>0</v>
      </c>
      <c r="K57" s="796">
        <f>AC48</f>
        <v>22</v>
      </c>
      <c r="L57" s="796">
        <f>AD48</f>
        <v>3</v>
      </c>
      <c r="M57" s="796">
        <f>AE48</f>
        <v>0</v>
      </c>
      <c r="N57" s="796">
        <f>AF48</f>
        <v>0</v>
      </c>
      <c r="O57" s="796">
        <f t="shared" si="263"/>
        <v>25</v>
      </c>
      <c r="P57" s="1676"/>
      <c r="Q57" s="1426"/>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64"/>
      <c r="B58" s="1664"/>
      <c r="C58" s="4"/>
      <c r="D58" s="1"/>
      <c r="E58" s="1"/>
      <c r="F58" s="1"/>
      <c r="G58" s="87"/>
      <c r="H58" s="37" t="s">
        <v>558</v>
      </c>
      <c r="I58" s="87"/>
      <c r="J58" s="795">
        <f>SUM(J56:J57)</f>
        <v>0</v>
      </c>
      <c r="K58" s="795">
        <f>SUM(K56:K57)</f>
        <v>54</v>
      </c>
      <c r="L58" s="795">
        <f>SUM(L56:L57)</f>
        <v>16</v>
      </c>
      <c r="M58" s="795">
        <f>SUM(M56:M57)</f>
        <v>0</v>
      </c>
      <c r="N58" s="795">
        <f>SUM(N56:N57)</f>
        <v>0</v>
      </c>
      <c r="O58" s="795">
        <f t="shared" si="263"/>
        <v>70</v>
      </c>
      <c r="P58" s="1676"/>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64"/>
      <c r="B59" s="1664"/>
      <c r="C59" s="100" t="s">
        <v>316</v>
      </c>
      <c r="D59" s="1"/>
      <c r="E59" s="1"/>
      <c r="F59" s="1"/>
      <c r="G59" s="87"/>
      <c r="H59" s="37"/>
      <c r="I59" s="87"/>
      <c r="J59" s="797">
        <f>AL48</f>
        <v>0</v>
      </c>
      <c r="K59" s="797">
        <f>AM48</f>
        <v>0</v>
      </c>
      <c r="L59" s="797">
        <f>AN48</f>
        <v>20</v>
      </c>
      <c r="M59" s="797">
        <f>AO48</f>
        <v>0</v>
      </c>
      <c r="N59" s="797">
        <f>AP48</f>
        <v>0</v>
      </c>
      <c r="O59" s="797">
        <f t="shared" si="263"/>
        <v>20</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64"/>
      <c r="B60" s="1664"/>
      <c r="C60" s="100" t="s">
        <v>1180</v>
      </c>
      <c r="D60" s="1"/>
      <c r="E60" s="1"/>
      <c r="F60" s="1"/>
      <c r="G60" s="87"/>
      <c r="H60" s="37"/>
      <c r="I60" s="87"/>
      <c r="J60" s="795">
        <f>SUM(J58:J59)</f>
        <v>0</v>
      </c>
      <c r="K60" s="795">
        <f>SUM(K58:K59)</f>
        <v>54</v>
      </c>
      <c r="L60" s="795">
        <f>SUM(L58:L59)</f>
        <v>36</v>
      </c>
      <c r="M60" s="795">
        <f>SUM(M58:M59)</f>
        <v>0</v>
      </c>
      <c r="N60" s="795">
        <f>SUM(N58:N59)</f>
        <v>0</v>
      </c>
      <c r="O60" s="795">
        <f t="shared" si="263"/>
        <v>90</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64"/>
      <c r="B61" s="1664"/>
      <c r="C61" s="100" t="s">
        <v>2598</v>
      </c>
      <c r="D61" s="1"/>
      <c r="E61" s="1"/>
      <c r="F61" s="1"/>
      <c r="G61" s="87"/>
      <c r="H61" s="37"/>
      <c r="I61" s="87"/>
      <c r="J61" s="797">
        <f>BU48</f>
        <v>0</v>
      </c>
      <c r="K61" s="797">
        <f>BV48</f>
        <v>0</v>
      </c>
      <c r="L61" s="797">
        <f>BW48</f>
        <v>0</v>
      </c>
      <c r="M61" s="797">
        <f>BX48</f>
        <v>0</v>
      </c>
      <c r="N61" s="797">
        <f>BY48</f>
        <v>0</v>
      </c>
      <c r="O61" s="797">
        <f t="shared" si="263"/>
        <v>0</v>
      </c>
      <c r="P61" s="571" t="s">
        <v>4105</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64"/>
      <c r="B62" s="1664"/>
      <c r="C62" s="100" t="s">
        <v>558</v>
      </c>
      <c r="D62" s="1"/>
      <c r="E62" s="1"/>
      <c r="F62" s="1"/>
      <c r="G62" s="87"/>
      <c r="H62" s="37"/>
      <c r="I62" s="87"/>
      <c r="J62" s="798">
        <f>SUM(J60:J61)</f>
        <v>0</v>
      </c>
      <c r="K62" s="798">
        <f>SUM(K60:K61)</f>
        <v>54</v>
      </c>
      <c r="L62" s="798">
        <f>SUM(L60:L61)</f>
        <v>36</v>
      </c>
      <c r="M62" s="798">
        <f>SUM(M60:M61)</f>
        <v>0</v>
      </c>
      <c r="N62" s="798">
        <f>SUM(N60:N61)</f>
        <v>0</v>
      </c>
      <c r="O62" s="798">
        <f t="shared" si="263"/>
        <v>90</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64"/>
      <c r="B63" s="1664"/>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4"/>
      <c r="B64" s="1664"/>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64"/>
      <c r="B65" s="1664"/>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64"/>
      <c r="B66" s="1664"/>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64"/>
      <c r="B67" s="1664"/>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4"/>
      <c r="B68" s="1664"/>
      <c r="C68" s="1665" t="s">
        <v>923</v>
      </c>
      <c r="D68" s="1665"/>
      <c r="E68" s="1665"/>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64"/>
      <c r="B69" s="1664"/>
      <c r="C69" s="1665"/>
      <c r="D69" s="1665"/>
      <c r="E69" s="1665"/>
      <c r="F69" s="1"/>
      <c r="G69" s="87"/>
      <c r="H69" s="37" t="s">
        <v>120</v>
      </c>
      <c r="I69" s="87"/>
      <c r="J69" s="796">
        <f>BK48</f>
        <v>0</v>
      </c>
      <c r="K69" s="796">
        <f>BL48</f>
        <v>13</v>
      </c>
      <c r="L69" s="796">
        <f>BM48</f>
        <v>0</v>
      </c>
      <c r="M69" s="796">
        <f>BN48</f>
        <v>0</v>
      </c>
      <c r="N69" s="796">
        <f>BO48</f>
        <v>0</v>
      </c>
      <c r="O69" s="800">
        <f>SUM(J69:N69)</f>
        <v>13</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64"/>
      <c r="B70" s="1664"/>
      <c r="C70" s="37" t="s">
        <v>2599</v>
      </c>
      <c r="D70" s="1"/>
      <c r="E70" s="116"/>
      <c r="F70" s="1"/>
      <c r="G70" s="87"/>
      <c r="H70" s="37" t="s">
        <v>558</v>
      </c>
      <c r="I70" s="87"/>
      <c r="J70" s="798">
        <f>SUM(J68:J69)</f>
        <v>0</v>
      </c>
      <c r="K70" s="798">
        <f>SUM(K68:K69)</f>
        <v>13</v>
      </c>
      <c r="L70" s="798">
        <f>SUM(L68:L69)</f>
        <v>0</v>
      </c>
      <c r="M70" s="798">
        <f>SUM(M68:M69)</f>
        <v>0</v>
      </c>
      <c r="N70" s="798">
        <f>SUM(N68:N69)</f>
        <v>0</v>
      </c>
      <c r="O70" s="798">
        <f>SUM(J70:N70)</f>
        <v>13</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64"/>
      <c r="B71" s="1664"/>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4"/>
      <c r="B72" s="1664"/>
      <c r="C72" s="1673" t="s">
        <v>40</v>
      </c>
      <c r="D72" s="1673"/>
      <c r="E72" s="109" t="s">
        <v>2375</v>
      </c>
      <c r="F72" s="1"/>
      <c r="G72" s="87"/>
      <c r="H72" s="37" t="s">
        <v>1486</v>
      </c>
      <c r="I72" s="87"/>
      <c r="J72" s="795">
        <f>DD48</f>
        <v>0</v>
      </c>
      <c r="K72" s="795">
        <f>DE48</f>
        <v>54</v>
      </c>
      <c r="L72" s="795">
        <f>DF48</f>
        <v>16</v>
      </c>
      <c r="M72" s="795">
        <f>DG48</f>
        <v>0</v>
      </c>
      <c r="N72" s="795">
        <f>DH48</f>
        <v>0</v>
      </c>
      <c r="O72" s="795">
        <f t="shared" ref="O72:O82" si="264">SUM(J72:N72)</f>
        <v>70</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4"/>
      <c r="B73" s="1664"/>
      <c r="C73" s="1673"/>
      <c r="D73" s="1673"/>
      <c r="E73" s="116"/>
      <c r="F73" s="1"/>
      <c r="G73" s="87"/>
      <c r="H73" s="37" t="s">
        <v>316</v>
      </c>
      <c r="I73" s="87"/>
      <c r="J73" s="797">
        <f>DI48</f>
        <v>0</v>
      </c>
      <c r="K73" s="797">
        <f>DJ48</f>
        <v>0</v>
      </c>
      <c r="L73" s="797">
        <f>DK48</f>
        <v>20</v>
      </c>
      <c r="M73" s="797">
        <f>DL48</f>
        <v>0</v>
      </c>
      <c r="N73" s="797">
        <f>DM48</f>
        <v>0</v>
      </c>
      <c r="O73" s="797">
        <f t="shared" si="264"/>
        <v>20</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64"/>
      <c r="B74" s="1664"/>
      <c r="C74" s="1673"/>
      <c r="D74" s="1673"/>
      <c r="E74" s="116"/>
      <c r="F74" s="1"/>
      <c r="G74" s="87"/>
      <c r="H74" s="37" t="s">
        <v>33</v>
      </c>
      <c r="I74" s="87"/>
      <c r="J74" s="798">
        <f>SUM(J72:J73)+DN48</f>
        <v>0</v>
      </c>
      <c r="K74" s="798">
        <f>SUM(K72:K73)+DO48</f>
        <v>54</v>
      </c>
      <c r="L74" s="798">
        <f>SUM(L72:L73)+DP48</f>
        <v>36</v>
      </c>
      <c r="M74" s="798">
        <f>SUM(M72:M73)+DQ48</f>
        <v>0</v>
      </c>
      <c r="N74" s="798">
        <f>SUM(N72:N73)+DR48</f>
        <v>0</v>
      </c>
      <c r="O74" s="798">
        <f t="shared" si="264"/>
        <v>90</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64"/>
      <c r="B75" s="1664"/>
      <c r="C75" s="1673"/>
      <c r="D75" s="167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4"/>
      <c r="B76" s="1664"/>
      <c r="C76" s="1673"/>
      <c r="D76" s="1673"/>
      <c r="E76" s="116"/>
      <c r="F76" s="1"/>
      <c r="G76" s="87"/>
      <c r="H76" s="37" t="s">
        <v>316</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64"/>
      <c r="B77" s="1664"/>
      <c r="C77" s="1673"/>
      <c r="D77" s="167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64"/>
      <c r="B78" s="1664"/>
      <c r="C78" s="1310"/>
      <c r="D78" s="1"/>
      <c r="E78" s="1674" t="s">
        <v>1473</v>
      </c>
      <c r="F78" s="1674"/>
      <c r="G78" s="87"/>
      <c r="H78" s="37" t="s">
        <v>1486</v>
      </c>
      <c r="I78" s="87"/>
      <c r="J78" s="795">
        <f>EH48</f>
        <v>0</v>
      </c>
      <c r="K78" s="795">
        <f>EI48</f>
        <v>0</v>
      </c>
      <c r="L78" s="795">
        <f>EJ48</f>
        <v>0</v>
      </c>
      <c r="M78" s="795">
        <f>EK48</f>
        <v>0</v>
      </c>
      <c r="N78" s="795">
        <f>EL48</f>
        <v>0</v>
      </c>
      <c r="O78" s="795">
        <f t="shared" si="264"/>
        <v>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4"/>
      <c r="B79" s="1664"/>
      <c r="C79" s="1310"/>
      <c r="D79" s="1"/>
      <c r="E79" s="1674"/>
      <c r="F79" s="1674"/>
      <c r="G79" s="87"/>
      <c r="H79" s="37" t="s">
        <v>316</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64"/>
      <c r="B80" s="1664"/>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64"/>
      <c r="B81" s="1664"/>
      <c r="C81" s="1310"/>
      <c r="D81" s="1"/>
      <c r="E81" s="116" t="s">
        <v>379</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75" t="str">
        <f>IF(AND('Part IV-Uses of Funds'!$T$164="Yes",'Part IX A-Scoring Criteria'!$O$314&gt;0,O82&lt;1),"SHOW HISTORIC UNITS HERE &gt;&gt;&gt;&gt;","")</f>
        <v/>
      </c>
      <c r="B82" s="1675"/>
      <c r="C82" s="1675"/>
      <c r="D82" s="1675"/>
      <c r="E82" s="566" t="s">
        <v>3608</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7"/>
      <c r="B83" s="1417"/>
      <c r="C83" s="1417"/>
      <c r="D83" s="1417"/>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7"/>
      <c r="B84" s="1417"/>
      <c r="C84" s="1417"/>
      <c r="D84" s="1417"/>
      <c r="E84" s="116" t="s">
        <v>3543</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3" t="s">
        <v>3837</v>
      </c>
      <c r="D86" s="1673"/>
      <c r="E86" s="109" t="s">
        <v>41</v>
      </c>
      <c r="F86" s="1"/>
      <c r="G86" s="188"/>
      <c r="H86" s="87"/>
      <c r="I86" s="87"/>
      <c r="J86" s="813">
        <f t="shared" ref="J86:O86" si="265">SUM(J87:J94)</f>
        <v>0</v>
      </c>
      <c r="K86" s="813">
        <f t="shared" si="265"/>
        <v>54</v>
      </c>
      <c r="L86" s="813">
        <f t="shared" si="265"/>
        <v>36</v>
      </c>
      <c r="M86" s="813">
        <f t="shared" si="265"/>
        <v>0</v>
      </c>
      <c r="N86" s="813">
        <f t="shared" si="265"/>
        <v>0</v>
      </c>
      <c r="O86" s="813">
        <f t="shared" si="265"/>
        <v>90</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3"/>
      <c r="D87" s="167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3"/>
      <c r="D88" s="1673"/>
      <c r="E88" s="109"/>
      <c r="F88" s="1"/>
      <c r="G88" s="87"/>
      <c r="H88" s="1208" t="s">
        <v>3543</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3"/>
      <c r="D89" s="1673"/>
      <c r="E89" s="109"/>
      <c r="F89" s="1"/>
      <c r="G89" s="87"/>
      <c r="H89" s="41" t="s">
        <v>2693</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3"/>
      <c r="D90" s="1673"/>
      <c r="E90" s="109"/>
      <c r="F90" s="1"/>
      <c r="G90" s="87"/>
      <c r="H90" s="1208" t="s">
        <v>3543</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3"/>
      <c r="D91" s="1673"/>
      <c r="E91" s="109"/>
      <c r="F91" s="1"/>
      <c r="G91" s="87"/>
      <c r="H91" s="41" t="s">
        <v>2695</v>
      </c>
      <c r="I91" s="87"/>
      <c r="J91" s="800">
        <f>HJ48</f>
        <v>0</v>
      </c>
      <c r="K91" s="800">
        <f>HK48</f>
        <v>0</v>
      </c>
      <c r="L91" s="800">
        <f>HL48</f>
        <v>0</v>
      </c>
      <c r="M91" s="800">
        <f>HM48</f>
        <v>0</v>
      </c>
      <c r="N91" s="800">
        <f>HN48</f>
        <v>0</v>
      </c>
      <c r="O91" s="796">
        <f t="shared" si="266"/>
        <v>0</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3"/>
      <c r="D92" s="1673"/>
      <c r="E92" s="109"/>
      <c r="F92" s="1"/>
      <c r="G92" s="87"/>
      <c r="H92" s="1208" t="s">
        <v>3543</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54</v>
      </c>
      <c r="L93" s="800">
        <f>HV48</f>
        <v>36</v>
      </c>
      <c r="M93" s="800">
        <f>HW48</f>
        <v>0</v>
      </c>
      <c r="N93" s="800">
        <f>HX48</f>
        <v>0</v>
      </c>
      <c r="O93" s="796">
        <f t="shared" si="266"/>
        <v>90</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3543</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3543</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3543</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3543</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3543</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3" t="s">
        <v>4101</v>
      </c>
      <c r="D104" s="1673"/>
      <c r="E104" s="116" t="s">
        <v>3538</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3"/>
      <c r="D105" s="1673"/>
      <c r="E105" s="116"/>
      <c r="F105" s="188"/>
      <c r="G105" s="87"/>
      <c r="H105" s="1208" t="s">
        <v>3543</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3"/>
      <c r="D106" s="1673"/>
      <c r="E106" s="116" t="s">
        <v>3539</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3"/>
      <c r="D107" s="1673"/>
      <c r="E107" s="116"/>
      <c r="F107" s="188"/>
      <c r="G107" s="87"/>
      <c r="H107" s="1208" t="s">
        <v>3543</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3"/>
      <c r="D108" s="1673"/>
      <c r="E108" s="116" t="s">
        <v>3540</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3"/>
      <c r="D109" s="1673"/>
      <c r="E109" s="116"/>
      <c r="F109" s="188"/>
      <c r="G109" s="87"/>
      <c r="H109" s="1208" t="s">
        <v>3543</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3"/>
      <c r="D110" s="1673"/>
      <c r="E110" s="116" t="s">
        <v>3541</v>
      </c>
      <c r="F110" s="188"/>
      <c r="G110" s="87"/>
      <c r="H110" s="41"/>
      <c r="I110" s="87"/>
      <c r="J110" s="805">
        <f>J89+J93</f>
        <v>0</v>
      </c>
      <c r="K110" s="805">
        <f t="shared" ref="K110:N111" si="271">K89+K93</f>
        <v>54</v>
      </c>
      <c r="L110" s="805">
        <f t="shared" si="271"/>
        <v>36</v>
      </c>
      <c r="M110" s="805">
        <f t="shared" si="271"/>
        <v>0</v>
      </c>
      <c r="N110" s="805">
        <f t="shared" si="271"/>
        <v>0</v>
      </c>
      <c r="O110" s="805">
        <f t="shared" si="268"/>
        <v>90</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3543</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22400</v>
      </c>
      <c r="L113" s="808">
        <f>CB48</f>
        <v>12740</v>
      </c>
      <c r="M113" s="808">
        <f>CC48</f>
        <v>0</v>
      </c>
      <c r="N113" s="808">
        <f>CD48</f>
        <v>0</v>
      </c>
      <c r="O113" s="808">
        <f t="shared" ref="O113:O119" si="272">SUM(J113:N113)</f>
        <v>35140</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15400</v>
      </c>
      <c r="L114" s="809">
        <f>CG48</f>
        <v>2940</v>
      </c>
      <c r="M114" s="809">
        <f>CH48</f>
        <v>0</v>
      </c>
      <c r="N114" s="809">
        <f>CI48</f>
        <v>0</v>
      </c>
      <c r="O114" s="809">
        <f t="shared" si="272"/>
        <v>18340</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37800</v>
      </c>
      <c r="L115" s="808">
        <f>SUM(L113:L114)</f>
        <v>15680</v>
      </c>
      <c r="M115" s="808">
        <f>SUM(M113:M114)</f>
        <v>0</v>
      </c>
      <c r="N115" s="808">
        <f>SUM(N113:N114)</f>
        <v>0</v>
      </c>
      <c r="O115" s="808">
        <f t="shared" si="272"/>
        <v>53480</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19600</v>
      </c>
      <c r="M116" s="810">
        <f>CR48</f>
        <v>0</v>
      </c>
      <c r="N116" s="810">
        <f>CS48</f>
        <v>0</v>
      </c>
      <c r="O116" s="810">
        <f t="shared" si="272"/>
        <v>19600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37800</v>
      </c>
      <c r="L117" s="808">
        <f>SUM(L115:L116)</f>
        <v>35280</v>
      </c>
      <c r="M117" s="808">
        <f>SUM(M115:M116)</f>
        <v>0</v>
      </c>
      <c r="N117" s="808">
        <f>SUM(N115:N116)</f>
        <v>0</v>
      </c>
      <c r="O117" s="808">
        <f t="shared" si="272"/>
        <v>73080</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37800</v>
      </c>
      <c r="L119" s="811">
        <f>SUM(L117:L118)</f>
        <v>35280</v>
      </c>
      <c r="M119" s="811">
        <f>SUM(M117:M118)</f>
        <v>0</v>
      </c>
      <c r="N119" s="811">
        <f>SUM(N117:N118)</f>
        <v>0</v>
      </c>
      <c r="O119" s="811">
        <f t="shared" si="272"/>
        <v>73080</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0">
        <f>'Part VII-Pro Forma'!B9*L49</f>
        <v>10879.92</v>
      </c>
      <c r="I122" s="3011"/>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2">
        <v>46800</v>
      </c>
      <c r="H126" s="3012">
        <v>48204</v>
      </c>
      <c r="I126" s="3012">
        <v>49650</v>
      </c>
      <c r="J126" s="3012">
        <v>51140</v>
      </c>
      <c r="K126" s="3013">
        <v>52674</v>
      </c>
      <c r="L126" s="3012">
        <v>54254</v>
      </c>
      <c r="M126" s="3012">
        <v>55882</v>
      </c>
      <c r="N126" s="3012">
        <v>57558</v>
      </c>
      <c r="O126" s="3012">
        <v>59285</v>
      </c>
      <c r="P126" s="3012">
        <v>61063</v>
      </c>
      <c r="Q126" s="1166"/>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961</v>
      </c>
      <c r="D128" s="116"/>
      <c r="E128" s="116"/>
      <c r="F128" s="116"/>
      <c r="G128" s="1322">
        <f t="shared" ref="G128:P128" si="273">SUM(G126:G127)</f>
        <v>46800</v>
      </c>
      <c r="H128" s="1322">
        <f t="shared" si="273"/>
        <v>48204</v>
      </c>
      <c r="I128" s="1322">
        <f t="shared" si="273"/>
        <v>49650</v>
      </c>
      <c r="J128" s="1322">
        <f t="shared" si="273"/>
        <v>51140</v>
      </c>
      <c r="K128" s="1322">
        <f t="shared" si="273"/>
        <v>52674</v>
      </c>
      <c r="L128" s="1322">
        <f t="shared" si="273"/>
        <v>54254</v>
      </c>
      <c r="M128" s="1322">
        <f t="shared" si="273"/>
        <v>55882</v>
      </c>
      <c r="N128" s="1322">
        <f t="shared" si="273"/>
        <v>57558</v>
      </c>
      <c r="O128" s="1322">
        <f t="shared" si="273"/>
        <v>59285</v>
      </c>
      <c r="P128" s="1322">
        <f t="shared" si="273"/>
        <v>61063</v>
      </c>
      <c r="Q128" s="128"/>
      <c r="U128" s="2907"/>
      <c r="V128" s="2908"/>
    </row>
    <row r="129" spans="2:22" ht="11.25" customHeight="1">
      <c r="B129" s="1323" t="s">
        <v>4106</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2">
        <v>62895</v>
      </c>
      <c r="H135" s="3012">
        <v>64782</v>
      </c>
      <c r="I135" s="3012">
        <v>66726</v>
      </c>
      <c r="J135" s="3012">
        <v>68727</v>
      </c>
      <c r="K135" s="3013">
        <v>70789</v>
      </c>
      <c r="L135" s="3012">
        <v>72913</v>
      </c>
      <c r="M135" s="3012">
        <v>75100</v>
      </c>
      <c r="N135" s="3012">
        <v>77353</v>
      </c>
      <c r="O135" s="3012">
        <v>79674</v>
      </c>
      <c r="P135" s="3012">
        <v>82064</v>
      </c>
      <c r="Q135" s="1166"/>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961</v>
      </c>
      <c r="D137" s="116"/>
      <c r="E137" s="116"/>
      <c r="F137" s="116"/>
      <c r="G137" s="1322">
        <f t="shared" ref="G137:P137" si="275">SUM(G135:G136)</f>
        <v>62895</v>
      </c>
      <c r="H137" s="1322">
        <f t="shared" si="275"/>
        <v>64782</v>
      </c>
      <c r="I137" s="1322">
        <f t="shared" si="275"/>
        <v>66726</v>
      </c>
      <c r="J137" s="1322">
        <f t="shared" si="275"/>
        <v>68727</v>
      </c>
      <c r="K137" s="1322">
        <f t="shared" si="275"/>
        <v>70789</v>
      </c>
      <c r="L137" s="1322">
        <f t="shared" si="275"/>
        <v>72913</v>
      </c>
      <c r="M137" s="1322">
        <f t="shared" si="275"/>
        <v>75100</v>
      </c>
      <c r="N137" s="1322">
        <f t="shared" si="275"/>
        <v>77353</v>
      </c>
      <c r="O137" s="1322">
        <f t="shared" si="275"/>
        <v>79674</v>
      </c>
      <c r="P137" s="1322">
        <f t="shared" si="275"/>
        <v>82064</v>
      </c>
      <c r="Q137" s="128"/>
      <c r="U137" s="2907"/>
      <c r="V137" s="2908"/>
    </row>
    <row r="138" spans="2:22" ht="11.25" customHeight="1">
      <c r="B138" s="1323" t="s">
        <v>4106</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2">
        <v>84526</v>
      </c>
      <c r="H144" s="3012">
        <v>87062</v>
      </c>
      <c r="I144" s="3012">
        <v>89674</v>
      </c>
      <c r="J144" s="3012">
        <v>92364</v>
      </c>
      <c r="K144" s="3013">
        <v>95135</v>
      </c>
      <c r="L144" s="3012">
        <v>97989</v>
      </c>
      <c r="M144" s="3012">
        <v>100928</v>
      </c>
      <c r="N144" s="3012">
        <v>103956</v>
      </c>
      <c r="O144" s="3012">
        <v>107075</v>
      </c>
      <c r="P144" s="3012">
        <v>110287</v>
      </c>
      <c r="Q144" s="1166"/>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961</v>
      </c>
      <c r="D146" s="116"/>
      <c r="E146" s="116"/>
      <c r="F146" s="116"/>
      <c r="G146" s="1322">
        <f t="shared" ref="G146:P146" si="277">SUM(G144:G145)</f>
        <v>84526</v>
      </c>
      <c r="H146" s="1322">
        <f>SUM(H144:H145)</f>
        <v>87062</v>
      </c>
      <c r="I146" s="1322">
        <f t="shared" si="277"/>
        <v>89674</v>
      </c>
      <c r="J146" s="1322">
        <f t="shared" si="277"/>
        <v>92364</v>
      </c>
      <c r="K146" s="1322">
        <f t="shared" si="277"/>
        <v>95135</v>
      </c>
      <c r="L146" s="1322">
        <f t="shared" si="277"/>
        <v>97989</v>
      </c>
      <c r="M146" s="1322">
        <f t="shared" si="277"/>
        <v>100928</v>
      </c>
      <c r="N146" s="1322">
        <f t="shared" si="277"/>
        <v>103956</v>
      </c>
      <c r="O146" s="1322">
        <f t="shared" si="277"/>
        <v>107075</v>
      </c>
      <c r="P146" s="1322">
        <f t="shared" si="277"/>
        <v>110287</v>
      </c>
      <c r="Q146" s="128"/>
      <c r="U146" s="2907"/>
      <c r="V146" s="2908"/>
    </row>
    <row r="147" spans="2:22" ht="11.25" customHeight="1">
      <c r="B147" s="1323" t="s">
        <v>4106</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2">
        <v>113596</v>
      </c>
      <c r="H153" s="3012">
        <v>117004</v>
      </c>
      <c r="I153" s="3012">
        <v>120514</v>
      </c>
      <c r="J153" s="3012">
        <v>124129</v>
      </c>
      <c r="K153" s="3013">
        <v>127853</v>
      </c>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22">
        <f>SUM(G153:G154)</f>
        <v>113596</v>
      </c>
      <c r="H155" s="1322">
        <f>SUM(H153:H154)</f>
        <v>117004</v>
      </c>
      <c r="I155" s="1322">
        <f>SUM(I153:I154)</f>
        <v>120514</v>
      </c>
      <c r="J155" s="1322">
        <f>SUM(J153:J154)</f>
        <v>124129</v>
      </c>
      <c r="K155" s="1322">
        <f>SUM(K153:K154)</f>
        <v>127853</v>
      </c>
      <c r="L155" s="95"/>
      <c r="M155" s="95"/>
      <c r="N155" s="95"/>
      <c r="O155" s="95"/>
      <c r="P155" s="95"/>
      <c r="Q155" s="8"/>
      <c r="U155" s="2907"/>
      <c r="V155" s="2908"/>
    </row>
    <row r="156" spans="2:22" ht="11.25" customHeight="1">
      <c r="B156" s="1323" t="s">
        <v>4106</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0" t="s">
        <v>1915</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9">
        <v>85000</v>
      </c>
      <c r="G164" s="3020"/>
      <c r="H164" s="1"/>
      <c r="I164" s="1" t="s">
        <v>1428</v>
      </c>
      <c r="J164" s="1"/>
      <c r="K164" s="3019"/>
      <c r="L164" s="3020"/>
      <c r="M164" s="1"/>
      <c r="N164" s="1" t="s">
        <v>962</v>
      </c>
      <c r="O164" s="1"/>
      <c r="P164" s="3021">
        <v>37859</v>
      </c>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9">
        <v>45000</v>
      </c>
      <c r="G165" s="3020"/>
      <c r="H165" s="1"/>
      <c r="I165" s="1" t="s">
        <v>1429</v>
      </c>
      <c r="J165" s="1"/>
      <c r="K165" s="3019"/>
      <c r="L165" s="3020"/>
      <c r="M165" s="1"/>
      <c r="N165" s="1" t="s">
        <v>152</v>
      </c>
      <c r="O165" s="1"/>
      <c r="P165" s="3021">
        <v>19058</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9">
        <v>25000</v>
      </c>
      <c r="G166" s="3020"/>
      <c r="H166" s="1"/>
      <c r="I166" s="1"/>
      <c r="J166" s="132" t="s">
        <v>197</v>
      </c>
      <c r="K166" s="1668">
        <f>SUM(K164:L165)</f>
        <v>0</v>
      </c>
      <c r="L166" s="1669"/>
      <c r="M166" s="1"/>
      <c r="N166" s="3022" t="s">
        <v>53</v>
      </c>
      <c r="O166" s="3023"/>
      <c r="P166" s="3024"/>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t="s">
        <v>53</v>
      </c>
      <c r="C167" s="3026"/>
      <c r="D167" s="3026"/>
      <c r="E167" s="3027"/>
      <c r="F167" s="3028"/>
      <c r="G167" s="3029"/>
      <c r="H167" s="1"/>
      <c r="I167" s="1"/>
      <c r="J167" s="1"/>
      <c r="K167" s="1"/>
      <c r="L167" s="1"/>
      <c r="M167" s="1"/>
      <c r="N167" s="12" t="s">
        <v>197</v>
      </c>
      <c r="O167" s="1"/>
      <c r="P167" s="454">
        <f>SUM(P164:P166)</f>
        <v>56917</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8">
        <f>SUM(F164:G167)</f>
        <v>155000</v>
      </c>
      <c r="G168" s="1669"/>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28142</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9">
        <v>8500</v>
      </c>
      <c r="G171" s="3020"/>
      <c r="H171" s="1"/>
      <c r="I171" s="1" t="s">
        <v>1660</v>
      </c>
      <c r="J171" s="1"/>
      <c r="K171" s="3030">
        <v>9000</v>
      </c>
      <c r="L171" s="3031"/>
      <c r="M171" s="1"/>
      <c r="N171" s="439">
        <f>+P170/(O62*0.93)</f>
        <v>336.22461170848266</v>
      </c>
      <c r="O171" s="71" t="s">
        <v>2871</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9">
        <v>4500</v>
      </c>
      <c r="G172" s="3020"/>
      <c r="H172" s="1"/>
      <c r="I172" s="1" t="s">
        <v>2127</v>
      </c>
      <c r="J172" s="1"/>
      <c r="K172" s="3032">
        <v>12000</v>
      </c>
      <c r="L172" s="3033"/>
      <c r="M172" s="1"/>
      <c r="N172" s="439">
        <f>+P170/(O62*0.93)/12</f>
        <v>28.018717642373556</v>
      </c>
      <c r="O172" s="71" t="s">
        <v>2872</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9">
        <v>3000</v>
      </c>
      <c r="G173" s="3020"/>
      <c r="H173" s="1"/>
      <c r="I173" s="1" t="s">
        <v>1661</v>
      </c>
      <c r="J173" s="1"/>
      <c r="K173" s="3032">
        <v>12000</v>
      </c>
      <c r="L173" s="3033"/>
      <c r="M173" s="1"/>
      <c r="N173" s="1671" t="s">
        <v>2546</v>
      </c>
      <c r="O173" s="1672"/>
      <c r="P173" s="1672"/>
      <c r="Q173" s="1418"/>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9">
        <v>2000</v>
      </c>
      <c r="G174" s="3020"/>
      <c r="H174" s="1"/>
      <c r="I174" s="3022" t="s">
        <v>53</v>
      </c>
      <c r="J174" s="3023"/>
      <c r="K174" s="3030"/>
      <c r="L174" s="3031"/>
      <c r="M174" s="1"/>
      <c r="N174" s="1672"/>
      <c r="O174" s="1672"/>
      <c r="P174" s="1672"/>
      <c r="Q174" s="1418"/>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9">
        <v>5500</v>
      </c>
      <c r="G175" s="3020"/>
      <c r="H175" s="1"/>
      <c r="I175" s="10"/>
      <c r="J175" s="12" t="s">
        <v>197</v>
      </c>
      <c r="K175" s="1666">
        <f>SUM(K171:K174)</f>
        <v>33000</v>
      </c>
      <c r="L175" s="1667"/>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t="s">
        <v>53</v>
      </c>
      <c r="C176" s="3026"/>
      <c r="D176" s="3026"/>
      <c r="E176" s="3027"/>
      <c r="F176" s="3028"/>
      <c r="G176" s="3029"/>
      <c r="H176" s="1"/>
      <c r="I176" s="1"/>
      <c r="J176" s="13"/>
      <c r="K176" s="1"/>
      <c r="L176" s="1"/>
      <c r="M176" s="1"/>
      <c r="N176" s="10" t="s">
        <v>2265</v>
      </c>
      <c r="O176" s="5"/>
      <c r="P176" s="452">
        <f>F168+F177+F188+K166+K175+K185+P167+P170</f>
        <v>410809</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8">
        <f>SUM(F171:G176)</f>
        <v>23500</v>
      </c>
      <c r="G177" s="1669"/>
      <c r="H177" s="1"/>
      <c r="I177" s="1"/>
      <c r="J177" s="13"/>
      <c r="K177" s="1"/>
      <c r="L177" s="1"/>
      <c r="M177" s="1"/>
      <c r="N177" s="439">
        <f>+P176/O62</f>
        <v>4564.5444444444447</v>
      </c>
      <c r="O177" s="71" t="s">
        <v>2873</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3" t="s">
        <v>2870</v>
      </c>
      <c r="K179" s="1"/>
      <c r="L179" s="1"/>
      <c r="M179" s="1"/>
      <c r="N179" s="10" t="s">
        <v>3749</v>
      </c>
      <c r="O179" s="10"/>
      <c r="P179" s="453">
        <f>P180*O62</f>
        <v>22500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4">
        <v>16000</v>
      </c>
      <c r="G180" s="3035"/>
      <c r="H180" s="1"/>
      <c r="I180" s="1" t="s">
        <v>1418</v>
      </c>
      <c r="J180" s="522">
        <f>K180/12/O62</f>
        <v>21.75925925925926</v>
      </c>
      <c r="K180" s="3032">
        <v>23500</v>
      </c>
      <c r="L180" s="3033"/>
      <c r="M180" s="1"/>
      <c r="N180" s="109" t="s">
        <v>3750</v>
      </c>
      <c r="O180" s="1"/>
      <c r="P180" s="3036">
        <f>N181</f>
        <v>250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4">
        <v>16000</v>
      </c>
      <c r="G181" s="3035"/>
      <c r="H181" s="1"/>
      <c r="I181" s="1" t="s">
        <v>1419</v>
      </c>
      <c r="J181" s="522">
        <f>K181/12/O62</f>
        <v>8.7962962962962958</v>
      </c>
      <c r="K181" s="3032">
        <v>9500</v>
      </c>
      <c r="L181" s="3033"/>
      <c r="M181" s="1"/>
      <c r="N181" s="847">
        <f>ROUND(P188/O62,0)</f>
        <v>250</v>
      </c>
      <c r="O181" s="71" t="s">
        <v>2873</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4">
        <v>16000</v>
      </c>
      <c r="G182" s="3035"/>
      <c r="H182" s="1"/>
      <c r="I182" s="1" t="s">
        <v>2434</v>
      </c>
      <c r="J182" s="522">
        <f>K182/12/O62</f>
        <v>4.8611111111111107</v>
      </c>
      <c r="K182" s="3032">
        <v>5250</v>
      </c>
      <c r="L182" s="3033"/>
      <c r="M182" s="1"/>
      <c r="N182" s="854" t="s">
        <v>2820</v>
      </c>
      <c r="O182" s="855" t="s">
        <v>3677</v>
      </c>
      <c r="P182" s="856" t="s">
        <v>3678</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9">
        <v>4000</v>
      </c>
      <c r="G183" s="3020"/>
      <c r="H183" s="1"/>
      <c r="I183" s="1" t="s">
        <v>1421</v>
      </c>
      <c r="J183" s="1"/>
      <c r="K183" s="3032"/>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9">
        <v>9000</v>
      </c>
      <c r="G184" s="3020"/>
      <c r="H184" s="1"/>
      <c r="I184" s="3022" t="s">
        <v>53</v>
      </c>
      <c r="J184" s="3023"/>
      <c r="K184" s="3030"/>
      <c r="L184" s="3031"/>
      <c r="M184" s="1"/>
      <c r="N184" s="570" t="s">
        <v>3669</v>
      </c>
      <c r="O184" s="1171" t="str">
        <f>CONCATENATE(SUM(JC48:JG48)," units x $",'DCA Underwriting Assumptions'!$Q$62," =")</f>
        <v>0 units x $350 =</v>
      </c>
      <c r="P184" s="860">
        <f>SUM(JC48:JG48)*'DCA Underwriting Assumptions'!$Q$62</f>
        <v>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9"/>
      <c r="G185" s="3020"/>
      <c r="H185" s="1"/>
      <c r="I185" s="1"/>
      <c r="J185" s="12" t="s">
        <v>197</v>
      </c>
      <c r="K185" s="1666">
        <f>SUM(K180:K184)</f>
        <v>38250</v>
      </c>
      <c r="L185" s="1667"/>
      <c r="M185" s="1"/>
      <c r="N185" s="570" t="s">
        <v>3668</v>
      </c>
      <c r="O185" s="1171" t="str">
        <f>CONCATENATE(SUM(JH48:JL48)," units x $",'DCA Underwriting Assumptions'!$Q$63," =")</f>
        <v>90 units x $250 =</v>
      </c>
      <c r="P185" s="860">
        <f>SUM(JH48:JL48)*'DCA Underwriting Assumptions'!$Q$63</f>
        <v>22500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9">
        <v>15000</v>
      </c>
      <c r="G186" s="3020"/>
      <c r="H186" s="1"/>
      <c r="I186" s="1"/>
      <c r="J186" s="13"/>
      <c r="K186" s="1"/>
      <c r="L186" s="1"/>
      <c r="M186" s="1"/>
      <c r="N186" s="861" t="s">
        <v>3672</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t="s">
        <v>53</v>
      </c>
      <c r="C187" s="3026"/>
      <c r="D187" s="3026"/>
      <c r="E187" s="3027"/>
      <c r="F187" s="3028"/>
      <c r="G187" s="3029"/>
      <c r="H187" s="1"/>
      <c r="I187" s="1"/>
      <c r="J187" s="13"/>
      <c r="K187" s="1"/>
      <c r="L187" s="1"/>
      <c r="M187" s="1"/>
      <c r="N187" s="861" t="s">
        <v>3667</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2">
        <f>SUM(F180:G187)</f>
        <v>76000</v>
      </c>
      <c r="G188" s="1663"/>
      <c r="H188" s="1"/>
      <c r="I188" s="1"/>
      <c r="J188" s="13"/>
      <c r="K188" s="1"/>
      <c r="L188" s="1"/>
      <c r="M188" s="1"/>
      <c r="N188" s="862" t="s">
        <v>2823</v>
      </c>
      <c r="O188" s="863">
        <f>SUM(JC48:JG48)+SUM(JH48:JL48)+SUM(JM48:JQ48)+O84</f>
        <v>90</v>
      </c>
      <c r="P188" s="864">
        <f>SUM(P184:P187)</f>
        <v>22500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433309</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2" t="s">
        <v>4406</v>
      </c>
      <c r="B192" s="2733"/>
      <c r="C192" s="2733"/>
      <c r="D192" s="2733"/>
      <c r="E192" s="2733"/>
      <c r="F192" s="2733"/>
      <c r="G192" s="2733"/>
      <c r="H192" s="2733"/>
      <c r="I192" s="2733"/>
      <c r="J192" s="2734"/>
      <c r="K192" s="2735"/>
      <c r="L192" s="2736"/>
      <c r="M192" s="2736"/>
      <c r="N192" s="2736"/>
      <c r="O192" s="2736"/>
      <c r="P192" s="2737"/>
      <c r="Q192" s="1387"/>
      <c r="U192" s="1534" t="s">
        <v>2796</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L50c1w2PtazGnYVXU8HmHd79Y3BuYvJWlJrEujyCoxuhiuwysPim1tOSxBENXnH9dlBb8+qQ8CuoffwMAZOrag==" saltValue="VDOBVL8YvTjeoDheJaGHOA=="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6" stopIfTrue="1">
      <formula>AND($B10="PHA", $H10&gt;0)</formula>
    </cfRule>
  </conditionalFormatting>
  <conditionalFormatting sqref="R85:T102 R56:T80 R112:T119">
    <cfRule type="cellIs" dxfId="55" priority="7" stopIfTrue="1" operator="greaterThan">
      <formula>0</formula>
    </cfRule>
  </conditionalFormatting>
  <conditionalFormatting sqref="A10:A47">
    <cfRule type="cellIs" dxfId="54" priority="8" stopIfTrue="1" operator="equal">
      <formula>1</formula>
    </cfRule>
  </conditionalFormatting>
  <conditionalFormatting sqref="I10">
    <cfRule type="expression" priority="5" stopIfTrue="1">
      <formula>AND($B10="PHA", $H10&gt;0)</formula>
    </cfRule>
  </conditionalFormatting>
  <conditionalFormatting sqref="O122">
    <cfRule type="cellIs" dxfId="53" priority="4" operator="greaterThan">
      <formula>0.02</formula>
    </cfRule>
  </conditionalFormatting>
  <conditionalFormatting sqref="R104:T111">
    <cfRule type="cellIs" dxfId="52" priority="3" stopIfTrue="1" operator="greaterThan">
      <formula>0</formula>
    </cfRule>
  </conditionalFormatting>
  <conditionalFormatting sqref="P10:P15 P17:P47">
    <cfRule type="expression" dxfId="51" priority="2">
      <formula>AND($O$10="New Construction",$P$10="Yes")</formula>
    </cfRule>
  </conditionalFormatting>
  <conditionalFormatting sqref="P16">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2016-032 240 Atlanta Street Development Phase 2, Gainesville, Hall County</v>
      </c>
      <c r="B1" s="3038"/>
      <c r="C1" s="3038"/>
      <c r="D1" s="3038"/>
      <c r="E1" s="3038"/>
      <c r="F1" s="3038"/>
      <c r="G1" s="3038"/>
      <c r="H1" s="3038"/>
      <c r="I1" s="3038"/>
      <c r="J1" s="3038"/>
      <c r="K1" s="3039"/>
      <c r="L1" s="10"/>
      <c r="M1" s="1692" t="str">
        <f>A1</f>
        <v>PART SEVEN - OPERATING PRO FORMA  -  2016-032 240 Atlanta Street Development Phase 2, Gainesville, Hall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3745</v>
      </c>
      <c r="E5" s="1695"/>
      <c r="F5" s="1695"/>
      <c r="G5" s="3040">
        <v>12000</v>
      </c>
      <c r="H5" s="102" t="s">
        <v>1981</v>
      </c>
      <c r="K5" s="107">
        <f>IF(($B$14+$B$15+$B$16+$B$17)=0,"",B28/($B$14+$B$15+$B$16+$B$17))</f>
        <v>-2.1320650650483029E-2</v>
      </c>
      <c r="M5" s="2902"/>
      <c r="N5" s="2903"/>
    </row>
    <row r="6" spans="1:15">
      <c r="A6" s="17" t="s">
        <v>2268</v>
      </c>
      <c r="B6" s="82">
        <v>0.03</v>
      </c>
      <c r="C6" s="17"/>
      <c r="D6" s="1695"/>
      <c r="E6" s="1695"/>
      <c r="F6" s="1695"/>
      <c r="G6" s="17"/>
      <c r="H6" s="17"/>
      <c r="I6" s="17"/>
      <c r="J6" s="17"/>
      <c r="K6" s="17"/>
      <c r="M6" s="2904"/>
      <c r="N6" s="2905"/>
    </row>
    <row r="7" spans="1:15">
      <c r="A7" s="17" t="s">
        <v>2270</v>
      </c>
      <c r="B7" s="82">
        <v>0.03</v>
      </c>
      <c r="C7" s="17"/>
      <c r="D7" s="84" t="s">
        <v>282</v>
      </c>
      <c r="G7" s="86"/>
      <c r="H7" s="102" t="s">
        <v>2459</v>
      </c>
      <c r="K7" s="107">
        <f>IF(($B$14+$B$15+$B$16+$B$17)=0,"",-B20/($B$14+$B$15+$B$16+$B$17))</f>
        <v>5.0000479217157785E-2</v>
      </c>
      <c r="M7" s="2904"/>
      <c r="N7" s="2905"/>
    </row>
    <row r="8" spans="1:15" ht="13.15" customHeight="1">
      <c r="A8" s="17" t="s">
        <v>2269</v>
      </c>
      <c r="B8" s="3041">
        <v>7.0000000000000007E-2</v>
      </c>
      <c r="C8" s="17"/>
      <c r="D8" s="83" t="s">
        <v>2595</v>
      </c>
      <c r="G8" s="3042" t="s">
        <v>3155</v>
      </c>
      <c r="H8" s="177" t="s">
        <v>1500</v>
      </c>
      <c r="K8" s="3043"/>
      <c r="M8" s="2904"/>
      <c r="N8" s="2905"/>
    </row>
    <row r="9" spans="1:15">
      <c r="A9" s="17" t="s">
        <v>1472</v>
      </c>
      <c r="B9" s="82">
        <v>0.02</v>
      </c>
      <c r="D9" s="83" t="s">
        <v>1784</v>
      </c>
      <c r="G9" s="3044" t="s">
        <v>3152</v>
      </c>
      <c r="H9" s="177" t="s">
        <v>2439</v>
      </c>
      <c r="K9" s="3045">
        <v>0.05</v>
      </c>
      <c r="M9" s="2907"/>
      <c r="N9" s="2908"/>
    </row>
    <row r="10" spans="1:15" ht="13.5" customHeight="1" thickBot="1"/>
    <row r="11" spans="1:15" ht="13.5" thickBot="1">
      <c r="A11" s="14" t="s">
        <v>93</v>
      </c>
      <c r="C11" s="1465" t="s">
        <v>4195</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2712</v>
      </c>
      <c r="N13" s="1520"/>
    </row>
    <row r="14" spans="1:15" ht="13.15" customHeight="1">
      <c r="A14" s="19" t="s">
        <v>2489</v>
      </c>
      <c r="B14" s="20">
        <f>'Part VI-Revenues &amp; Expenses'!$L$49</f>
        <v>543996</v>
      </c>
      <c r="C14" s="20">
        <f t="shared" ref="C14:K14" si="1">$B$14*(1+$B$5)^(C13-1)</f>
        <v>554875.92000000004</v>
      </c>
      <c r="D14" s="20">
        <f t="shared" si="1"/>
        <v>565973.43839999998</v>
      </c>
      <c r="E14" s="20">
        <f t="shared" si="1"/>
        <v>577292.90716800001</v>
      </c>
      <c r="F14" s="20">
        <f t="shared" si="1"/>
        <v>588838.76531136001</v>
      </c>
      <c r="G14" s="20">
        <f t="shared" si="1"/>
        <v>600615.54061758716</v>
      </c>
      <c r="H14" s="20">
        <f t="shared" si="1"/>
        <v>612627.85142993904</v>
      </c>
      <c r="I14" s="20">
        <f t="shared" si="1"/>
        <v>624880.40845853765</v>
      </c>
      <c r="J14" s="20">
        <f t="shared" si="1"/>
        <v>637378.01662770845</v>
      </c>
      <c r="K14" s="21">
        <f t="shared" si="1"/>
        <v>650125.57696026261</v>
      </c>
      <c r="M14" s="2902"/>
      <c r="N14" s="2903"/>
    </row>
    <row r="15" spans="1:15" ht="13.15" customHeight="1">
      <c r="A15" s="22" t="s">
        <v>1053</v>
      </c>
      <c r="B15" s="23">
        <f>MIN(B14*B9,'Part VI-Revenues &amp; Expenses'!$H$122)</f>
        <v>10879.92</v>
      </c>
      <c r="C15" s="23">
        <f t="shared" ref="C15:K15" si="2">$B$15*(1+$B$5)^(C13-1)</f>
        <v>11097.518400000001</v>
      </c>
      <c r="D15" s="23">
        <f t="shared" si="2"/>
        <v>11319.468768000001</v>
      </c>
      <c r="E15" s="23">
        <f t="shared" si="2"/>
        <v>11545.858143359999</v>
      </c>
      <c r="F15" s="23">
        <f t="shared" si="2"/>
        <v>11776.7753062272</v>
      </c>
      <c r="G15" s="23">
        <f t="shared" si="2"/>
        <v>12012.310812351745</v>
      </c>
      <c r="H15" s="23">
        <f t="shared" si="2"/>
        <v>12252.55702859878</v>
      </c>
      <c r="I15" s="23">
        <f t="shared" si="2"/>
        <v>12497.608169170753</v>
      </c>
      <c r="J15" s="23">
        <f t="shared" si="2"/>
        <v>12747.560332554169</v>
      </c>
      <c r="K15" s="24">
        <f t="shared" si="2"/>
        <v>13002.511539205252</v>
      </c>
      <c r="M15" s="2904"/>
      <c r="N15" s="2905"/>
    </row>
    <row r="16" spans="1:15" ht="13.15" customHeight="1">
      <c r="A16" s="22" t="s">
        <v>2490</v>
      </c>
      <c r="B16" s="23">
        <f t="shared" ref="B16:K16" si="3">-(B14+B15)*$B$8</f>
        <v>-38841.31440000001</v>
      </c>
      <c r="C16" s="23">
        <f t="shared" si="3"/>
        <v>-39618.140688000014</v>
      </c>
      <c r="D16" s="23">
        <f t="shared" si="3"/>
        <v>-40410.503501760002</v>
      </c>
      <c r="E16" s="23">
        <f t="shared" si="3"/>
        <v>-41218.713571795204</v>
      </c>
      <c r="F16" s="23">
        <f t="shared" si="3"/>
        <v>-42043.087843231107</v>
      </c>
      <c r="G16" s="23">
        <f t="shared" si="3"/>
        <v>-42883.94960009573</v>
      </c>
      <c r="H16" s="23">
        <f t="shared" si="3"/>
        <v>-43741.628592097652</v>
      </c>
      <c r="I16" s="23">
        <f t="shared" si="3"/>
        <v>-44616.461163939595</v>
      </c>
      <c r="J16" s="23">
        <f t="shared" si="3"/>
        <v>-45508.790387218389</v>
      </c>
      <c r="K16" s="24">
        <f t="shared" si="3"/>
        <v>-46418.966194962755</v>
      </c>
      <c r="M16" s="2904"/>
      <c r="N16" s="2905"/>
    </row>
    <row r="17" spans="1:14" ht="13.15" customHeight="1">
      <c r="A17" s="22" t="s">
        <v>54</v>
      </c>
      <c r="B17" s="23">
        <f>+'Part VI-Revenues &amp; Expenses'!G128</f>
        <v>46800</v>
      </c>
      <c r="C17" s="23">
        <f>+'Part VI-Revenues &amp; Expenses'!H128</f>
        <v>48204</v>
      </c>
      <c r="D17" s="23">
        <f>+'Part VI-Revenues &amp; Expenses'!I128</f>
        <v>49650</v>
      </c>
      <c r="E17" s="23">
        <f>+'Part VI-Revenues &amp; Expenses'!J128</f>
        <v>51140</v>
      </c>
      <c r="F17" s="23">
        <f>+'Part VI-Revenues &amp; Expenses'!K128</f>
        <v>52674</v>
      </c>
      <c r="G17" s="23">
        <f>+'Part VI-Revenues &amp; Expenses'!L128</f>
        <v>54254</v>
      </c>
      <c r="H17" s="23">
        <f>+'Part VI-Revenues &amp; Expenses'!M128</f>
        <v>55882</v>
      </c>
      <c r="I17" s="23">
        <f>+'Part VI-Revenues &amp; Expenses'!N128</f>
        <v>57558</v>
      </c>
      <c r="J17" s="23">
        <f>+'Part VI-Revenues &amp; Expenses'!O128</f>
        <v>59285</v>
      </c>
      <c r="K17" s="24">
        <f>+'Part VI-Revenues &amp; Expenses'!P128</f>
        <v>61063</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-382667</v>
      </c>
      <c r="C19" s="23">
        <f t="shared" ref="C19:K19" si="4">$B$19*(1+$B$6)^(C13-1)</f>
        <v>-394147.01</v>
      </c>
      <c r="D19" s="23">
        <f t="shared" si="4"/>
        <v>-405971.4203</v>
      </c>
      <c r="E19" s="23">
        <f t="shared" si="4"/>
        <v>-418150.56290900003</v>
      </c>
      <c r="F19" s="23">
        <f t="shared" si="4"/>
        <v>-430695.07979626994</v>
      </c>
      <c r="G19" s="23">
        <f t="shared" si="4"/>
        <v>-443615.93219015806</v>
      </c>
      <c r="H19" s="23">
        <f t="shared" si="4"/>
        <v>-456924.4101558628</v>
      </c>
      <c r="I19" s="23">
        <f t="shared" si="4"/>
        <v>-470632.14246053871</v>
      </c>
      <c r="J19" s="23">
        <f t="shared" si="4"/>
        <v>-484751.10673435481</v>
      </c>
      <c r="K19" s="24">
        <f t="shared" si="4"/>
        <v>-499293.6399363855</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-28142</v>
      </c>
      <c r="C20" s="23">
        <f>IF(AND('Part VII-Pro Forma'!$G$8="Yes",'Part VII-Pro Forma'!$G$9="Yes"),"Choose One!",IF('Part VII-Pro Forma'!$G$8="Yes",ROUND((-$K$8*(1+'Part VII-Pro Forma'!$B$6)^('Part VII-Pro Forma'!C13-1)),),IF('Part VII-Pro Forma'!$G$9="Yes",ROUND((-(SUM(C14:C17)*'Part VII-Pro Forma'!$K$9)),),"Choose mgt fee")))</f>
        <v>-28728</v>
      </c>
      <c r="D20" s="23">
        <f>IF(AND('Part VII-Pro Forma'!$G$8="Yes",'Part VII-Pro Forma'!$G$9="Yes"),"Choose One!",IF('Part VII-Pro Forma'!$G$8="Yes",ROUND((-$K$8*(1+'Part VII-Pro Forma'!$B$6)^('Part VII-Pro Forma'!D13-1)),),IF('Part VII-Pro Forma'!$G$9="Yes",ROUND((-(SUM(D14:D17)*'Part VII-Pro Forma'!$K$9)),),"Choose mgt fee")))</f>
        <v>-29327</v>
      </c>
      <c r="E20" s="23">
        <f>IF(AND('Part VII-Pro Forma'!$G$8="Yes",'Part VII-Pro Forma'!$G$9="Yes"),"Choose One!",IF('Part VII-Pro Forma'!$G$8="Yes",ROUND((-$K$8*(1+'Part VII-Pro Forma'!$B$6)^('Part VII-Pro Forma'!E13-1)),),IF('Part VII-Pro Forma'!$G$9="Yes",ROUND((-(SUM(E14:E17)*'Part VII-Pro Forma'!$K$9)),),"Choose mgt fee")))</f>
        <v>-29938</v>
      </c>
      <c r="F20" s="23">
        <f>IF(AND('Part VII-Pro Forma'!$G$8="Yes",'Part VII-Pro Forma'!$G$9="Yes"),"Choose One!",IF('Part VII-Pro Forma'!$G$8="Yes",ROUND((-$K$8*(1+'Part VII-Pro Forma'!$B$6)^('Part VII-Pro Forma'!F13-1)),),IF('Part VII-Pro Forma'!$G$9="Yes",ROUND((-(SUM(F14:F17)*'Part VII-Pro Forma'!$K$9)),),"Choose mgt fee")))</f>
        <v>-30562</v>
      </c>
      <c r="G20" s="23">
        <f>IF(AND('Part VII-Pro Forma'!$G$8="Yes",'Part VII-Pro Forma'!$G$9="Yes"),"Choose One!",IF('Part VII-Pro Forma'!$G$8="Yes",ROUND((-$K$8*(1+'Part VII-Pro Forma'!$B$6)^('Part VII-Pro Forma'!G13-1)),),IF('Part VII-Pro Forma'!$G$9="Yes",ROUND((-(SUM(G14:G17)*'Part VII-Pro Forma'!$K$9)),),"Choose mgt fee")))</f>
        <v>-31200</v>
      </c>
      <c r="H20" s="23">
        <f>IF(AND('Part VII-Pro Forma'!$G$8="Yes",'Part VII-Pro Forma'!$G$9="Yes"),"Choose One!",IF('Part VII-Pro Forma'!$G$8="Yes",ROUND((-$K$8*(1+'Part VII-Pro Forma'!$B$6)^('Part VII-Pro Forma'!H13-1)),),IF('Part VII-Pro Forma'!$G$9="Yes",ROUND((-(SUM(H14:H17)*'Part VII-Pro Forma'!$K$9)),),"Choose mgt fee")))</f>
        <v>-31851</v>
      </c>
      <c r="I20" s="23">
        <f>IF(AND('Part VII-Pro Forma'!$G$8="Yes",'Part VII-Pro Forma'!$G$9="Yes"),"Choose One!",IF('Part VII-Pro Forma'!$G$8="Yes",ROUND((-$K$8*(1+'Part VII-Pro Forma'!$B$6)^('Part VII-Pro Forma'!I13-1)),),IF('Part VII-Pro Forma'!$G$9="Yes",ROUND((-(SUM(I14:I17)*'Part VII-Pro Forma'!$K$9)),),"Choose mgt fee")))</f>
        <v>-32516</v>
      </c>
      <c r="J20" s="23">
        <f>IF(AND('Part VII-Pro Forma'!$G$8="Yes",'Part VII-Pro Forma'!$G$9="Yes"),"Choose One!",IF('Part VII-Pro Forma'!$G$8="Yes",ROUND((-$K$8*(1+'Part VII-Pro Forma'!$B$6)^('Part VII-Pro Forma'!J13-1)),),IF('Part VII-Pro Forma'!$G$9="Yes",ROUND((-(SUM(J14:J17)*'Part VII-Pro Forma'!$K$9)),),"Choose mgt fee")))</f>
        <v>-33195</v>
      </c>
      <c r="K20" s="23">
        <f>IF(AND('Part VII-Pro Forma'!$G$8="Yes",'Part VII-Pro Forma'!$G$9="Yes"),"Choose One!",IF('Part VII-Pro Forma'!$G$8="Yes",ROUND((-$K$8*(1+'Part VII-Pro Forma'!$B$6)^('Part VII-Pro Forma'!K13-1)),),IF('Part VII-Pro Forma'!$G$9="Yes",ROUND((-(SUM(K14:K17)*'Part VII-Pro Forma'!$K$9)),),"Choose mgt fee")))</f>
        <v>-33889</v>
      </c>
      <c r="M20" s="2904"/>
      <c r="N20" s="2905"/>
    </row>
    <row r="21" spans="1:14" ht="13.15" customHeight="1">
      <c r="A21" s="22" t="s">
        <v>1247</v>
      </c>
      <c r="B21" s="23">
        <f>-('Part VI-Revenues &amp; Expenses'!$P$179)</f>
        <v>-22500</v>
      </c>
      <c r="C21" s="23">
        <f t="shared" ref="C21:K21" si="5">$B$21*(1+$B$7)^(C13-1)</f>
        <v>-23175</v>
      </c>
      <c r="D21" s="23">
        <f t="shared" si="5"/>
        <v>-23870.25</v>
      </c>
      <c r="E21" s="23">
        <f t="shared" si="5"/>
        <v>-24586.357500000002</v>
      </c>
      <c r="F21" s="23">
        <f t="shared" si="5"/>
        <v>-25323.948224999996</v>
      </c>
      <c r="G21" s="23">
        <f t="shared" si="5"/>
        <v>-26083.666671749997</v>
      </c>
      <c r="H21" s="23">
        <f t="shared" si="5"/>
        <v>-26866.176671902496</v>
      </c>
      <c r="I21" s="23">
        <f t="shared" si="5"/>
        <v>-27672.161972059574</v>
      </c>
      <c r="J21" s="23">
        <f t="shared" si="5"/>
        <v>-28502.326831221359</v>
      </c>
      <c r="K21" s="24">
        <f t="shared" si="5"/>
        <v>-29357.396636157999</v>
      </c>
      <c r="M21" s="2904"/>
      <c r="N21" s="2905"/>
    </row>
    <row r="22" spans="1:14" ht="13.15" customHeight="1">
      <c r="A22" s="22" t="s">
        <v>1248</v>
      </c>
      <c r="B22" s="23">
        <f t="shared" ref="B22:K22" si="6">SUM(B14:B21)</f>
        <v>129525.60560000001</v>
      </c>
      <c r="C22" s="23">
        <f t="shared" si="6"/>
        <v>128509.28771200008</v>
      </c>
      <c r="D22" s="23">
        <f t="shared" si="6"/>
        <v>127363.73336624005</v>
      </c>
      <c r="E22" s="23">
        <f t="shared" si="6"/>
        <v>126085.13133056484</v>
      </c>
      <c r="F22" s="23">
        <f t="shared" si="6"/>
        <v>124665.42475308606</v>
      </c>
      <c r="G22" s="23">
        <f t="shared" si="6"/>
        <v>123098.30296793513</v>
      </c>
      <c r="H22" s="23">
        <f t="shared" si="6"/>
        <v>121379.1930386748</v>
      </c>
      <c r="I22" s="23">
        <f t="shared" si="6"/>
        <v>119499.2510311706</v>
      </c>
      <c r="J22" s="23">
        <f t="shared" si="6"/>
        <v>117453.35300746809</v>
      </c>
      <c r="K22" s="24">
        <f t="shared" si="6"/>
        <v>115232.08573196159</v>
      </c>
      <c r="M22" s="2904"/>
      <c r="N22" s="2905"/>
    </row>
    <row r="23" spans="1:14" ht="13.15" customHeight="1">
      <c r="A23" s="471" t="s">
        <v>1648</v>
      </c>
      <c r="B23" s="3046">
        <f>IF('Part III-Sources of Funds'!$N$37="", 0,-'Part III-Sources of Funds'!$N$37)</f>
        <v>0</v>
      </c>
      <c r="C23" s="3046">
        <f>IF('Part III-Sources of Funds'!$N$37="", 0,-'Part III-Sources of Funds'!$N$37)</f>
        <v>0</v>
      </c>
      <c r="D23" s="3046">
        <f>IF('Part III-Sources of Funds'!$N$37="", 0,-'Part III-Sources of Funds'!$N$37)</f>
        <v>0</v>
      </c>
      <c r="E23" s="3046">
        <f>IF('Part III-Sources of Funds'!$N$37="", 0,-'Part III-Sources of Funds'!$N$37)</f>
        <v>0</v>
      </c>
      <c r="F23" s="3046">
        <f>IF('Part III-Sources of Funds'!$N$37="", 0,-'Part III-Sources of Funds'!$N$37)</f>
        <v>0</v>
      </c>
      <c r="G23" s="3046">
        <f>IF('Part III-Sources of Funds'!$N$37="", 0,-'Part III-Sources of Funds'!$N$37)</f>
        <v>0</v>
      </c>
      <c r="H23" s="3046">
        <f>IF('Part III-Sources of Funds'!$N$37="", 0,-'Part III-Sources of Funds'!$N$37)</f>
        <v>0</v>
      </c>
      <c r="I23" s="3046">
        <f>IF('Part III-Sources of Funds'!$N$37="", 0,-'Part III-Sources of Funds'!$N$37)</f>
        <v>0</v>
      </c>
      <c r="J23" s="3046">
        <f>IF('Part III-Sources of Funds'!$N$37="", 0,-'Part III-Sources of Funds'!$N$37)</f>
        <v>0</v>
      </c>
      <c r="K23" s="3046">
        <f>IF('Part III-Sources of Funds'!$N$37="", 0,-'Part III-Sources of Funds'!$N$37)</f>
        <v>0</v>
      </c>
      <c r="M23" s="2904"/>
      <c r="N23" s="2905"/>
    </row>
    <row r="24" spans="1:14" ht="13.15" customHeight="1">
      <c r="A24" s="471" t="s">
        <v>1649</v>
      </c>
      <c r="B24" s="3047">
        <f>IF('Part III-Sources of Funds'!$N$38="", 0,-'Part III-Sources of Funds'!$N$38)</f>
        <v>0</v>
      </c>
      <c r="C24" s="3047">
        <f>IF('Part III-Sources of Funds'!$N$38="", 0,-'Part III-Sources of Funds'!$N$38)</f>
        <v>0</v>
      </c>
      <c r="D24" s="3047">
        <f>IF('Part III-Sources of Funds'!$N$38="", 0,-'Part III-Sources of Funds'!$N$38)</f>
        <v>0</v>
      </c>
      <c r="E24" s="3047">
        <f>IF('Part III-Sources of Funds'!$N$38="", 0,-'Part III-Sources of Funds'!$N$38)</f>
        <v>0</v>
      </c>
      <c r="F24" s="3047">
        <f>IF('Part III-Sources of Funds'!$N$38="", 0,-'Part III-Sources of Funds'!$N$38)</f>
        <v>0</v>
      </c>
      <c r="G24" s="3047">
        <f>IF('Part III-Sources of Funds'!$N$38="", 0,-'Part III-Sources of Funds'!$N$38)</f>
        <v>0</v>
      </c>
      <c r="H24" s="3047">
        <f>IF('Part III-Sources of Funds'!$N$38="", 0,-'Part III-Sources of Funds'!$N$38)</f>
        <v>0</v>
      </c>
      <c r="I24" s="3047">
        <f>IF('Part III-Sources of Funds'!$N$38="", 0,-'Part III-Sources of Funds'!$N$38)</f>
        <v>0</v>
      </c>
      <c r="J24" s="3047">
        <f>IF('Part III-Sources of Funds'!$N$38="", 0,-'Part III-Sources of Funds'!$N$38)</f>
        <v>0</v>
      </c>
      <c r="K24" s="3047">
        <f>IF('Part III-Sources of Funds'!$N$38="", 0,-'Part III-Sources of Funds'!$N$38)</f>
        <v>0</v>
      </c>
      <c r="M24" s="2904"/>
      <c r="N24" s="2905"/>
    </row>
    <row r="25" spans="1:14" ht="13.15" customHeight="1">
      <c r="A25" s="471"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4"/>
      <c r="N25" s="2905"/>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4"/>
      <c r="N26" s="2905"/>
    </row>
    <row r="27" spans="1:14" ht="13.15" customHeight="1">
      <c r="A27" s="22" t="s">
        <v>794</v>
      </c>
      <c r="B27" s="3048"/>
      <c r="C27" s="3048"/>
      <c r="D27" s="3048"/>
      <c r="E27" s="3048"/>
      <c r="F27" s="3048"/>
      <c r="G27" s="3048"/>
      <c r="H27" s="3048"/>
      <c r="I27" s="3048"/>
      <c r="J27" s="3048"/>
      <c r="K27" s="3048"/>
      <c r="M27" s="2904"/>
      <c r="N27" s="2905"/>
    </row>
    <row r="28" spans="1:14" ht="13.15" customHeight="1">
      <c r="A28" s="22" t="s">
        <v>1206</v>
      </c>
      <c r="B28" s="3047">
        <f>-$G$5</f>
        <v>-12000</v>
      </c>
      <c r="C28" s="3047">
        <f>B28*1.03</f>
        <v>-12360</v>
      </c>
      <c r="D28" s="3047">
        <f t="shared" ref="D28:K28" si="7">C28*1.03</f>
        <v>-12730.800000000001</v>
      </c>
      <c r="E28" s="3047">
        <f t="shared" si="7"/>
        <v>-13112.724000000002</v>
      </c>
      <c r="F28" s="3047">
        <f t="shared" si="7"/>
        <v>-13506.105720000003</v>
      </c>
      <c r="G28" s="3047">
        <f t="shared" si="7"/>
        <v>-13911.288891600003</v>
      </c>
      <c r="H28" s="3047">
        <f t="shared" si="7"/>
        <v>-14328.627558348004</v>
      </c>
      <c r="I28" s="3047">
        <f t="shared" si="7"/>
        <v>-14758.486385098444</v>
      </c>
      <c r="J28" s="3047">
        <f t="shared" si="7"/>
        <v>-15201.240976651397</v>
      </c>
      <c r="K28" s="3047">
        <f t="shared" si="7"/>
        <v>-15657.278205950939</v>
      </c>
      <c r="M28" s="2904"/>
      <c r="N28" s="2905"/>
    </row>
    <row r="29" spans="1:14" ht="13.15" customHeight="1">
      <c r="A29" s="22" t="s">
        <v>1249</v>
      </c>
      <c r="B29" s="3049">
        <f>IF('Part III-Sources of Funds'!$N$42="", 0,-'Part III-Sources of Funds'!$N$42)</f>
        <v>-1015.1999999999999</v>
      </c>
      <c r="C29" s="3049">
        <f>IF('Part III-Sources of Funds'!$N$42="", 0,-'Part III-Sources of Funds'!$N$42)</f>
        <v>-1015.1999999999999</v>
      </c>
      <c r="D29" s="3049">
        <f>IF('Part III-Sources of Funds'!$N$42="", 0,-'Part III-Sources of Funds'!$N$42)</f>
        <v>-1015.1999999999999</v>
      </c>
      <c r="E29" s="3049">
        <f>IF('Part III-Sources of Funds'!$N$42="", 0,-'Part III-Sources of Funds'!$N$42)</f>
        <v>-1015.1999999999999</v>
      </c>
      <c r="F29" s="3049">
        <f>IF('Part III-Sources of Funds'!$N$42="", 0,-'Part III-Sources of Funds'!$N$42)</f>
        <v>-1015.1999999999999</v>
      </c>
      <c r="G29" s="3049">
        <f>IF('Part III-Sources of Funds'!$N$42="", 0,-'Part III-Sources of Funds'!$N$42)</f>
        <v>-1015.1999999999999</v>
      </c>
      <c r="H29" s="3049">
        <f>IF('Part III-Sources of Funds'!$N$42="", 0,-'Part III-Sources of Funds'!$N$42)</f>
        <v>-1015.1999999999999</v>
      </c>
      <c r="I29" s="3049">
        <f>IF('Part III-Sources of Funds'!$N$42="", 0,-'Part III-Sources of Funds'!$N$42)</f>
        <v>-1015.1999999999999</v>
      </c>
      <c r="J29" s="3049">
        <f>IF('Part III-Sources of Funds'!$N$42="", 0,-'Part III-Sources of Funds'!$N$42)</f>
        <v>-1015.1999999999999</v>
      </c>
      <c r="K29" s="3049">
        <f>IF('Part III-Sources of Funds'!$N$42="", 0,-'Part III-Sources of Funds'!$N$42)</f>
        <v>-1015.1999999999999</v>
      </c>
      <c r="M29" s="2904"/>
      <c r="N29" s="2905"/>
    </row>
    <row r="30" spans="1:14" ht="13.15" customHeight="1">
      <c r="A30" s="22" t="s">
        <v>1207</v>
      </c>
      <c r="B30" s="23">
        <f t="shared" ref="B30:K30" si="8">SUM(B22:B29)</f>
        <v>116510.40560000001</v>
      </c>
      <c r="C30" s="23">
        <f t="shared" si="8"/>
        <v>115134.08771200008</v>
      </c>
      <c r="D30" s="23">
        <f t="shared" si="8"/>
        <v>113617.73336624005</v>
      </c>
      <c r="E30" s="23">
        <f t="shared" si="8"/>
        <v>111957.20733056484</v>
      </c>
      <c r="F30" s="23">
        <f t="shared" si="8"/>
        <v>110144.11903308606</v>
      </c>
      <c r="G30" s="23">
        <f t="shared" si="8"/>
        <v>108171.81407633513</v>
      </c>
      <c r="H30" s="23">
        <f t="shared" si="8"/>
        <v>106035.3654803268</v>
      </c>
      <c r="I30" s="23">
        <f t="shared" si="8"/>
        <v>103725.56464607216</v>
      </c>
      <c r="J30" s="23">
        <f t="shared" si="8"/>
        <v>101236.91203081669</v>
      </c>
      <c r="K30" s="24">
        <f t="shared" si="8"/>
        <v>98559.607526010659</v>
      </c>
      <c r="M30" s="2904"/>
      <c r="N30" s="2905"/>
    </row>
    <row r="31" spans="1:14" ht="13.15" customHeight="1">
      <c r="A31" s="22" t="str">
        <f>IF('Part III-Sources of Funds'!$E$37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4190</v>
      </c>
      <c r="B35" s="25" t="str">
        <f>IF(AND(B23=0,B24=0,B25=0,B26=0),"",-B22/(B23+B24+B25+B26))</f>
        <v/>
      </c>
      <c r="C35" s="25" t="str">
        <f t="shared" ref="C35:K35" si="13">IF(AND(C23=0,C24=0,C25=0,C26=0),"",-C22/(C23+C24+C25+C26))</f>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M35" s="2904"/>
      <c r="N35" s="2905"/>
    </row>
    <row r="36" spans="1:14" ht="13.15" customHeight="1">
      <c r="A36" s="22" t="s">
        <v>801</v>
      </c>
      <c r="B36" s="293">
        <f>IF(OR(B20="Choose mgt fee",B20="Choose One!"),"",(B14+B15+B16+B17+B18) / -(B19+B20+B21))</f>
        <v>1.2989220293139538</v>
      </c>
      <c r="C36" s="293">
        <f t="shared" ref="C36:K36" si="14">IF(OR(C20="Choose mgt fee",C20="Choose One!"),"",(C14+C15+C16+C17+C18) / -(C19+C20+C21))</f>
        <v>1.2881051111555857</v>
      </c>
      <c r="D36" s="293">
        <f t="shared" si="14"/>
        <v>1.2773789711807348</v>
      </c>
      <c r="E36" s="293">
        <f t="shared" si="14"/>
        <v>1.2667480881394444</v>
      </c>
      <c r="F36" s="293">
        <f t="shared" si="14"/>
        <v>1.2562069163692025</v>
      </c>
      <c r="G36" s="293">
        <f t="shared" si="14"/>
        <v>1.2457544450976328</v>
      </c>
      <c r="H36" s="293">
        <f t="shared" si="14"/>
        <v>1.2353944990849195</v>
      </c>
      <c r="I36" s="293">
        <f t="shared" si="14"/>
        <v>1.2251218539179753</v>
      </c>
      <c r="J36" s="293">
        <f t="shared" si="14"/>
        <v>1.2149394998556129</v>
      </c>
      <c r="K36" s="294">
        <f t="shared" si="14"/>
        <v>1.2048424614078141</v>
      </c>
      <c r="M36" s="2904"/>
      <c r="N36" s="2905"/>
    </row>
    <row r="37" spans="1:14" ht="13.15" customHeight="1">
      <c r="A37" s="471" t="s">
        <v>2705</v>
      </c>
      <c r="B37" s="3050">
        <f>IF('Part III-Sources of Funds'!$I$37="","",-FV('Part III-Sources of Funds'!$K$37/12,12,B23/12,'Part III-Sources of Funds'!$I$37))</f>
        <v>700000</v>
      </c>
      <c r="C37" s="3050">
        <f>IF('Part III-Sources of Funds'!$I$37="","",-FV('Part III-Sources of Funds'!$K$37/12,12,C23/12,B37))</f>
        <v>700000</v>
      </c>
      <c r="D37" s="3050">
        <f>IF('Part III-Sources of Funds'!$I$37="","",-FV('Part III-Sources of Funds'!$K$37/12,12,D23/12,C37))</f>
        <v>700000</v>
      </c>
      <c r="E37" s="3050">
        <f>IF('Part III-Sources of Funds'!$I$37="","",-FV('Part III-Sources of Funds'!$K$37/12,12,E23/12,D37))</f>
        <v>700000</v>
      </c>
      <c r="F37" s="3050">
        <f>IF('Part III-Sources of Funds'!$I$37="","",-FV('Part III-Sources of Funds'!$K$37/12,12,F23/12,E37))</f>
        <v>700000</v>
      </c>
      <c r="G37" s="3050">
        <f>IF('Part III-Sources of Funds'!$I$37="","",-FV('Part III-Sources of Funds'!$K$37/12,12,G23/12,F37))</f>
        <v>700000</v>
      </c>
      <c r="H37" s="3050">
        <f>IF('Part III-Sources of Funds'!$I$37="","",-FV('Part III-Sources of Funds'!$K$37/12,12,H23/12,G37))</f>
        <v>700000</v>
      </c>
      <c r="I37" s="3050">
        <f>IF('Part III-Sources of Funds'!$I$37="","",-FV('Part III-Sources of Funds'!$K$37/12,12,I23/12,H37))</f>
        <v>700000</v>
      </c>
      <c r="J37" s="3050">
        <f>IF('Part III-Sources of Funds'!$I$37="","",-FV('Part III-Sources of Funds'!$K$37/12,12,J23/12,I37))</f>
        <v>700000</v>
      </c>
      <c r="K37" s="3050">
        <f>IF('Part III-Sources of Funds'!$I$37="","",-FV('Part III-Sources of Funds'!$K$37/12,12,K23/12,J37))</f>
        <v>700000</v>
      </c>
      <c r="M37" s="2904"/>
      <c r="N37" s="2905"/>
    </row>
    <row r="38" spans="1:14" ht="13.15" customHeight="1">
      <c r="A38" s="471" t="s">
        <v>2706</v>
      </c>
      <c r="B38" s="3047" t="str">
        <f>IF('Part III-Sources of Funds'!$I$38="","",-FV('Part III-Sources of Funds'!$K$38/12,12,B24/12,'Part III-Sources of Funds'!$I$38))</f>
        <v/>
      </c>
      <c r="C38" s="3047" t="str">
        <f>IF('Part III-Sources of Funds'!$I$38="","",-FV('Part III-Sources of Funds'!$K$38/12,12,C24/12,B38))</f>
        <v/>
      </c>
      <c r="D38" s="3047" t="str">
        <f>IF('Part III-Sources of Funds'!$I$38="","",-FV('Part III-Sources of Funds'!$K$38/12,12,D24/12,C38))</f>
        <v/>
      </c>
      <c r="E38" s="3047" t="str">
        <f>IF('Part III-Sources of Funds'!$I$38="","",-FV('Part III-Sources of Funds'!$K$38/12,12,E24/12,D38))</f>
        <v/>
      </c>
      <c r="F38" s="3047" t="str">
        <f>IF('Part III-Sources of Funds'!$I$38="","",-FV('Part III-Sources of Funds'!$K$38/12,12,F24/12,E38))</f>
        <v/>
      </c>
      <c r="G38" s="3047" t="str">
        <f>IF('Part III-Sources of Funds'!$I$38="","",-FV('Part III-Sources of Funds'!$K$38/12,12,G24/12,F38))</f>
        <v/>
      </c>
      <c r="H38" s="3047" t="str">
        <f>IF('Part III-Sources of Funds'!$I$38="","",-FV('Part III-Sources of Funds'!$K$38/12,12,H24/12,G38))</f>
        <v/>
      </c>
      <c r="I38" s="3047" t="str">
        <f>IF('Part III-Sources of Funds'!$I$38="","",-FV('Part III-Sources of Funds'!$K$38/12,12,I24/12,H38))</f>
        <v/>
      </c>
      <c r="J38" s="3047" t="str">
        <f>IF('Part III-Sources of Funds'!$I$38="","",-FV('Part III-Sources of Funds'!$K$38/12,12,J24/12,I38))</f>
        <v/>
      </c>
      <c r="K38" s="3047" t="str">
        <f>IF('Part III-Sources of Funds'!$I$38="","",-FV('Part III-Sources of Funds'!$K$38/12,12,K24/12,J38))</f>
        <v/>
      </c>
      <c r="M38" s="2904"/>
      <c r="N38" s="2905"/>
    </row>
    <row r="39" spans="1:14" ht="13.15" customHeight="1">
      <c r="A39" s="471"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4"/>
      <c r="N39" s="2905"/>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4"/>
      <c r="N40" s="2905"/>
    </row>
    <row r="41" spans="1:14" ht="13.15" customHeight="1">
      <c r="A41" s="27" t="s">
        <v>1284</v>
      </c>
      <c r="B41" s="3049">
        <f>IF('Part III-Sources of Funds'!$I$42="","",-FV('Part III-Sources of Funds'!$K$42/12,12,B29/12,'Part III-Sources of Funds'!$I$42))</f>
        <v>9136.7999999999993</v>
      </c>
      <c r="C41" s="3049">
        <f>IF('Part III-Sources of Funds'!$I$42="","",-FV('Part III-Sources of Funds'!$K$42/12,12,C29/12,B41))</f>
        <v>8121.5999999999995</v>
      </c>
      <c r="D41" s="3049">
        <f>IF('Part III-Sources of Funds'!$I$42="","",-FV('Part III-Sources of Funds'!$K$42/12,12,D29/12,C41))</f>
        <v>7106.4</v>
      </c>
      <c r="E41" s="3049">
        <f>IF('Part III-Sources of Funds'!$I$42="","",-FV('Part III-Sources of Funds'!$K$42/12,12,E29/12,D41))</f>
        <v>6091.2</v>
      </c>
      <c r="F41" s="3049">
        <f>IF('Part III-Sources of Funds'!$I$42="","",-FV('Part III-Sources of Funds'!$K$42/12,12,F29/12,E41))</f>
        <v>5076</v>
      </c>
      <c r="G41" s="3049">
        <f>IF('Part III-Sources of Funds'!$I$42="","",-FV('Part III-Sources of Funds'!$K$42/12,12,G29/12,F41))</f>
        <v>4060.8</v>
      </c>
      <c r="H41" s="3049">
        <f>IF('Part III-Sources of Funds'!$I$42="","",-FV('Part III-Sources of Funds'!$K$42/12,12,H29/12,G41))</f>
        <v>3045.6000000000004</v>
      </c>
      <c r="I41" s="3049">
        <f>IF('Part III-Sources of Funds'!$I$42="","",-FV('Part III-Sources of Funds'!$K$42/12,12,I29/12,H41))</f>
        <v>2030.4000000000005</v>
      </c>
      <c r="J41" s="3049">
        <f>IF('Part III-Sources of Funds'!$I$42="","",-FV('Part III-Sources of Funds'!$K$42/12,12,J29/12,I41))</f>
        <v>1015.2000000000006</v>
      </c>
      <c r="K41" s="3049">
        <f>IF('Part III-Sources of Funds'!$I$42="","",-FV('Part III-Sources of Funds'!$K$42/12,12,K29/12,J41))</f>
        <v>6.8212102632969618E-13</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2710</v>
      </c>
      <c r="N43" s="1520"/>
    </row>
    <row r="44" spans="1:14" ht="13.15" customHeight="1">
      <c r="A44" s="19" t="s">
        <v>2489</v>
      </c>
      <c r="B44" s="20">
        <f t="shared" ref="B44:K44" si="16">$B$14*(1+$B$5)^(B43-1)</f>
        <v>663128.08849946794</v>
      </c>
      <c r="C44" s="20">
        <f t="shared" si="16"/>
        <v>676390.65026945714</v>
      </c>
      <c r="D44" s="20">
        <f t="shared" si="16"/>
        <v>689918.46327484632</v>
      </c>
      <c r="E44" s="20">
        <f t="shared" si="16"/>
        <v>703716.83254034328</v>
      </c>
      <c r="F44" s="20">
        <f t="shared" si="16"/>
        <v>717791.16919115023</v>
      </c>
      <c r="G44" s="20">
        <f t="shared" si="16"/>
        <v>732146.99257497303</v>
      </c>
      <c r="H44" s="20">
        <f t="shared" si="16"/>
        <v>746789.93242647254</v>
      </c>
      <c r="I44" s="20">
        <f t="shared" si="16"/>
        <v>761725.73107500211</v>
      </c>
      <c r="J44" s="20">
        <f t="shared" si="16"/>
        <v>776960.24569650204</v>
      </c>
      <c r="K44" s="21">
        <f t="shared" si="16"/>
        <v>792499.45061043208</v>
      </c>
      <c r="M44" s="2902"/>
      <c r="N44" s="2903"/>
    </row>
    <row r="45" spans="1:14" ht="13.15" customHeight="1">
      <c r="A45" s="22" t="s">
        <v>1053</v>
      </c>
      <c r="B45" s="23">
        <f t="shared" ref="B45:K45" si="17">$B$15*(1+$B$5)^(B43-1)</f>
        <v>13262.561769989357</v>
      </c>
      <c r="C45" s="23">
        <f t="shared" si="17"/>
        <v>13527.813005389142</v>
      </c>
      <c r="D45" s="23">
        <f t="shared" si="17"/>
        <v>13798.369265496927</v>
      </c>
      <c r="E45" s="23">
        <f t="shared" si="17"/>
        <v>14074.336650806865</v>
      </c>
      <c r="F45" s="23">
        <f t="shared" si="17"/>
        <v>14355.823383823004</v>
      </c>
      <c r="G45" s="23">
        <f t="shared" si="17"/>
        <v>14642.939851499461</v>
      </c>
      <c r="H45" s="23">
        <f t="shared" si="17"/>
        <v>14935.798648529451</v>
      </c>
      <c r="I45" s="23">
        <f t="shared" si="17"/>
        <v>15234.514621500042</v>
      </c>
      <c r="J45" s="23">
        <f t="shared" si="17"/>
        <v>15539.204913930042</v>
      </c>
      <c r="K45" s="24">
        <f t="shared" si="17"/>
        <v>15849.989012208642</v>
      </c>
      <c r="M45" s="2904"/>
      <c r="N45" s="2905"/>
    </row>
    <row r="46" spans="1:14" ht="13.15" customHeight="1">
      <c r="A46" s="22" t="s">
        <v>2490</v>
      </c>
      <c r="B46" s="23">
        <f t="shared" ref="B46:K46" si="18">-(B44+B45)*$B$8</f>
        <v>-47347.345518862014</v>
      </c>
      <c r="C46" s="23">
        <f t="shared" si="18"/>
        <v>-48294.292429239249</v>
      </c>
      <c r="D46" s="23">
        <f t="shared" si="18"/>
        <v>-49260.178277824038</v>
      </c>
      <c r="E46" s="23">
        <f t="shared" si="18"/>
        <v>-50245.381843380514</v>
      </c>
      <c r="F46" s="23">
        <f t="shared" si="18"/>
        <v>-51250.289480248131</v>
      </c>
      <c r="G46" s="23">
        <f t="shared" si="18"/>
        <v>-52275.295269853086</v>
      </c>
      <c r="H46" s="23">
        <f t="shared" si="18"/>
        <v>-53320.801175250148</v>
      </c>
      <c r="I46" s="23">
        <f t="shared" si="18"/>
        <v>-54387.217198755156</v>
      </c>
      <c r="J46" s="23">
        <f t="shared" si="18"/>
        <v>-55474.961542730249</v>
      </c>
      <c r="K46" s="24">
        <f t="shared" si="18"/>
        <v>-56584.460773584855</v>
      </c>
      <c r="M46" s="2904"/>
      <c r="N46" s="2905"/>
    </row>
    <row r="47" spans="1:14" ht="13.15" customHeight="1">
      <c r="A47" s="22" t="s">
        <v>54</v>
      </c>
      <c r="B47" s="23">
        <f>'Part VI-Revenues &amp; Expenses'!G137</f>
        <v>62895</v>
      </c>
      <c r="C47" s="23">
        <f>'Part VI-Revenues &amp; Expenses'!H137</f>
        <v>64782</v>
      </c>
      <c r="D47" s="23">
        <f>'Part VI-Revenues &amp; Expenses'!I137</f>
        <v>66726</v>
      </c>
      <c r="E47" s="23">
        <f>'Part VI-Revenues &amp; Expenses'!J137</f>
        <v>68727</v>
      </c>
      <c r="F47" s="23">
        <f>'Part VI-Revenues &amp; Expenses'!K137</f>
        <v>70789</v>
      </c>
      <c r="G47" s="23">
        <f>'Part VI-Revenues &amp; Expenses'!L137</f>
        <v>72913</v>
      </c>
      <c r="H47" s="23">
        <f>'Part VI-Revenues &amp; Expenses'!M137</f>
        <v>75100</v>
      </c>
      <c r="I47" s="23">
        <f>'Part VI-Revenues &amp; Expenses'!N137</f>
        <v>77353</v>
      </c>
      <c r="J47" s="23">
        <f>'Part VI-Revenues &amp; Expenses'!O137</f>
        <v>79674</v>
      </c>
      <c r="K47" s="24">
        <f>'Part VI-Revenues &amp; Expenses'!P137</f>
        <v>82064</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-514272.44913447706</v>
      </c>
      <c r="C49" s="23">
        <f t="shared" si="19"/>
        <v>-529700.62260851136</v>
      </c>
      <c r="D49" s="23">
        <f t="shared" si="19"/>
        <v>-545591.64128676662</v>
      </c>
      <c r="E49" s="23">
        <f t="shared" si="19"/>
        <v>-561959.39052536956</v>
      </c>
      <c r="F49" s="23">
        <f t="shared" si="19"/>
        <v>-578818.17224113073</v>
      </c>
      <c r="G49" s="23">
        <f t="shared" si="19"/>
        <v>-596182.71740836476</v>
      </c>
      <c r="H49" s="23">
        <f t="shared" si="19"/>
        <v>-614068.19893061556</v>
      </c>
      <c r="I49" s="23">
        <f t="shared" si="19"/>
        <v>-632490.24489853403</v>
      </c>
      <c r="J49" s="23">
        <f t="shared" si="19"/>
        <v>-651464.95224549004</v>
      </c>
      <c r="K49" s="24">
        <f t="shared" si="19"/>
        <v>-671008.90081285476</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-34597</v>
      </c>
      <c r="C50" s="23">
        <f>IF(AND('Part VII-Pro Forma'!$G$8="Yes",'Part VII-Pro Forma'!$G$9="Yes"),"Choose One!",IF('Part VII-Pro Forma'!$G$8="Yes",ROUND((-$K$8*(1+'Part VII-Pro Forma'!$B$6)^('Part VII-Pro Forma'!C43-1)),),IF('Part VII-Pro Forma'!$G$9="Yes",ROUND((-(SUM(C44:C47)*'Part VII-Pro Forma'!$K$9)),),"Choose mgt fee")))</f>
        <v>-35320</v>
      </c>
      <c r="D50" s="23">
        <f>IF(AND('Part VII-Pro Forma'!$G$8="Yes",'Part VII-Pro Forma'!$G$9="Yes"),"Choose One!",IF('Part VII-Pro Forma'!$G$8="Yes",ROUND((-$K$8*(1+'Part VII-Pro Forma'!$B$6)^('Part VII-Pro Forma'!D43-1)),),IF('Part VII-Pro Forma'!$G$9="Yes",ROUND((-(SUM(D44:D47)*'Part VII-Pro Forma'!$K$9)),),"Choose mgt fee")))</f>
        <v>-36059</v>
      </c>
      <c r="E50" s="23">
        <f>IF(AND('Part VII-Pro Forma'!$G$8="Yes",'Part VII-Pro Forma'!$G$9="Yes"),"Choose One!",IF('Part VII-Pro Forma'!$G$8="Yes",ROUND((-$K$8*(1+'Part VII-Pro Forma'!$B$6)^('Part VII-Pro Forma'!E43-1)),),IF('Part VII-Pro Forma'!$G$9="Yes",ROUND((-(SUM(E44:E47)*'Part VII-Pro Forma'!$K$9)),),"Choose mgt fee")))</f>
        <v>-36814</v>
      </c>
      <c r="F50" s="23">
        <f>IF(AND('Part VII-Pro Forma'!$G$8="Yes",'Part VII-Pro Forma'!$G$9="Yes"),"Choose One!",IF('Part VII-Pro Forma'!$G$8="Yes",ROUND((-$K$8*(1+'Part VII-Pro Forma'!$B$6)^('Part VII-Pro Forma'!F43-1)),),IF('Part VII-Pro Forma'!$G$9="Yes",ROUND((-(SUM(F44:F47)*'Part VII-Pro Forma'!$K$9)),),"Choose mgt fee")))</f>
        <v>-37584</v>
      </c>
      <c r="G50" s="23">
        <f>IF(AND('Part VII-Pro Forma'!$G$8="Yes",'Part VII-Pro Forma'!$G$9="Yes"),"Choose One!",IF('Part VII-Pro Forma'!$G$8="Yes",ROUND((-$K$8*(1+'Part VII-Pro Forma'!$B$6)^('Part VII-Pro Forma'!G43-1)),),IF('Part VII-Pro Forma'!$G$9="Yes",ROUND((-(SUM(G44:G47)*'Part VII-Pro Forma'!$K$9)),),"Choose mgt fee")))</f>
        <v>-38371</v>
      </c>
      <c r="H50" s="23">
        <f>IF(AND('Part VII-Pro Forma'!$G$8="Yes",'Part VII-Pro Forma'!$G$9="Yes"),"Choose One!",IF('Part VII-Pro Forma'!$G$8="Yes",ROUND((-$K$8*(1+'Part VII-Pro Forma'!$B$6)^('Part VII-Pro Forma'!H43-1)),),IF('Part VII-Pro Forma'!$G$9="Yes",ROUND((-(SUM(H44:H47)*'Part VII-Pro Forma'!$K$9)),),"Choose mgt fee")))</f>
        <v>-39175</v>
      </c>
      <c r="I50" s="23">
        <f>IF(AND('Part VII-Pro Forma'!$G$8="Yes",'Part VII-Pro Forma'!$G$9="Yes"),"Choose One!",IF('Part VII-Pro Forma'!$G$8="Yes",ROUND((-$K$8*(1+'Part VII-Pro Forma'!$B$6)^('Part VII-Pro Forma'!I43-1)),),IF('Part VII-Pro Forma'!$G$9="Yes",ROUND((-(SUM(I44:I47)*'Part VII-Pro Forma'!$K$9)),),"Choose mgt fee")))</f>
        <v>-39996</v>
      </c>
      <c r="J50" s="23">
        <f>IF(AND('Part VII-Pro Forma'!$G$8="Yes",'Part VII-Pro Forma'!$G$9="Yes"),"Choose One!",IF('Part VII-Pro Forma'!$G$8="Yes",ROUND((-$K$8*(1+'Part VII-Pro Forma'!$B$6)^('Part VII-Pro Forma'!J43-1)),),IF('Part VII-Pro Forma'!$G$9="Yes",ROUND((-(SUM(J44:J47)*'Part VII-Pro Forma'!$K$9)),),"Choose mgt fee")))</f>
        <v>-40835</v>
      </c>
      <c r="K50" s="23">
        <f>IF(AND('Part VII-Pro Forma'!$G$8="Yes",'Part VII-Pro Forma'!$G$9="Yes"),"Choose One!",IF('Part VII-Pro Forma'!$G$8="Yes",ROUND((-$K$8*(1+'Part VII-Pro Forma'!$B$6)^('Part VII-Pro Forma'!K43-1)),),IF('Part VII-Pro Forma'!$G$9="Yes",ROUND((-(SUM(K44:K47)*'Part VII-Pro Forma'!$K$9)),),"Choose mgt fee")))</f>
        <v>-41691</v>
      </c>
      <c r="M50" s="2904"/>
      <c r="N50" s="2905"/>
    </row>
    <row r="51" spans="1:14" ht="13.15" customHeight="1">
      <c r="A51" s="22" t="s">
        <v>1247</v>
      </c>
      <c r="B51" s="23">
        <f t="shared" ref="B51:K51" si="20">$B$21*(1+$B$7)^(B43-1)</f>
        <v>-30238.118535242738</v>
      </c>
      <c r="C51" s="23">
        <f t="shared" si="20"/>
        <v>-31145.262091300025</v>
      </c>
      <c r="D51" s="23">
        <f t="shared" si="20"/>
        <v>-32079.619954039019</v>
      </c>
      <c r="E51" s="23">
        <f t="shared" si="20"/>
        <v>-33042.008552660191</v>
      </c>
      <c r="F51" s="23">
        <f t="shared" si="20"/>
        <v>-34033.268809239999</v>
      </c>
      <c r="G51" s="23">
        <f t="shared" si="20"/>
        <v>-35054.266873517197</v>
      </c>
      <c r="H51" s="23">
        <f t="shared" si="20"/>
        <v>-36105.894879722706</v>
      </c>
      <c r="I51" s="23">
        <f t="shared" si="20"/>
        <v>-37189.071726114387</v>
      </c>
      <c r="J51" s="23">
        <f t="shared" si="20"/>
        <v>-38304.743877897825</v>
      </c>
      <c r="K51" s="24">
        <f t="shared" si="20"/>
        <v>-39453.886194234758</v>
      </c>
      <c r="M51" s="2904"/>
      <c r="N51" s="2905"/>
    </row>
    <row r="52" spans="1:14" ht="13.15" customHeight="1">
      <c r="A52" s="22" t="s">
        <v>1248</v>
      </c>
      <c r="B52" s="23">
        <f t="shared" ref="B52:K52" si="21">SUM(B44:B51)</f>
        <v>112830.73708087543</v>
      </c>
      <c r="C52" s="23">
        <f t="shared" si="21"/>
        <v>110240.28614579568</v>
      </c>
      <c r="D52" s="23">
        <f t="shared" si="21"/>
        <v>107452.39302171356</v>
      </c>
      <c r="E52" s="23">
        <f t="shared" si="21"/>
        <v>104457.38826973985</v>
      </c>
      <c r="F52" s="23">
        <f t="shared" si="21"/>
        <v>101250.26204435443</v>
      </c>
      <c r="G52" s="23">
        <f t="shared" si="21"/>
        <v>97819.652874737512</v>
      </c>
      <c r="H52" s="23">
        <f t="shared" si="21"/>
        <v>94155.836089413642</v>
      </c>
      <c r="I52" s="23">
        <f t="shared" si="21"/>
        <v>90250.711873098611</v>
      </c>
      <c r="J52" s="23">
        <f t="shared" si="21"/>
        <v>86093.792944313987</v>
      </c>
      <c r="K52" s="24">
        <f t="shared" si="21"/>
        <v>81675.191841966312</v>
      </c>
      <c r="M52" s="2904"/>
      <c r="N52" s="2905"/>
    </row>
    <row r="53" spans="1:14" ht="13.15" customHeight="1">
      <c r="A53" s="22" t="str">
        <f>$A23</f>
        <v>Mortgage A</v>
      </c>
      <c r="B53" s="3046">
        <f>IF('Part III-Sources of Funds'!$N$37="", 0,-'Part III-Sources of Funds'!$N$37)</f>
        <v>0</v>
      </c>
      <c r="C53" s="3046">
        <f>IF('Part III-Sources of Funds'!$N$37="", 0,-'Part III-Sources of Funds'!$N$37)</f>
        <v>0</v>
      </c>
      <c r="D53" s="3046">
        <f>IF('Part III-Sources of Funds'!$N$37="", 0,-'Part III-Sources of Funds'!$N$37)</f>
        <v>0</v>
      </c>
      <c r="E53" s="3046">
        <f>IF('Part III-Sources of Funds'!$N$37="", 0,-'Part III-Sources of Funds'!$N$37)</f>
        <v>0</v>
      </c>
      <c r="F53" s="3046">
        <f>IF('Part III-Sources of Funds'!$N$37="", 0,-'Part III-Sources of Funds'!$N$37)</f>
        <v>0</v>
      </c>
      <c r="G53" s="3046">
        <f>IF('Part III-Sources of Funds'!$N$37="", 0,-'Part III-Sources of Funds'!$N$37)</f>
        <v>0</v>
      </c>
      <c r="H53" s="3046">
        <f>IF('Part III-Sources of Funds'!$N$37="", 0,-'Part III-Sources of Funds'!$N$37)</f>
        <v>0</v>
      </c>
      <c r="I53" s="3046">
        <f>IF('Part III-Sources of Funds'!$N$37="", 0,-'Part III-Sources of Funds'!$N$37)</f>
        <v>0</v>
      </c>
      <c r="J53" s="3046">
        <f>IF('Part III-Sources of Funds'!$N$37="", 0,-'Part III-Sources of Funds'!$N$37)</f>
        <v>0</v>
      </c>
      <c r="K53" s="3046">
        <f>IF('Part III-Sources of Funds'!$N$37="", 0,-'Part III-Sources of Funds'!$N$37)</f>
        <v>0</v>
      </c>
      <c r="M53" s="2904"/>
      <c r="N53" s="2905"/>
    </row>
    <row r="54" spans="1:14" ht="13.15" customHeight="1">
      <c r="A54" s="22" t="str">
        <f>$A24</f>
        <v>Mortgage B</v>
      </c>
      <c r="B54" s="3047">
        <f>IF('Part III-Sources of Funds'!$N$38="", 0,-'Part III-Sources of Funds'!$N$38)</f>
        <v>0</v>
      </c>
      <c r="C54" s="3047">
        <f>IF('Part III-Sources of Funds'!$N$38="", 0,-'Part III-Sources of Funds'!$N$38)</f>
        <v>0</v>
      </c>
      <c r="D54" s="3047">
        <f>IF('Part III-Sources of Funds'!$N$38="", 0,-'Part III-Sources of Funds'!$N$38)</f>
        <v>0</v>
      </c>
      <c r="E54" s="3047">
        <f>IF('Part III-Sources of Funds'!$N$38="", 0,-'Part III-Sources of Funds'!$N$38)</f>
        <v>0</v>
      </c>
      <c r="F54" s="3047">
        <f>IF('Part III-Sources of Funds'!$N$38="", 0,-'Part III-Sources of Funds'!$N$38)</f>
        <v>0</v>
      </c>
      <c r="G54" s="3047">
        <f>IF('Part III-Sources of Funds'!$N$38="", 0,-'Part III-Sources of Funds'!$N$38)</f>
        <v>0</v>
      </c>
      <c r="H54" s="3047">
        <f>IF('Part III-Sources of Funds'!$N$38="", 0,-'Part III-Sources of Funds'!$N$38)</f>
        <v>0</v>
      </c>
      <c r="I54" s="3047">
        <f>IF('Part III-Sources of Funds'!$N$38="", 0,-'Part III-Sources of Funds'!$N$38)</f>
        <v>0</v>
      </c>
      <c r="J54" s="3047">
        <f>IF('Part III-Sources of Funds'!$N$38="", 0,-'Part III-Sources of Funds'!$N$38)</f>
        <v>0</v>
      </c>
      <c r="K54" s="3047">
        <f>IF('Part III-Sources of Funds'!$N$38="", 0,-'Part III-Sources of Funds'!$N$38)</f>
        <v>0</v>
      </c>
      <c r="M54" s="2904"/>
      <c r="N54" s="2905"/>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4"/>
      <c r="N55" s="2905"/>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4"/>
      <c r="N56" s="2905"/>
    </row>
    <row r="57" spans="1:14" ht="13.15" customHeight="1">
      <c r="A57" s="22" t="s">
        <v>794</v>
      </c>
      <c r="B57" s="3048"/>
      <c r="C57" s="3048"/>
      <c r="D57" s="3048"/>
      <c r="E57" s="3048"/>
      <c r="F57" s="3048"/>
      <c r="G57" s="3048"/>
      <c r="H57" s="3048"/>
      <c r="I57" s="3048"/>
      <c r="J57" s="3048"/>
      <c r="K57" s="3048"/>
      <c r="M57" s="2904"/>
      <c r="N57" s="2905"/>
    </row>
    <row r="58" spans="1:14" ht="13.15" customHeight="1">
      <c r="A58" s="22" t="s">
        <v>1206</v>
      </c>
      <c r="B58" s="3047">
        <f>K28*1.03</f>
        <v>-16126.996552129467</v>
      </c>
      <c r="C58" s="3047">
        <f>B58*1.03</f>
        <v>-16610.806448693351</v>
      </c>
      <c r="D58" s="3047">
        <f t="shared" ref="D58:K58" si="22">C58*1.03</f>
        <v>-17109.130642154152</v>
      </c>
      <c r="E58" s="3047">
        <f t="shared" si="22"/>
        <v>-17622.404561418778</v>
      </c>
      <c r="F58" s="3047">
        <f t="shared" si="22"/>
        <v>-18151.076698261342</v>
      </c>
      <c r="G58" s="3047">
        <f t="shared" si="22"/>
        <v>-18695.608999209184</v>
      </c>
      <c r="H58" s="3047">
        <f t="shared" si="22"/>
        <v>-19256.47726918546</v>
      </c>
      <c r="I58" s="3047">
        <f t="shared" si="22"/>
        <v>-19834.171587261026</v>
      </c>
      <c r="J58" s="3047">
        <f t="shared" si="22"/>
        <v>-20429.196734878857</v>
      </c>
      <c r="K58" s="3047">
        <f t="shared" si="22"/>
        <v>-21042.072636925222</v>
      </c>
      <c r="M58" s="2904"/>
      <c r="N58" s="2905"/>
    </row>
    <row r="59" spans="1:14" ht="13.15" customHeight="1">
      <c r="A59" s="22" t="s">
        <v>1249</v>
      </c>
      <c r="B59" s="3049"/>
      <c r="C59" s="3049"/>
      <c r="D59" s="3049"/>
      <c r="E59" s="3049"/>
      <c r="F59" s="3049"/>
      <c r="G59" s="3049"/>
      <c r="H59" s="3049"/>
      <c r="I59" s="3049"/>
      <c r="J59" s="3049"/>
      <c r="K59" s="3047"/>
      <c r="M59" s="2904"/>
      <c r="N59" s="2905"/>
    </row>
    <row r="60" spans="1:14" ht="13.15" customHeight="1">
      <c r="A60" s="22" t="s">
        <v>1207</v>
      </c>
      <c r="B60" s="23">
        <f t="shared" ref="B60:K60" si="23">SUM(B52:B59)</f>
        <v>96703.74052874597</v>
      </c>
      <c r="C60" s="23">
        <f t="shared" si="23"/>
        <v>93629.479697102332</v>
      </c>
      <c r="D60" s="23">
        <f t="shared" si="23"/>
        <v>90343.262379559412</v>
      </c>
      <c r="E60" s="23">
        <f t="shared" si="23"/>
        <v>86834.983708321073</v>
      </c>
      <c r="F60" s="23">
        <f t="shared" si="23"/>
        <v>83099.185346093087</v>
      </c>
      <c r="G60" s="23">
        <f t="shared" si="23"/>
        <v>79124.043875528325</v>
      </c>
      <c r="H60" s="23">
        <f t="shared" si="23"/>
        <v>74899.358820228183</v>
      </c>
      <c r="I60" s="23">
        <f t="shared" si="23"/>
        <v>70416.540285837589</v>
      </c>
      <c r="J60" s="23">
        <f t="shared" si="23"/>
        <v>65664.596209435127</v>
      </c>
      <c r="K60" s="21">
        <f t="shared" si="23"/>
        <v>60633.11920504109</v>
      </c>
      <c r="M60" s="2904"/>
      <c r="N60" s="2905"/>
    </row>
    <row r="61" spans="1:14" ht="13.15" customHeight="1">
      <c r="A61" s="22" t="str">
        <f>$A31</f>
        <v>DCR Mortgage A</v>
      </c>
      <c r="B61" s="25" t="str">
        <f>IF(B53=0,"",-B52/B53)</f>
        <v/>
      </c>
      <c r="C61" s="25" t="str">
        <f t="shared" ref="C61:K61" si="24">IF(C53=0,"",-C52/C53)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4190</v>
      </c>
      <c r="B65" s="25" t="str">
        <f>IF(AND(B53=0,B54=0,B55=0,B56=0),"",-B52/(B53+B54+B55+B56))</f>
        <v/>
      </c>
      <c r="C65" s="25" t="str">
        <f t="shared" ref="C65:K65" si="28">IF(AND(C53=0,C54=0,C55=0,C56=0),"",-C52/(C53+C54+C55+C56))</f>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M65" s="2904"/>
      <c r="N65" s="2905"/>
    </row>
    <row r="66" spans="1:14" ht="13.15" customHeight="1">
      <c r="A66" s="22" t="s">
        <v>801</v>
      </c>
      <c r="B66" s="293">
        <f>IF(OR(B50="Choose mgt fee",B50="Choose One!"),"",(B44+B45+B46+B47+B48) / -(B49+B50+B51))</f>
        <v>1.1948355424448982</v>
      </c>
      <c r="C66" s="293">
        <f t="shared" ref="C66:K66" si="29">IF(OR(C50="Choose mgt fee",C50="Choose One!"),"",(C44+C45+C46+C47+C48) / -(C49+C50+C51))</f>
        <v>1.1849154555385288</v>
      </c>
      <c r="D66" s="293">
        <f t="shared" si="29"/>
        <v>1.1750808128712316</v>
      </c>
      <c r="E66" s="293">
        <f t="shared" si="29"/>
        <v>1.1653289685914086</v>
      </c>
      <c r="F66" s="293">
        <f t="shared" si="29"/>
        <v>1.1556653522459479</v>
      </c>
      <c r="G66" s="293">
        <f t="shared" si="29"/>
        <v>1.1460849559308104</v>
      </c>
      <c r="H66" s="293">
        <f t="shared" si="29"/>
        <v>1.1365865813632576</v>
      </c>
      <c r="I66" s="293">
        <f t="shared" si="29"/>
        <v>1.1271718344416264</v>
      </c>
      <c r="J66" s="293">
        <f t="shared" si="29"/>
        <v>1.1178390905521556</v>
      </c>
      <c r="K66" s="294">
        <f t="shared" si="29"/>
        <v>1.1085884206831715</v>
      </c>
      <c r="M66" s="2904"/>
      <c r="N66" s="2905"/>
    </row>
    <row r="67" spans="1:14" ht="13.15" customHeight="1">
      <c r="A67" s="471" t="s">
        <v>2705</v>
      </c>
      <c r="B67" s="3050">
        <f>IF('Part III-Sources of Funds'!$I$37="","",-FV('Part III-Sources of Funds'!$K$37/12,12,B53/12,K37))</f>
        <v>700000</v>
      </c>
      <c r="C67" s="3050">
        <f>IF('Part III-Sources of Funds'!$I$37="","",-FV('Part III-Sources of Funds'!$K$37/12,12,C53/12,B67))</f>
        <v>700000</v>
      </c>
      <c r="D67" s="3050">
        <f>IF('Part III-Sources of Funds'!$I$37="","",-FV('Part III-Sources of Funds'!$K$37/12,12,D53/12,C67))</f>
        <v>700000</v>
      </c>
      <c r="E67" s="3050">
        <f>IF('Part III-Sources of Funds'!$I$37="","",-FV('Part III-Sources of Funds'!$K$37/12,12,E53/12,D67))</f>
        <v>700000</v>
      </c>
      <c r="F67" s="3050">
        <f>IF('Part III-Sources of Funds'!$I$37="","",-FV('Part III-Sources of Funds'!$K$37/12,12,F53/12,E67))</f>
        <v>700000</v>
      </c>
      <c r="G67" s="3050">
        <f>IF('Part III-Sources of Funds'!$I$37="","",-FV('Part III-Sources of Funds'!$K$37/12,12,G53/12,F67))</f>
        <v>700000</v>
      </c>
      <c r="H67" s="3050">
        <f>IF('Part III-Sources of Funds'!$I$37="","",-FV('Part III-Sources of Funds'!$K$37/12,12,H53/12,G67))</f>
        <v>700000</v>
      </c>
      <c r="I67" s="3050">
        <f>IF('Part III-Sources of Funds'!$I$37="","",-FV('Part III-Sources of Funds'!$K$37/12,12,I53/12,H67))</f>
        <v>700000</v>
      </c>
      <c r="J67" s="3050">
        <f>IF('Part III-Sources of Funds'!$I$37="","",-FV('Part III-Sources of Funds'!$K$37/12,12,J53/12,I67))</f>
        <v>700000</v>
      </c>
      <c r="K67" s="3050">
        <f>IF('Part III-Sources of Funds'!$I$37="","",-FV('Part III-Sources of Funds'!$K$37/12,12,K53/12,J67))</f>
        <v>700000</v>
      </c>
      <c r="M67" s="2904"/>
      <c r="N67" s="2905"/>
    </row>
    <row r="68" spans="1:14" ht="13.15" customHeight="1">
      <c r="A68" s="471" t="s">
        <v>2706</v>
      </c>
      <c r="B68" s="3047" t="str">
        <f>IF('Part III-Sources of Funds'!$I$38="","",-FV('Part III-Sources of Funds'!$K$38/12,12,B54/12,K38))</f>
        <v/>
      </c>
      <c r="C68" s="3047" t="str">
        <f>IF('Part III-Sources of Funds'!$I$38="","",-FV('Part III-Sources of Funds'!$K$38/12,12,C54/12,B68))</f>
        <v/>
      </c>
      <c r="D68" s="3047" t="str">
        <f>IF('Part III-Sources of Funds'!$I$38="","",-FV('Part III-Sources of Funds'!$K$38/12,12,D54/12,C68))</f>
        <v/>
      </c>
      <c r="E68" s="3047" t="str">
        <f>IF('Part III-Sources of Funds'!$I$38="","",-FV('Part III-Sources of Funds'!$K$38/12,12,E54/12,D68))</f>
        <v/>
      </c>
      <c r="F68" s="3047" t="str">
        <f>IF('Part III-Sources of Funds'!$I$38="","",-FV('Part III-Sources of Funds'!$K$38/12,12,F54/12,E68))</f>
        <v/>
      </c>
      <c r="G68" s="3047" t="str">
        <f>IF('Part III-Sources of Funds'!$I$38="","",-FV('Part III-Sources of Funds'!$K$38/12,12,G54/12,F68))</f>
        <v/>
      </c>
      <c r="H68" s="3047" t="str">
        <f>IF('Part III-Sources of Funds'!$I$38="","",-FV('Part III-Sources of Funds'!$K$38/12,12,H54/12,G68))</f>
        <v/>
      </c>
      <c r="I68" s="3047" t="str">
        <f>IF('Part III-Sources of Funds'!$I$38="","",-FV('Part III-Sources of Funds'!$K$38/12,12,I54/12,H68))</f>
        <v/>
      </c>
      <c r="J68" s="3047" t="str">
        <f>IF('Part III-Sources of Funds'!$I$38="","",-FV('Part III-Sources of Funds'!$K$38/12,12,J54/12,I68))</f>
        <v/>
      </c>
      <c r="K68" s="3047" t="str">
        <f>IF('Part III-Sources of Funds'!$I$38="","",-FV('Part III-Sources of Funds'!$K$38/12,12,K54/12,J68))</f>
        <v/>
      </c>
      <c r="M68" s="2904"/>
      <c r="N68" s="2905"/>
    </row>
    <row r="69" spans="1:14" ht="13.15" customHeight="1">
      <c r="A69" s="471"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4"/>
      <c r="N69" s="2905"/>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4"/>
      <c r="N70" s="2905"/>
    </row>
    <row r="71" spans="1:14" ht="13.15" customHeight="1">
      <c r="A71" s="27" t="s">
        <v>1284</v>
      </c>
      <c r="B71" s="3049">
        <f>IF('Part III-Sources of Funds'!$I$42="","",-FV('Part III-Sources of Funds'!$K$42/12,12,B59/12,K41))</f>
        <v>6.8212102632969618E-13</v>
      </c>
      <c r="C71" s="3049">
        <f>IF('Part III-Sources of Funds'!$I$42="","",-FV('Part III-Sources of Funds'!$K$42/12,12,C59/12,B71))</f>
        <v>6.8212102632969618E-13</v>
      </c>
      <c r="D71" s="3049">
        <f>IF('Part III-Sources of Funds'!$I$42="","",-FV('Part III-Sources of Funds'!$K$42/12,12,D59/12,C71))</f>
        <v>6.8212102632969618E-13</v>
      </c>
      <c r="E71" s="3049">
        <f>IF('Part III-Sources of Funds'!$I$42="","",-FV('Part III-Sources of Funds'!$K$42/12,12,E59/12,D71))</f>
        <v>6.8212102632969618E-13</v>
      </c>
      <c r="F71" s="3049">
        <f>IF('Part III-Sources of Funds'!$I$42="","",-FV('Part III-Sources of Funds'!$K$42/12,12,F59/12,E71))</f>
        <v>6.8212102632969618E-13</v>
      </c>
      <c r="G71" s="3049">
        <f>IF('Part III-Sources of Funds'!$I$42="","",-FV('Part III-Sources of Funds'!$K$42/12,12,G59/12,F71))</f>
        <v>6.8212102632969618E-13</v>
      </c>
      <c r="H71" s="3049">
        <f>IF('Part III-Sources of Funds'!$I$42="","",-FV('Part III-Sources of Funds'!$K$42/12,12,H59/12,G71))</f>
        <v>6.8212102632969618E-13</v>
      </c>
      <c r="I71" s="3049">
        <f>IF('Part III-Sources of Funds'!$I$42="","",-FV('Part III-Sources of Funds'!$K$42/12,12,I59/12,H71))</f>
        <v>6.8212102632969618E-13</v>
      </c>
      <c r="J71" s="3049">
        <f>IF('Part III-Sources of Funds'!$I$42="","",-FV('Part III-Sources of Funds'!$K$42/12,12,J59/12,I71))</f>
        <v>6.8212102632969618E-13</v>
      </c>
      <c r="K71" s="3049">
        <f>IF('Part III-Sources of Funds'!$I$42="","",-FV('Part III-Sources of Funds'!$K$42/12,12,K59/12,J71))</f>
        <v>6.8212102632969618E-13</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2711</v>
      </c>
      <c r="N73" s="1520"/>
    </row>
    <row r="74" spans="1:14" ht="13.15" customHeight="1">
      <c r="A74" s="19" t="s">
        <v>2489</v>
      </c>
      <c r="B74" s="20">
        <f t="shared" ref="B74:K74" si="31">$B$14*(1+$B$5)^(B73-1)</f>
        <v>808349.43962264084</v>
      </c>
      <c r="C74" s="20">
        <f t="shared" si="31"/>
        <v>824516.42841509357</v>
      </c>
      <c r="D74" s="20">
        <f t="shared" si="31"/>
        <v>841006.75698339543</v>
      </c>
      <c r="E74" s="20">
        <f t="shared" si="31"/>
        <v>857826.89212306321</v>
      </c>
      <c r="F74" s="20">
        <f t="shared" si="31"/>
        <v>874983.42996552447</v>
      </c>
      <c r="G74" s="20">
        <f t="shared" si="31"/>
        <v>892483.09856483503</v>
      </c>
      <c r="H74" s="20">
        <f t="shared" si="31"/>
        <v>910332.7605361318</v>
      </c>
      <c r="I74" s="20">
        <f t="shared" si="31"/>
        <v>928539.41574685427</v>
      </c>
      <c r="J74" s="20">
        <f t="shared" si="31"/>
        <v>947110.20406179153</v>
      </c>
      <c r="K74" s="21">
        <f t="shared" si="31"/>
        <v>966052.40814302722</v>
      </c>
      <c r="M74" s="2902"/>
      <c r="N74" s="2903"/>
    </row>
    <row r="75" spans="1:14" ht="13.15" customHeight="1">
      <c r="A75" s="22" t="s">
        <v>1053</v>
      </c>
      <c r="B75" s="23">
        <f t="shared" ref="B75:K75" si="32">$B$15*(1+$B$5)^(B73-1)</f>
        <v>16166.988792452816</v>
      </c>
      <c r="C75" s="23">
        <f t="shared" si="32"/>
        <v>16490.328568301869</v>
      </c>
      <c r="D75" s="23">
        <f t="shared" si="32"/>
        <v>16820.135139667909</v>
      </c>
      <c r="E75" s="23">
        <f t="shared" si="32"/>
        <v>17156.537842461265</v>
      </c>
      <c r="F75" s="23">
        <f t="shared" si="32"/>
        <v>17499.668599310491</v>
      </c>
      <c r="G75" s="23">
        <f t="shared" si="32"/>
        <v>17849.6619712967</v>
      </c>
      <c r="H75" s="23">
        <f t="shared" si="32"/>
        <v>18206.655210722638</v>
      </c>
      <c r="I75" s="23">
        <f t="shared" si="32"/>
        <v>18570.788314937086</v>
      </c>
      <c r="J75" s="23">
        <f t="shared" si="32"/>
        <v>18942.204081235832</v>
      </c>
      <c r="K75" s="24">
        <f t="shared" si="32"/>
        <v>19321.048162860545</v>
      </c>
      <c r="M75" s="2904"/>
      <c r="N75" s="2905"/>
    </row>
    <row r="76" spans="1:14" ht="13.15" customHeight="1">
      <c r="A76" s="22" t="s">
        <v>2490</v>
      </c>
      <c r="B76" s="23">
        <f t="shared" ref="B76:K76" si="33">-(B74+B75)*$B$8</f>
        <v>-57716.149989056561</v>
      </c>
      <c r="C76" s="23">
        <f t="shared" si="33"/>
        <v>-58870.472988837682</v>
      </c>
      <c r="D76" s="23">
        <f t="shared" si="33"/>
        <v>-60047.882448614437</v>
      </c>
      <c r="E76" s="23">
        <f t="shared" si="33"/>
        <v>-61248.840097586719</v>
      </c>
      <c r="F76" s="23">
        <f t="shared" si="33"/>
        <v>-62473.816899538448</v>
      </c>
      <c r="G76" s="23">
        <f t="shared" si="33"/>
        <v>-63723.293237529222</v>
      </c>
      <c r="H76" s="23">
        <f t="shared" si="33"/>
        <v>-64997.759102279815</v>
      </c>
      <c r="I76" s="23">
        <f t="shared" si="33"/>
        <v>-66297.714284325397</v>
      </c>
      <c r="J76" s="23">
        <f t="shared" si="33"/>
        <v>-67623.668570011927</v>
      </c>
      <c r="K76" s="24">
        <f t="shared" si="33"/>
        <v>-68976.141941412148</v>
      </c>
      <c r="M76" s="2904"/>
      <c r="N76" s="2905"/>
    </row>
    <row r="77" spans="1:14" ht="13.15" customHeight="1">
      <c r="A77" s="22" t="s">
        <v>54</v>
      </c>
      <c r="B77" s="23">
        <f>'Part VI-Revenues &amp; Expenses'!G146</f>
        <v>84526</v>
      </c>
      <c r="C77" s="23">
        <f>'Part VI-Revenues &amp; Expenses'!H146</f>
        <v>87062</v>
      </c>
      <c r="D77" s="23">
        <f>'Part VI-Revenues &amp; Expenses'!I146</f>
        <v>89674</v>
      </c>
      <c r="E77" s="23">
        <f>'Part VI-Revenues &amp; Expenses'!J146</f>
        <v>92364</v>
      </c>
      <c r="F77" s="23">
        <f>'Part VI-Revenues &amp; Expenses'!K146</f>
        <v>95135</v>
      </c>
      <c r="G77" s="23">
        <f>'Part VI-Revenues &amp; Expenses'!L146</f>
        <v>97989</v>
      </c>
      <c r="H77" s="23">
        <f>'Part VI-Revenues &amp; Expenses'!M146</f>
        <v>100928</v>
      </c>
      <c r="I77" s="23">
        <f>'Part VI-Revenues &amp; Expenses'!N146</f>
        <v>103956</v>
      </c>
      <c r="J77" s="23">
        <f>'Part VI-Revenues &amp; Expenses'!O146</f>
        <v>107075</v>
      </c>
      <c r="K77" s="24">
        <f>'Part VI-Revenues &amp; Expenses'!P146</f>
        <v>110287</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-691139.16783724038</v>
      </c>
      <c r="C79" s="23">
        <f t="shared" si="34"/>
        <v>-711873.34287235746</v>
      </c>
      <c r="D79" s="23">
        <f t="shared" si="34"/>
        <v>-733229.54315852828</v>
      </c>
      <c r="E79" s="23">
        <f t="shared" si="34"/>
        <v>-755226.42945328413</v>
      </c>
      <c r="F79" s="23">
        <f t="shared" si="34"/>
        <v>-777883.22233688261</v>
      </c>
      <c r="G79" s="23">
        <f t="shared" si="34"/>
        <v>-801219.71900698903</v>
      </c>
      <c r="H79" s="23">
        <f t="shared" si="34"/>
        <v>-825256.31057719886</v>
      </c>
      <c r="I79" s="23">
        <f t="shared" si="34"/>
        <v>-850013.99989451468</v>
      </c>
      <c r="J79" s="23">
        <f t="shared" si="34"/>
        <v>-875514.41989135009</v>
      </c>
      <c r="K79" s="24">
        <f t="shared" si="34"/>
        <v>-901779.85248809052</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-42566</v>
      </c>
      <c r="C80" s="23">
        <f>IF(AND('Part VII-Pro Forma'!$G$8="Yes",'Part VII-Pro Forma'!$G$9="Yes"),"Choose One!",IF('Part VII-Pro Forma'!$G$8="Yes",ROUND((-$K$8*(1+'Part VII-Pro Forma'!$B$6)^('Part VII-Pro Forma'!C73-1)),),IF('Part VII-Pro Forma'!$G$9="Yes",ROUND((-(SUM(C74:C77)*'Part VII-Pro Forma'!$K$9)),),"Choose mgt fee")))</f>
        <v>-43460</v>
      </c>
      <c r="D80" s="23">
        <f>IF(AND('Part VII-Pro Forma'!$G$8="Yes",'Part VII-Pro Forma'!$G$9="Yes"),"Choose One!",IF('Part VII-Pro Forma'!$G$8="Yes",ROUND((-$K$8*(1+'Part VII-Pro Forma'!$B$6)^('Part VII-Pro Forma'!D73-1)),),IF('Part VII-Pro Forma'!$G$9="Yes",ROUND((-(SUM(D74:D77)*'Part VII-Pro Forma'!$K$9)),),"Choose mgt fee")))</f>
        <v>-44373</v>
      </c>
      <c r="E80" s="23">
        <f>IF(AND('Part VII-Pro Forma'!$G$8="Yes",'Part VII-Pro Forma'!$G$9="Yes"),"Choose One!",IF('Part VII-Pro Forma'!$G$8="Yes",ROUND((-$K$8*(1+'Part VII-Pro Forma'!$B$6)^('Part VII-Pro Forma'!E73-1)),),IF('Part VII-Pro Forma'!$G$9="Yes",ROUND((-(SUM(E74:E77)*'Part VII-Pro Forma'!$K$9)),),"Choose mgt fee")))</f>
        <v>-45305</v>
      </c>
      <c r="F80" s="23">
        <f>IF(AND('Part VII-Pro Forma'!$G$8="Yes",'Part VII-Pro Forma'!$G$9="Yes"),"Choose One!",IF('Part VII-Pro Forma'!$G$8="Yes",ROUND((-$K$8*(1+'Part VII-Pro Forma'!$B$6)^('Part VII-Pro Forma'!F73-1)),),IF('Part VII-Pro Forma'!$G$9="Yes",ROUND((-(SUM(F74:F77)*'Part VII-Pro Forma'!$K$9)),),"Choose mgt fee")))</f>
        <v>-46257</v>
      </c>
      <c r="G80" s="23">
        <f>IF(AND('Part VII-Pro Forma'!$G$8="Yes",'Part VII-Pro Forma'!$G$9="Yes"),"Choose One!",IF('Part VII-Pro Forma'!$G$8="Yes",ROUND((-$K$8*(1+'Part VII-Pro Forma'!$B$6)^('Part VII-Pro Forma'!G73-1)),),IF('Part VII-Pro Forma'!$G$9="Yes",ROUND((-(SUM(G74:G77)*'Part VII-Pro Forma'!$K$9)),),"Choose mgt fee")))</f>
        <v>-47230</v>
      </c>
      <c r="H80" s="23">
        <f>IF(AND('Part VII-Pro Forma'!$G$8="Yes",'Part VII-Pro Forma'!$G$9="Yes"),"Choose One!",IF('Part VII-Pro Forma'!$G$8="Yes",ROUND((-$K$8*(1+'Part VII-Pro Forma'!$B$6)^('Part VII-Pro Forma'!H73-1)),),IF('Part VII-Pro Forma'!$G$9="Yes",ROUND((-(SUM(H74:H77)*'Part VII-Pro Forma'!$K$9)),),"Choose mgt fee")))</f>
        <v>-48223</v>
      </c>
      <c r="I80" s="23">
        <f>IF(AND('Part VII-Pro Forma'!$G$8="Yes",'Part VII-Pro Forma'!$G$9="Yes"),"Choose One!",IF('Part VII-Pro Forma'!$G$8="Yes",ROUND((-$K$8*(1+'Part VII-Pro Forma'!$B$6)^('Part VII-Pro Forma'!I73-1)),),IF('Part VII-Pro Forma'!$G$9="Yes",ROUND((-(SUM(I74:I77)*'Part VII-Pro Forma'!$K$9)),),"Choose mgt fee")))</f>
        <v>-49238</v>
      </c>
      <c r="J80" s="23">
        <f>IF(AND('Part VII-Pro Forma'!$G$8="Yes",'Part VII-Pro Forma'!$G$9="Yes"),"Choose One!",IF('Part VII-Pro Forma'!$G$8="Yes",ROUND((-$K$8*(1+'Part VII-Pro Forma'!$B$6)^('Part VII-Pro Forma'!J73-1)),),IF('Part VII-Pro Forma'!$G$9="Yes",ROUND((-(SUM(J74:J77)*'Part VII-Pro Forma'!$K$9)),),"Choose mgt fee")))</f>
        <v>-50275</v>
      </c>
      <c r="K80" s="23">
        <f>IF(AND('Part VII-Pro Forma'!$G$8="Yes",'Part VII-Pro Forma'!$G$9="Yes"),"Choose One!",IF('Part VII-Pro Forma'!$G$8="Yes",ROUND((-$K$8*(1+'Part VII-Pro Forma'!$B$6)^('Part VII-Pro Forma'!K73-1)),),IF('Part VII-Pro Forma'!$G$9="Yes",ROUND((-(SUM(K74:K77)*'Part VII-Pro Forma'!$K$9)),),"Choose mgt fee")))</f>
        <v>-51334</v>
      </c>
      <c r="M80" s="2904"/>
      <c r="N80" s="2905"/>
    </row>
    <row r="81" spans="1:14" ht="13.15" customHeight="1">
      <c r="A81" s="22" t="s">
        <v>1247</v>
      </c>
      <c r="B81" s="23">
        <f t="shared" ref="B81:K81" si="35">$B$21*(1+$B$7)^(B73-1)</f>
        <v>-40637.502780061797</v>
      </c>
      <c r="C81" s="23">
        <f t="shared" si="35"/>
        <v>-41856.627863463647</v>
      </c>
      <c r="D81" s="23">
        <f t="shared" si="35"/>
        <v>-43112.326699367557</v>
      </c>
      <c r="E81" s="23">
        <f t="shared" si="35"/>
        <v>-44405.696500348589</v>
      </c>
      <c r="F81" s="23">
        <f t="shared" si="35"/>
        <v>-45737.867395359041</v>
      </c>
      <c r="G81" s="23">
        <f t="shared" si="35"/>
        <v>-47110.003417219814</v>
      </c>
      <c r="H81" s="23">
        <f t="shared" si="35"/>
        <v>-48523.303519736415</v>
      </c>
      <c r="I81" s="23">
        <f t="shared" si="35"/>
        <v>-49979.002625328496</v>
      </c>
      <c r="J81" s="23">
        <f t="shared" si="35"/>
        <v>-51478.372704088353</v>
      </c>
      <c r="K81" s="24">
        <f t="shared" si="35"/>
        <v>-53022.723885211002</v>
      </c>
      <c r="M81" s="2904"/>
      <c r="N81" s="2905"/>
    </row>
    <row r="82" spans="1:14" ht="13.15" customHeight="1">
      <c r="A82" s="22" t="s">
        <v>1248</v>
      </c>
      <c r="B82" s="23">
        <f t="shared" ref="B82:K82" si="36">SUM(B74:B81)</f>
        <v>76983.607808734989</v>
      </c>
      <c r="C82" s="23">
        <f t="shared" si="36"/>
        <v>72008.313258736685</v>
      </c>
      <c r="D82" s="23">
        <f t="shared" si="36"/>
        <v>66738.139816553041</v>
      </c>
      <c r="E82" s="23">
        <f t="shared" si="36"/>
        <v>61161.463914305008</v>
      </c>
      <c r="F82" s="23">
        <f t="shared" si="36"/>
        <v>55266.191933054877</v>
      </c>
      <c r="G82" s="23">
        <f t="shared" si="36"/>
        <v>49038.744874393604</v>
      </c>
      <c r="H82" s="23">
        <f t="shared" si="36"/>
        <v>42467.042547639321</v>
      </c>
      <c r="I82" s="23">
        <f t="shared" si="36"/>
        <v>35537.487257622757</v>
      </c>
      <c r="J82" s="23">
        <f t="shared" si="36"/>
        <v>28235.946977576925</v>
      </c>
      <c r="K82" s="24">
        <f t="shared" si="36"/>
        <v>20547.737991174145</v>
      </c>
      <c r="M82" s="2904"/>
      <c r="N82" s="2905"/>
    </row>
    <row r="83" spans="1:14" ht="13.15" customHeight="1">
      <c r="A83" s="22" t="str">
        <f>$A53</f>
        <v>Mortgage A</v>
      </c>
      <c r="B83" s="3046">
        <f>IF('Part III-Sources of Funds'!$N$37="", 0,-'Part III-Sources of Funds'!$N$37)</f>
        <v>0</v>
      </c>
      <c r="C83" s="3046">
        <f>IF('Part III-Sources of Funds'!$N$37="", 0,-'Part III-Sources of Funds'!$N$37)</f>
        <v>0</v>
      </c>
      <c r="D83" s="3046">
        <f>IF('Part III-Sources of Funds'!$N$37="", 0,-'Part III-Sources of Funds'!$N$37)</f>
        <v>0</v>
      </c>
      <c r="E83" s="3046">
        <f>IF('Part III-Sources of Funds'!$N$37="", 0,-'Part III-Sources of Funds'!$N$37)</f>
        <v>0</v>
      </c>
      <c r="F83" s="3046">
        <f>IF('Part III-Sources of Funds'!$N$37="", 0,-'Part III-Sources of Funds'!$N$37)</f>
        <v>0</v>
      </c>
      <c r="G83" s="3046">
        <f>IF('Part III-Sources of Funds'!$N$37="", 0,-'Part III-Sources of Funds'!$N$37)</f>
        <v>0</v>
      </c>
      <c r="H83" s="3046">
        <f>IF('Part III-Sources of Funds'!$N$37="", 0,-'Part III-Sources of Funds'!$N$37)</f>
        <v>0</v>
      </c>
      <c r="I83" s="3046">
        <f>IF('Part III-Sources of Funds'!$N$37="", 0,-'Part III-Sources of Funds'!$N$37)</f>
        <v>0</v>
      </c>
      <c r="J83" s="3046">
        <f>IF('Part III-Sources of Funds'!$N$37="", 0,-'Part III-Sources of Funds'!$N$37)</f>
        <v>0</v>
      </c>
      <c r="K83" s="3046">
        <f>IF('Part III-Sources of Funds'!$N$37="", 0,-'Part III-Sources of Funds'!$N$37)</f>
        <v>0</v>
      </c>
      <c r="M83" s="2904"/>
      <c r="N83" s="2905"/>
    </row>
    <row r="84" spans="1:14" ht="13.15" customHeight="1">
      <c r="A84" s="22" t="str">
        <f>$A54</f>
        <v>Mortgage B</v>
      </c>
      <c r="B84" s="3047">
        <f>IF('Part III-Sources of Funds'!$N$38="", 0,-'Part III-Sources of Funds'!$N$38)</f>
        <v>0</v>
      </c>
      <c r="C84" s="3047">
        <f>IF('Part III-Sources of Funds'!$N$38="", 0,-'Part III-Sources of Funds'!$N$38)</f>
        <v>0</v>
      </c>
      <c r="D84" s="3047">
        <f>IF('Part III-Sources of Funds'!$N$38="", 0,-'Part III-Sources of Funds'!$N$38)</f>
        <v>0</v>
      </c>
      <c r="E84" s="3047">
        <f>IF('Part III-Sources of Funds'!$N$38="", 0,-'Part III-Sources of Funds'!$N$38)</f>
        <v>0</v>
      </c>
      <c r="F84" s="3047">
        <f>IF('Part III-Sources of Funds'!$N$38="", 0,-'Part III-Sources of Funds'!$N$38)</f>
        <v>0</v>
      </c>
      <c r="G84" s="3047">
        <f>IF('Part III-Sources of Funds'!$N$38="", 0,-'Part III-Sources of Funds'!$N$38)</f>
        <v>0</v>
      </c>
      <c r="H84" s="3047">
        <f>IF('Part III-Sources of Funds'!$N$38="", 0,-'Part III-Sources of Funds'!$N$38)</f>
        <v>0</v>
      </c>
      <c r="I84" s="3047">
        <f>IF('Part III-Sources of Funds'!$N$38="", 0,-'Part III-Sources of Funds'!$N$38)</f>
        <v>0</v>
      </c>
      <c r="J84" s="3047">
        <f>IF('Part III-Sources of Funds'!$N$38="", 0,-'Part III-Sources of Funds'!$N$38)</f>
        <v>0</v>
      </c>
      <c r="K84" s="3047">
        <f>IF('Part III-Sources of Funds'!$N$38="", 0,-'Part III-Sources of Funds'!$N$38)</f>
        <v>0</v>
      </c>
      <c r="M84" s="2904"/>
      <c r="N84" s="2905"/>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4"/>
      <c r="N85" s="2905"/>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4"/>
      <c r="N86" s="2905"/>
    </row>
    <row r="87" spans="1:14" ht="13.15" customHeight="1">
      <c r="A87" s="22" t="s">
        <v>794</v>
      </c>
      <c r="B87" s="3048"/>
      <c r="C87" s="3048"/>
      <c r="D87" s="3048"/>
      <c r="E87" s="3048"/>
      <c r="F87" s="3048"/>
      <c r="G87" s="3048"/>
      <c r="H87" s="3048"/>
      <c r="I87" s="3048"/>
      <c r="J87" s="3048"/>
      <c r="K87" s="3048"/>
      <c r="M87" s="2904"/>
      <c r="N87" s="2905"/>
    </row>
    <row r="88" spans="1:14" ht="13.15" customHeight="1">
      <c r="A88" s="22" t="s">
        <v>1206</v>
      </c>
      <c r="B88" s="3047">
        <f>K58*1.03</f>
        <v>-21673.334816032981</v>
      </c>
      <c r="C88" s="3047">
        <f>B88*1.03</f>
        <v>-22323.53486051397</v>
      </c>
      <c r="D88" s="3047">
        <f t="shared" ref="D88:K88" si="37">C88*1.03</f>
        <v>-22993.240906329389</v>
      </c>
      <c r="E88" s="3047">
        <f t="shared" si="37"/>
        <v>-23683.038133519272</v>
      </c>
      <c r="F88" s="3047">
        <f t="shared" si="37"/>
        <v>-24393.529277524853</v>
      </c>
      <c r="G88" s="3047">
        <f t="shared" si="37"/>
        <v>-25125.3351558506</v>
      </c>
      <c r="H88" s="3047">
        <f t="shared" si="37"/>
        <v>-25879.09521052612</v>
      </c>
      <c r="I88" s="3047">
        <f t="shared" si="37"/>
        <v>-26655.468066841906</v>
      </c>
      <c r="J88" s="3047">
        <f t="shared" si="37"/>
        <v>-27455.132108847163</v>
      </c>
      <c r="K88" s="3047">
        <f t="shared" si="37"/>
        <v>-28278.78607211258</v>
      </c>
      <c r="M88" s="2904"/>
      <c r="N88" s="2905"/>
    </row>
    <row r="89" spans="1:14" ht="13.15" customHeight="1">
      <c r="A89" s="22" t="s">
        <v>1249</v>
      </c>
      <c r="B89" s="3049"/>
      <c r="C89" s="3049"/>
      <c r="D89" s="3049"/>
      <c r="E89" s="3049"/>
      <c r="F89" s="3049"/>
      <c r="G89" s="3049"/>
      <c r="H89" s="3049"/>
      <c r="I89" s="3049"/>
      <c r="J89" s="3049"/>
      <c r="K89" s="3047"/>
      <c r="M89" s="2904"/>
      <c r="N89" s="2905"/>
    </row>
    <row r="90" spans="1:14" ht="13.15" customHeight="1">
      <c r="A90" s="22" t="s">
        <v>1207</v>
      </c>
      <c r="B90" s="23">
        <f t="shared" ref="B90:K90" si="38">SUM(B82:B89)</f>
        <v>55310.272992702012</v>
      </c>
      <c r="C90" s="23">
        <f t="shared" si="38"/>
        <v>49684.778398222712</v>
      </c>
      <c r="D90" s="23">
        <f t="shared" si="38"/>
        <v>43744.898910223652</v>
      </c>
      <c r="E90" s="23">
        <f t="shared" si="38"/>
        <v>37478.425780785736</v>
      </c>
      <c r="F90" s="23">
        <f t="shared" si="38"/>
        <v>30872.662655530024</v>
      </c>
      <c r="G90" s="23">
        <f t="shared" si="38"/>
        <v>23913.409718543004</v>
      </c>
      <c r="H90" s="23">
        <f t="shared" si="38"/>
        <v>16587.947337113201</v>
      </c>
      <c r="I90" s="23">
        <f t="shared" si="38"/>
        <v>8882.0191907808512</v>
      </c>
      <c r="J90" s="23">
        <f t="shared" si="38"/>
        <v>780.81486872976166</v>
      </c>
      <c r="K90" s="21">
        <f t="shared" si="38"/>
        <v>-7731.0480809384353</v>
      </c>
      <c r="M90" s="2904"/>
      <c r="N90" s="2905"/>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4190</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4"/>
      <c r="N95" s="2905"/>
    </row>
    <row r="96" spans="1:14" ht="13.15" customHeight="1">
      <c r="A96" s="22" t="s">
        <v>801</v>
      </c>
      <c r="B96" s="293">
        <f>IF(OR(B80="Choose mgt fee",B80="Choose One!"),"",(B74+B75+B76+B77+B78) / -(B79+B80+B81))</f>
        <v>1.0994180105654827</v>
      </c>
      <c r="C96" s="293">
        <f t="shared" ref="C96:K96" si="44">IF(OR(C80="Choose mgt fee",C80="Choose One!"),"",(C74+C75+C76+C77+C78) / -(C79+C80+C81))</f>
        <v>1.0903276708213874</v>
      </c>
      <c r="D96" s="293">
        <f t="shared" si="44"/>
        <v>1.081317083761512</v>
      </c>
      <c r="E96" s="293">
        <f t="shared" si="44"/>
        <v>1.0723858166905325</v>
      </c>
      <c r="F96" s="293">
        <f t="shared" si="44"/>
        <v>1.0635332612528112</v>
      </c>
      <c r="G96" s="293">
        <f t="shared" si="44"/>
        <v>1.0547576489278119</v>
      </c>
      <c r="H96" s="293">
        <f t="shared" si="44"/>
        <v>1.0460595684853173</v>
      </c>
      <c r="I96" s="293">
        <f t="shared" si="44"/>
        <v>1.0374381864512268</v>
      </c>
      <c r="J96" s="293">
        <f t="shared" si="44"/>
        <v>1.028892742799379</v>
      </c>
      <c r="K96" s="294">
        <f t="shared" si="44"/>
        <v>1.0204224142861797</v>
      </c>
      <c r="M96" s="2904"/>
      <c r="N96" s="2905"/>
    </row>
    <row r="97" spans="1:14" ht="13.15" customHeight="1">
      <c r="A97" s="471" t="s">
        <v>2705</v>
      </c>
      <c r="B97" s="3050">
        <f>IF('Part III-Sources of Funds'!$I$37="","",-FV('Part III-Sources of Funds'!$K$37/12,12,B83/12,K67))</f>
        <v>700000</v>
      </c>
      <c r="C97" s="3050">
        <f>IF('Part III-Sources of Funds'!$I$37="","",-FV('Part III-Sources of Funds'!$K$37/12,12,C83/12,B97))</f>
        <v>700000</v>
      </c>
      <c r="D97" s="3050">
        <f>IF('Part III-Sources of Funds'!$I$37="","",-FV('Part III-Sources of Funds'!$K$37/12,12,D83/12,C97))</f>
        <v>700000</v>
      </c>
      <c r="E97" s="3050">
        <f>IF('Part III-Sources of Funds'!$I$37="","",-FV('Part III-Sources of Funds'!$K$37/12,12,E83/12,D97))</f>
        <v>700000</v>
      </c>
      <c r="F97" s="3050">
        <f>IF('Part III-Sources of Funds'!$I$37="","",-FV('Part III-Sources of Funds'!$K$37/12,12,F83/12,E97))</f>
        <v>700000</v>
      </c>
      <c r="G97" s="3050">
        <f>IF('Part III-Sources of Funds'!$I$37="","",-FV('Part III-Sources of Funds'!$K$37/12,12,G83/12,F97))</f>
        <v>700000</v>
      </c>
      <c r="H97" s="3050">
        <f>IF('Part III-Sources of Funds'!$I$37="","",-FV('Part III-Sources of Funds'!$K$37/12,12,H83/12,G97))</f>
        <v>700000</v>
      </c>
      <c r="I97" s="3050">
        <f>IF('Part III-Sources of Funds'!$I$37="","",-FV('Part III-Sources of Funds'!$K$37/12,12,I83/12,H97))</f>
        <v>700000</v>
      </c>
      <c r="J97" s="3050">
        <f>IF('Part III-Sources of Funds'!$I$37="","",-FV('Part III-Sources of Funds'!$K$37/12,12,J83/12,I97))</f>
        <v>700000</v>
      </c>
      <c r="K97" s="3050">
        <f>IF('Part III-Sources of Funds'!$I$37="","",-FV('Part III-Sources of Funds'!$K$37/12,12,K83/12,J97))</f>
        <v>700000</v>
      </c>
      <c r="M97" s="2904"/>
      <c r="N97" s="2905"/>
    </row>
    <row r="98" spans="1:14" ht="13.15" customHeight="1">
      <c r="A98" s="471" t="s">
        <v>2706</v>
      </c>
      <c r="B98" s="3047" t="str">
        <f>IF('Part III-Sources of Funds'!$I$38="","",-FV('Part III-Sources of Funds'!$K$38/12,12,B84/12,K68))</f>
        <v/>
      </c>
      <c r="C98" s="3047" t="str">
        <f>IF('Part III-Sources of Funds'!$I$38="","",-FV('Part III-Sources of Funds'!$K$38/12,12,C84/12,B98))</f>
        <v/>
      </c>
      <c r="D98" s="3047" t="str">
        <f>IF('Part III-Sources of Funds'!$I$38="","",-FV('Part III-Sources of Funds'!$K$38/12,12,D84/12,C98))</f>
        <v/>
      </c>
      <c r="E98" s="3047" t="str">
        <f>IF('Part III-Sources of Funds'!$I$38="","",-FV('Part III-Sources of Funds'!$K$38/12,12,E84/12,D98))</f>
        <v/>
      </c>
      <c r="F98" s="3047" t="str">
        <f>IF('Part III-Sources of Funds'!$I$38="","",-FV('Part III-Sources of Funds'!$K$38/12,12,F84/12,E98))</f>
        <v/>
      </c>
      <c r="G98" s="3047" t="str">
        <f>IF('Part III-Sources of Funds'!$I$38="","",-FV('Part III-Sources of Funds'!$K$38/12,12,G84/12,F98))</f>
        <v/>
      </c>
      <c r="H98" s="3047" t="str">
        <f>IF('Part III-Sources of Funds'!$I$38="","",-FV('Part III-Sources of Funds'!$K$38/12,12,H84/12,G98))</f>
        <v/>
      </c>
      <c r="I98" s="3047" t="str">
        <f>IF('Part III-Sources of Funds'!$I$38="","",-FV('Part III-Sources of Funds'!$K$38/12,12,I84/12,H98))</f>
        <v/>
      </c>
      <c r="J98" s="3047" t="str">
        <f>IF('Part III-Sources of Funds'!$I$38="","",-FV('Part III-Sources of Funds'!$K$38/12,12,J84/12,I98))</f>
        <v/>
      </c>
      <c r="K98" s="3047" t="str">
        <f>IF('Part III-Sources of Funds'!$I$38="","",-FV('Part III-Sources of Funds'!$K$38/12,12,K84/12,J98))</f>
        <v/>
      </c>
      <c r="M98" s="2904"/>
      <c r="N98" s="2905"/>
    </row>
    <row r="99" spans="1:14" ht="13.15" customHeight="1">
      <c r="A99" s="471"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4"/>
      <c r="N99" s="2905"/>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4"/>
      <c r="N100" s="2905"/>
    </row>
    <row r="101" spans="1:14" ht="13.15" customHeight="1">
      <c r="A101" s="27" t="s">
        <v>1284</v>
      </c>
      <c r="B101" s="3049">
        <f>IF('Part III-Sources of Funds'!$I$42="","",-FV('Part III-Sources of Funds'!$K$42/12,12,B89/12,K71))</f>
        <v>6.8212102632969618E-13</v>
      </c>
      <c r="C101" s="3049">
        <f>IF('Part III-Sources of Funds'!$I$42="","",-FV('Part III-Sources of Funds'!$K$42/12,12,C89/12,B101))</f>
        <v>6.8212102632969618E-13</v>
      </c>
      <c r="D101" s="3049">
        <f>IF('Part III-Sources of Funds'!$I$42="","",-FV('Part III-Sources of Funds'!$K$42/12,12,D89/12,C101))</f>
        <v>6.8212102632969618E-13</v>
      </c>
      <c r="E101" s="3049">
        <f>IF('Part III-Sources of Funds'!$I$42="","",-FV('Part III-Sources of Funds'!$K$42/12,12,E89/12,D101))</f>
        <v>6.8212102632969618E-13</v>
      </c>
      <c r="F101" s="3049">
        <f>IF('Part III-Sources of Funds'!$I$42="","",-FV('Part III-Sources of Funds'!$K$42/12,12,F89/12,E101))</f>
        <v>6.8212102632969618E-13</v>
      </c>
      <c r="G101" s="3049">
        <f>IF('Part III-Sources of Funds'!$I$42="","",-FV('Part III-Sources of Funds'!$K$42/12,12,G89/12,F101))</f>
        <v>6.8212102632969618E-13</v>
      </c>
      <c r="H101" s="3049">
        <f>IF('Part III-Sources of Funds'!$I$42="","",-FV('Part III-Sources of Funds'!$K$42/12,12,H89/12,G101))</f>
        <v>6.8212102632969618E-13</v>
      </c>
      <c r="I101" s="3049">
        <f>IF('Part III-Sources of Funds'!$I$42="","",-FV('Part III-Sources of Funds'!$K$42/12,12,I89/12,H101))</f>
        <v>6.8212102632969618E-13</v>
      </c>
      <c r="J101" s="3049">
        <f>IF('Part III-Sources of Funds'!$I$42="","",-FV('Part III-Sources of Funds'!$K$42/12,12,J89/12,I101))</f>
        <v>6.8212102632969618E-13</v>
      </c>
      <c r="K101" s="3049">
        <f>IF('Part III-Sources of Funds'!$I$42="","",-FV('Part III-Sources of Funds'!$K$42/12,12,K89/12,J101))</f>
        <v>6.8212102632969618E-13</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0" t="s">
        <v>4154</v>
      </c>
      <c r="N103" s="1520"/>
    </row>
    <row r="104" spans="1:14" ht="13.15" customHeight="1">
      <c r="A104" s="19" t="s">
        <v>2489</v>
      </c>
      <c r="B104" s="20">
        <f>$B$14*(1+$B$5)^(B103-1)</f>
        <v>985373.4563058879</v>
      </c>
      <c r="C104" s="20">
        <f>$B$14*(1+$B$5)^(C103-1)</f>
        <v>1005080.9254320054</v>
      </c>
      <c r="D104" s="20">
        <f>$B$14*(1+$B$5)^(D103-1)</f>
        <v>1025182.5439406458</v>
      </c>
      <c r="E104" s="20">
        <f>$B$14*(1+$B$5)^(E103-1)</f>
        <v>1045686.1948194588</v>
      </c>
      <c r="F104" s="852">
        <f>$B$14*(1+$B$5)^(F103-1)</f>
        <v>1066599.9187158479</v>
      </c>
      <c r="G104" s="18"/>
      <c r="H104" s="18"/>
      <c r="I104" s="18"/>
      <c r="J104" s="18"/>
      <c r="K104" s="18"/>
      <c r="M104" s="2902"/>
      <c r="N104" s="2903"/>
    </row>
    <row r="105" spans="1:14" ht="13.15" customHeight="1">
      <c r="A105" s="22" t="s">
        <v>1053</v>
      </c>
      <c r="B105" s="23">
        <f>$B$15*(1+$B$5)^(B103-1)</f>
        <v>19707.469126117758</v>
      </c>
      <c r="C105" s="23">
        <f>$B$15*(1+$B$5)^(C103-1)</f>
        <v>20101.618508640109</v>
      </c>
      <c r="D105" s="23">
        <f>$B$15*(1+$B$5)^(D103-1)</f>
        <v>20503.650878812914</v>
      </c>
      <c r="E105" s="23">
        <f>$B$15*(1+$B$5)^(E103-1)</f>
        <v>20913.723896389176</v>
      </c>
      <c r="F105" s="24">
        <f>$B$15*(1+$B$5)^(F103-1)</f>
        <v>21331.998374316954</v>
      </c>
      <c r="G105" s="18"/>
      <c r="H105" s="18"/>
      <c r="I105" s="18"/>
      <c r="J105" s="18"/>
      <c r="K105" s="18"/>
      <c r="M105" s="2904"/>
      <c r="N105" s="2905"/>
    </row>
    <row r="106" spans="1:14" ht="13.15" customHeight="1">
      <c r="A106" s="22" t="s">
        <v>2490</v>
      </c>
      <c r="B106" s="23">
        <f>-(B104+B105)*$B$8</f>
        <v>-70355.664780240404</v>
      </c>
      <c r="C106" s="23">
        <f>-(C104+C105)*$B$8</f>
        <v>-71762.778075845199</v>
      </c>
      <c r="D106" s="23">
        <f>-(D104+D105)*$B$8</f>
        <v>-73198.03363736211</v>
      </c>
      <c r="E106" s="23">
        <f>-(E104+E105)*$B$8</f>
        <v>-74661.994310109352</v>
      </c>
      <c r="F106" s="24">
        <f>-(F104+F105)*$B$8</f>
        <v>-76155.234196311532</v>
      </c>
      <c r="G106" s="18"/>
      <c r="H106" s="18"/>
      <c r="I106" s="18"/>
      <c r="J106" s="18"/>
      <c r="K106" s="18"/>
      <c r="M106" s="2904"/>
      <c r="N106" s="2905"/>
    </row>
    <row r="107" spans="1:14" ht="13.15" customHeight="1">
      <c r="A107" s="22" t="s">
        <v>54</v>
      </c>
      <c r="B107" s="23">
        <f>'Part VI-Revenues &amp; Expenses'!G155</f>
        <v>113596</v>
      </c>
      <c r="C107" s="23">
        <f>'Part VI-Revenues &amp; Expenses'!H155</f>
        <v>117004</v>
      </c>
      <c r="D107" s="23">
        <f>'Part VI-Revenues &amp; Expenses'!I155</f>
        <v>120514</v>
      </c>
      <c r="E107" s="23">
        <f>'Part VI-Revenues &amp; Expenses'!J155</f>
        <v>124129</v>
      </c>
      <c r="F107" s="24">
        <f>'Part VI-Revenues &amp; Expenses'!K155</f>
        <v>127853</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-928833.24806273333</v>
      </c>
      <c r="C109" s="23">
        <f>$B$19*(1+$B$6)^(C103-1)</f>
        <v>-956698.24550461548</v>
      </c>
      <c r="D109" s="23">
        <f>$B$19*(1+$B$6)^(D103-1)</f>
        <v>-985399.19286975369</v>
      </c>
      <c r="E109" s="23">
        <f>$B$19*(1+$B$6)^(E103-1)</f>
        <v>-1014961.1686558464</v>
      </c>
      <c r="F109" s="24">
        <f>$B$19*(1+$B$6)^(F103-1)</f>
        <v>-1045410.0037155215</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-52416</v>
      </c>
      <c r="C110" s="23">
        <f>IF(AND('Part VII-Pro Forma'!$G$8="Yes",'Part VII-Pro Forma'!$G$9="Yes"),"Choose One!",IF('Part VII-Pro Forma'!$G$8="Yes",ROUND((-$K$8*(1+'Part VII-Pro Forma'!$B$6)^('Part VII-Pro Forma'!C103-1)),),IF('Part VII-Pro Forma'!$G$9="Yes",ROUND((-(SUM(C104:C107)*'Part VII-Pro Forma'!$K$9)),),"Choose mgt fee")))</f>
        <v>-53521</v>
      </c>
      <c r="D110" s="23">
        <f>IF(AND('Part VII-Pro Forma'!$G$8="Yes",'Part VII-Pro Forma'!$G$9="Yes"),"Choose One!",IF('Part VII-Pro Forma'!$G$8="Yes",ROUND((-$K$8*(1+'Part VII-Pro Forma'!$B$6)^('Part VII-Pro Forma'!D103-1)),),IF('Part VII-Pro Forma'!$G$9="Yes",ROUND((-(SUM(D104:D107)*'Part VII-Pro Forma'!$K$9)),),"Choose mgt fee")))</f>
        <v>-54650</v>
      </c>
      <c r="E110" s="23">
        <f>IF(AND('Part VII-Pro Forma'!$G$8="Yes",'Part VII-Pro Forma'!$G$9="Yes"),"Choose One!",IF('Part VII-Pro Forma'!$G$8="Yes",ROUND((-$K$8*(1+'Part VII-Pro Forma'!$B$6)^('Part VII-Pro Forma'!E103-1)),),IF('Part VII-Pro Forma'!$G$9="Yes",ROUND((-(SUM(E104:E107)*'Part VII-Pro Forma'!$K$9)),),"Choose mgt fee")))</f>
        <v>-55803</v>
      </c>
      <c r="F110" s="24">
        <f>IF(AND('Part VII-Pro Forma'!$G$8="Yes",'Part VII-Pro Forma'!$G$9="Yes"),"Choose One!",IF('Part VII-Pro Forma'!$G$8="Yes",ROUND((-$K$8*(1+'Part VII-Pro Forma'!$B$6)^('Part VII-Pro Forma'!F103-1)),),IF('Part VII-Pro Forma'!$G$9="Yes",ROUND((-(SUM(F104:F107)*'Part VII-Pro Forma'!$K$9)),),"Choose mgt fee")))</f>
        <v>-56981</v>
      </c>
      <c r="G110" s="18"/>
      <c r="H110" s="18"/>
      <c r="I110" s="18"/>
      <c r="J110" s="18"/>
      <c r="K110" s="18"/>
      <c r="M110" s="2904"/>
      <c r="N110" s="2905"/>
    </row>
    <row r="111" spans="1:14" ht="13.15" customHeight="1">
      <c r="A111" s="22" t="s">
        <v>1247</v>
      </c>
      <c r="B111" s="23">
        <f>$B$21*(1+$B$7)^(B103-1)</f>
        <v>-54613.405601767328</v>
      </c>
      <c r="C111" s="23">
        <f>$B$21*(1+$B$7)^(C103-1)</f>
        <v>-56251.807769820356</v>
      </c>
      <c r="D111" s="23">
        <f>$B$21*(1+$B$7)^(D103-1)</f>
        <v>-57939.362002914961</v>
      </c>
      <c r="E111" s="23">
        <f>$B$21*(1+$B$7)^(E103-1)</f>
        <v>-59677.542863002411</v>
      </c>
      <c r="F111" s="24">
        <f>$B$21*(1+$B$7)^(F103-1)</f>
        <v>-61467.869148892474</v>
      </c>
      <c r="G111" s="18"/>
      <c r="H111" s="18"/>
      <c r="I111" s="18"/>
      <c r="J111" s="18"/>
      <c r="K111" s="18"/>
      <c r="M111" s="2904"/>
      <c r="N111" s="2905"/>
    </row>
    <row r="112" spans="1:14" ht="13.15" customHeight="1">
      <c r="A112" s="22" t="s">
        <v>1248</v>
      </c>
      <c r="B112" s="23">
        <f>SUM(B104:B111)</f>
        <v>12458.606987264619</v>
      </c>
      <c r="C112" s="23">
        <f>SUM(C104:C111)</f>
        <v>3952.7125903643609</v>
      </c>
      <c r="D112" s="23">
        <f>SUM(D104:D111)</f>
        <v>-4986.3936905719602</v>
      </c>
      <c r="E112" s="23">
        <f>SUM(E104:E111)</f>
        <v>-14374.787113110317</v>
      </c>
      <c r="F112" s="24">
        <f>SUM(F104:F111)</f>
        <v>-24229.189970560845</v>
      </c>
      <c r="G112" s="18"/>
      <c r="H112" s="18"/>
      <c r="I112" s="18"/>
      <c r="J112" s="18"/>
      <c r="K112" s="18"/>
      <c r="M112" s="2904"/>
      <c r="N112" s="2905"/>
    </row>
    <row r="113" spans="1:14" ht="13.15" customHeight="1">
      <c r="A113" s="22" t="str">
        <f>$A83</f>
        <v>Mortgage A</v>
      </c>
      <c r="B113" s="3046">
        <f>IF('Part III-Sources of Funds'!$N$37="", 0,-'Part III-Sources of Funds'!$N$37)</f>
        <v>0</v>
      </c>
      <c r="C113" s="3046">
        <f>IF('Part III-Sources of Funds'!$N$37="", 0,-'Part III-Sources of Funds'!$N$37)</f>
        <v>0</v>
      </c>
      <c r="D113" s="3046">
        <f>IF('Part III-Sources of Funds'!$N$37="", 0,-'Part III-Sources of Funds'!$N$37)</f>
        <v>0</v>
      </c>
      <c r="E113" s="3046">
        <f>IF('Part III-Sources of Funds'!$N$37="", 0,-'Part III-Sources of Funds'!$N$37)</f>
        <v>0</v>
      </c>
      <c r="F113" s="3046">
        <f>IF('Part III-Sources of Funds'!$N$37="", 0,-'Part III-Sources of Funds'!$N$37)</f>
        <v>0</v>
      </c>
      <c r="G113" s="18"/>
      <c r="H113" s="18"/>
      <c r="I113" s="18"/>
      <c r="J113" s="18"/>
      <c r="K113" s="18"/>
      <c r="M113" s="2904"/>
      <c r="N113" s="2905"/>
    </row>
    <row r="114" spans="1:14" ht="13.15" customHeight="1">
      <c r="A114" s="22" t="str">
        <f>$A84</f>
        <v>Mortgage B</v>
      </c>
      <c r="B114" s="3047">
        <f>IF('Part III-Sources of Funds'!$N$38="", 0,-'Part III-Sources of Funds'!$N$38)</f>
        <v>0</v>
      </c>
      <c r="C114" s="3047">
        <f>IF('Part III-Sources of Funds'!$N$38="", 0,-'Part III-Sources of Funds'!$N$38)</f>
        <v>0</v>
      </c>
      <c r="D114" s="3047">
        <f>IF('Part III-Sources of Funds'!$N$38="", 0,-'Part III-Sources of Funds'!$N$38)</f>
        <v>0</v>
      </c>
      <c r="E114" s="3047">
        <f>IF('Part III-Sources of Funds'!$N$38="", 0,-'Part III-Sources of Funds'!$N$38)</f>
        <v>0</v>
      </c>
      <c r="F114" s="3047">
        <f>IF('Part III-Sources of Funds'!$N$38="", 0,-'Part III-Sources of Funds'!$N$38)</f>
        <v>0</v>
      </c>
      <c r="G114" s="18"/>
      <c r="H114" s="18"/>
      <c r="I114" s="18"/>
      <c r="J114" s="18"/>
      <c r="K114" s="18"/>
      <c r="M114" s="2904"/>
      <c r="N114" s="2905"/>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4"/>
      <c r="N115" s="2905"/>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4"/>
      <c r="N116" s="2905"/>
    </row>
    <row r="117" spans="1:14" ht="13.15" customHeight="1">
      <c r="A117" s="22" t="s">
        <v>794</v>
      </c>
      <c r="B117" s="3048"/>
      <c r="C117" s="3048"/>
      <c r="D117" s="3048"/>
      <c r="E117" s="3048"/>
      <c r="F117" s="3048"/>
      <c r="G117" s="18"/>
      <c r="H117" s="18"/>
      <c r="I117" s="18"/>
      <c r="J117" s="18"/>
      <c r="K117" s="18"/>
      <c r="M117" s="2904"/>
      <c r="N117" s="2905"/>
    </row>
    <row r="118" spans="1:14" ht="13.15" customHeight="1">
      <c r="A118" s="22" t="s">
        <v>1206</v>
      </c>
      <c r="B118" s="3047">
        <f>K88*1.03</f>
        <v>-29127.14965427596</v>
      </c>
      <c r="C118" s="3047">
        <f>B118*1.03</f>
        <v>-30000.964143904239</v>
      </c>
      <c r="D118" s="3047">
        <f t="shared" ref="D118:F118" si="45">C118*1.03</f>
        <v>-30900.993068221367</v>
      </c>
      <c r="E118" s="3047">
        <f t="shared" si="45"/>
        <v>-31828.022860268007</v>
      </c>
      <c r="F118" s="3047">
        <f t="shared" si="45"/>
        <v>-32782.863546076049</v>
      </c>
      <c r="G118" s="18"/>
      <c r="H118" s="18"/>
      <c r="I118" s="18"/>
      <c r="J118" s="18"/>
      <c r="K118" s="18"/>
      <c r="M118" s="2904"/>
      <c r="N118" s="2905"/>
    </row>
    <row r="119" spans="1:14" ht="13.15" customHeight="1">
      <c r="A119" s="22" t="s">
        <v>1249</v>
      </c>
      <c r="B119" s="3049"/>
      <c r="C119" s="3049"/>
      <c r="D119" s="3049"/>
      <c r="E119" s="3049"/>
      <c r="F119" s="3049"/>
      <c r="G119" s="18"/>
      <c r="H119" s="18"/>
      <c r="I119" s="18"/>
      <c r="J119" s="18"/>
      <c r="K119" s="18"/>
      <c r="M119" s="2904"/>
      <c r="N119" s="2905"/>
    </row>
    <row r="120" spans="1:14" ht="13.15" customHeight="1">
      <c r="A120" s="22" t="s">
        <v>1207</v>
      </c>
      <c r="B120" s="23">
        <f>SUM(B112:B119)</f>
        <v>-16668.542667011341</v>
      </c>
      <c r="C120" s="23">
        <f>SUM(C112:C119)</f>
        <v>-26048.251553539878</v>
      </c>
      <c r="D120" s="23">
        <f>SUM(D112:D119)</f>
        <v>-35887.386758793327</v>
      </c>
      <c r="E120" s="23">
        <f>SUM(E112:E119)</f>
        <v>-46202.809973378324</v>
      </c>
      <c r="F120" s="24">
        <f>SUM(F112:F119)</f>
        <v>-57012.053516636894</v>
      </c>
      <c r="G120" s="18"/>
      <c r="H120" s="18"/>
      <c r="I120" s="18"/>
      <c r="J120" s="18"/>
      <c r="K120" s="18"/>
      <c r="M120" s="2904"/>
      <c r="N120" s="2905"/>
    </row>
    <row r="121" spans="1:14" ht="13.15" customHeight="1">
      <c r="A121" s="22" t="str">
        <f>$A91</f>
        <v>DCR Mortgage A</v>
      </c>
      <c r="B121" s="25" t="str">
        <f>IF(B113=0,"",-B112/B113)</f>
        <v/>
      </c>
      <c r="C121" s="25" t="str">
        <f t="shared" ref="C121:F121" si="46">IF(C113=0,"",-C112/C113)</f>
        <v/>
      </c>
      <c r="D121" s="25" t="str">
        <f t="shared" si="46"/>
        <v/>
      </c>
      <c r="E121" s="25" t="str">
        <f t="shared" si="46"/>
        <v/>
      </c>
      <c r="F121" s="26" t="str">
        <f t="shared" si="46"/>
        <v/>
      </c>
      <c r="G121" s="18"/>
      <c r="H121" s="18"/>
      <c r="I121" s="18"/>
      <c r="J121" s="18"/>
      <c r="K121" s="18"/>
      <c r="M121" s="2904"/>
      <c r="N121" s="2905"/>
    </row>
    <row r="122" spans="1:14" ht="13.15" customHeight="1">
      <c r="A122" s="22" t="str">
        <f>$A92</f>
        <v>DCR Mortgage B</v>
      </c>
      <c r="B122" s="25" t="str">
        <f>IF(B114=0,"",-(B112+B113)/B114)</f>
        <v/>
      </c>
      <c r="C122" s="25" t="str">
        <f t="shared" ref="C122:F122" si="47">IF(C114=0,"",-(C112+C113)/C114)</f>
        <v/>
      </c>
      <c r="D122" s="25" t="str">
        <f t="shared" si="47"/>
        <v/>
      </c>
      <c r="E122" s="25" t="str">
        <f t="shared" si="47"/>
        <v/>
      </c>
      <c r="F122" s="26" t="str">
        <f t="shared" si="47"/>
        <v/>
      </c>
      <c r="G122" s="18"/>
      <c r="H122" s="18"/>
      <c r="I122" s="18"/>
      <c r="J122" s="18"/>
      <c r="K122" s="18"/>
      <c r="M122" s="2904"/>
      <c r="N122" s="2905"/>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904"/>
      <c r="N123" s="2905"/>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904"/>
      <c r="N124" s="2905"/>
    </row>
    <row r="125" spans="1:14" ht="13.15" customHeight="1">
      <c r="A125" s="471" t="s">
        <v>4190</v>
      </c>
      <c r="B125" s="25" t="str">
        <f>IF(AND(B113=0,B114=0,B115=0,B116=0),"",-B112/(B113+B114+B115+B116))</f>
        <v/>
      </c>
      <c r="C125" s="25" t="str">
        <f t="shared" ref="C125:F125" si="50">IF(AND(C113=0,C114=0,C115=0,C116=0),"",-C112/(C113+C114+C115+C116))</f>
        <v/>
      </c>
      <c r="D125" s="25" t="str">
        <f t="shared" si="50"/>
        <v/>
      </c>
      <c r="E125" s="25" t="str">
        <f t="shared" si="50"/>
        <v/>
      </c>
      <c r="F125" s="26" t="str">
        <f t="shared" si="50"/>
        <v/>
      </c>
      <c r="G125" s="18"/>
      <c r="H125" s="18"/>
      <c r="I125" s="18"/>
      <c r="J125" s="18"/>
      <c r="K125" s="18"/>
      <c r="M125" s="2904"/>
      <c r="N125" s="2905"/>
    </row>
    <row r="126" spans="1:14" ht="13.15" customHeight="1">
      <c r="A126" s="22" t="s">
        <v>801</v>
      </c>
      <c r="B126" s="293">
        <f>IF(OR(B110="Choose mgt fee",B110="Choose One!"),"",(B104+B105+B106+B107+B108) / -(B109+B110+B111))</f>
        <v>1.0120272769205363</v>
      </c>
      <c r="C126" s="293">
        <f>IF(OR(C110="Choose mgt fee",C110="Choose One!"),"",(C104+C105+C106+C107+C108) / -(C109+C110+C111))</f>
        <v>1.0037063477515193</v>
      </c>
      <c r="D126" s="293">
        <f>IF(OR(D110="Choose mgt fee",D110="Choose One!"),"",(D104+D105+D106+D107+D108) / -(D109+D110+D111))</f>
        <v>0.99545861050332152</v>
      </c>
      <c r="E126" s="293">
        <f>IF(OR(E110="Choose mgt fee",E110="Choose One!"),"",(E104+E105+E106+E107+E108) / -(E109+E110+E111))</f>
        <v>0.98728392011137267</v>
      </c>
      <c r="F126" s="853">
        <f>IF(OR(F110="Choose mgt fee",F110="Choose One!"),"",(F104+F105+F106+F107+F108) / -(F109+F110+F111))</f>
        <v>0.97918202065948967</v>
      </c>
      <c r="G126" s="18"/>
      <c r="H126" s="18"/>
      <c r="I126" s="18"/>
      <c r="J126" s="18"/>
      <c r="K126" s="18"/>
      <c r="M126" s="2904"/>
      <c r="N126" s="2905"/>
    </row>
    <row r="127" spans="1:14" ht="13.15" customHeight="1">
      <c r="A127" s="471" t="s">
        <v>2705</v>
      </c>
      <c r="B127" s="3050">
        <f>IF('Part III-Sources of Funds'!$I$37="","",-FV('Part III-Sources of Funds'!$K$37/12,12,B113/12,K97))</f>
        <v>700000</v>
      </c>
      <c r="C127" s="3050">
        <f>IF('Part III-Sources of Funds'!$I$37="","",-FV('Part III-Sources of Funds'!$K$37/12,12,C113/12,B127))</f>
        <v>700000</v>
      </c>
      <c r="D127" s="3050">
        <f>IF('Part III-Sources of Funds'!$I$37="","",-FV('Part III-Sources of Funds'!$K$37/12,12,D113/12,C127))</f>
        <v>700000</v>
      </c>
      <c r="E127" s="3050">
        <f>IF('Part III-Sources of Funds'!$I$37="","",-FV('Part III-Sources of Funds'!$K$37/12,12,E113/12,D127))</f>
        <v>700000</v>
      </c>
      <c r="F127" s="3050">
        <f>IF('Part III-Sources of Funds'!$I$37="","",-FV('Part III-Sources of Funds'!$K$37/12,12,F113/12,E127))</f>
        <v>700000</v>
      </c>
      <c r="G127" s="18"/>
      <c r="H127" s="18"/>
      <c r="I127" s="18"/>
      <c r="J127" s="18"/>
      <c r="K127" s="18"/>
      <c r="M127" s="2904"/>
      <c r="N127" s="2905"/>
    </row>
    <row r="128" spans="1:14" ht="13.15" customHeight="1">
      <c r="A128" s="471" t="s">
        <v>2706</v>
      </c>
      <c r="B128" s="3047" t="str">
        <f>IF('Part III-Sources of Funds'!$I$38="","",-FV('Part III-Sources of Funds'!$K$38/12,12,B114/12,K98))</f>
        <v/>
      </c>
      <c r="C128" s="3047" t="str">
        <f>IF('Part III-Sources of Funds'!$I$38="","",-FV('Part III-Sources of Funds'!$K$38/12,12,C114/12,B128))</f>
        <v/>
      </c>
      <c r="D128" s="3047" t="str">
        <f>IF('Part III-Sources of Funds'!$I$38="","",-FV('Part III-Sources of Funds'!$K$38/12,12,D114/12,C128))</f>
        <v/>
      </c>
      <c r="E128" s="3047" t="str">
        <f>IF('Part III-Sources of Funds'!$I$38="","",-FV('Part III-Sources of Funds'!$K$38/12,12,E114/12,D128))</f>
        <v/>
      </c>
      <c r="F128" s="3047" t="str">
        <f>IF('Part III-Sources of Funds'!$I$38="","",-FV('Part III-Sources of Funds'!$K$38/12,12,F114/12,E128))</f>
        <v/>
      </c>
      <c r="G128" s="18"/>
      <c r="H128" s="18"/>
      <c r="I128" s="18"/>
      <c r="J128" s="18"/>
      <c r="K128" s="18"/>
      <c r="M128" s="2904"/>
      <c r="N128" s="2905"/>
    </row>
    <row r="129" spans="1:14" ht="13.15" customHeight="1">
      <c r="A129" s="471"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4"/>
      <c r="N129" s="2905"/>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4"/>
      <c r="N130" s="2905"/>
    </row>
    <row r="131" spans="1:14" ht="13.15" customHeight="1">
      <c r="A131" s="27" t="s">
        <v>1284</v>
      </c>
      <c r="B131" s="3049">
        <f>IF('Part III-Sources of Funds'!$I$42="","",-FV('Part III-Sources of Funds'!$K$42/12,12,B119/12,K101))</f>
        <v>6.8212102632969618E-13</v>
      </c>
      <c r="C131" s="3049">
        <f>IF('Part III-Sources of Funds'!$I$42="","",-FV('Part III-Sources of Funds'!$K$42/12,12,C119/12,B131))</f>
        <v>6.8212102632969618E-13</v>
      </c>
      <c r="D131" s="3049">
        <f>IF('Part III-Sources of Funds'!$I$42="","",-FV('Part III-Sources of Funds'!$K$42/12,12,D119/12,C131))</f>
        <v>6.8212102632969618E-13</v>
      </c>
      <c r="E131" s="3049">
        <f>IF('Part III-Sources of Funds'!$I$42="","",-FV('Part III-Sources of Funds'!$K$42/12,12,E119/12,D131))</f>
        <v>6.8212102632969618E-13</v>
      </c>
      <c r="F131" s="3049">
        <f>IF('Part III-Sources of Funds'!$I$42="","",-FV('Part III-Sources of Funds'!$K$42/12,12,F119/12,E131))</f>
        <v>6.8212102632969618E-13</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2" t="s">
        <v>3752</v>
      </c>
      <c r="B135" s="3051"/>
      <c r="C135" s="3051"/>
      <c r="D135" s="3051"/>
      <c r="E135" s="3051"/>
      <c r="F135" s="3052"/>
      <c r="G135" s="3053"/>
      <c r="H135" s="3054"/>
      <c r="I135" s="3054"/>
      <c r="J135" s="3054"/>
      <c r="K135" s="3055"/>
      <c r="M135" s="1534" t="s">
        <v>2796</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cMJrBONA+eh3BmYZ0xSd+d1EHlnbTAvIq/wyrKu6MEAvcyA3tM3TicoT4yL23kKEvEo/xBYS7mKzSixWsqF1OA==" saltValue="59hgqOgPYXMd6dhSNvlyU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7 B97:K101 B113:F117 B127:F131 C29:K29"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21" zoomScaleNormal="100" zoomScaleSheetLayoutView="40" workbookViewId="0">
      <pane ySplit="1500" topLeftCell="A40"/>
      <selection sqref="A1:XFD1048576"/>
      <selection pane="bottomLeft" sqref="A1:Q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2016-032 240 Atlanta Street Development Phase 2, Gainesville, Hall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4"/>
      <c r="B4" s="1723"/>
      <c r="C4" s="1723"/>
      <c r="D4" s="1723"/>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586</v>
      </c>
      <c r="J6" s="1414"/>
      <c r="K6" s="1465" t="s">
        <v>4195</v>
      </c>
      <c r="L6" s="1466"/>
      <c r="M6" s="1467"/>
      <c r="N6" s="1414"/>
      <c r="P6" s="1724"/>
      <c r="Q6" s="1725"/>
    </row>
    <row r="7" spans="1:32" ht="12.6" customHeight="1">
      <c r="A7" s="137" t="s">
        <v>3693</v>
      </c>
      <c r="C7" s="138"/>
      <c r="D7" s="138"/>
      <c r="J7" s="1414"/>
      <c r="K7" s="1414"/>
      <c r="L7" s="1414"/>
      <c r="M7" s="1414"/>
      <c r="N7" s="1414"/>
    </row>
    <row r="8" spans="1:32" ht="24.6" customHeight="1">
      <c r="A8" s="1726" t="s">
        <v>1462</v>
      </c>
      <c r="B8" s="1727"/>
      <c r="C8" s="1727"/>
      <c r="D8" s="1727"/>
      <c r="E8" s="1727"/>
      <c r="F8" s="1727"/>
      <c r="G8" s="1727"/>
      <c r="H8" s="1727"/>
      <c r="I8" s="1727"/>
      <c r="J8" s="1727"/>
      <c r="K8" s="1727"/>
      <c r="L8" s="1727"/>
      <c r="M8" s="1727"/>
      <c r="N8" s="1727"/>
      <c r="O8" s="1727"/>
      <c r="P8" s="1727"/>
      <c r="Q8" s="1728"/>
      <c r="R8" s="1733" t="s">
        <v>2107</v>
      </c>
      <c r="S8" s="1444"/>
    </row>
    <row r="9" spans="1:32" ht="24.6" customHeight="1">
      <c r="A9" s="1696" t="s">
        <v>235</v>
      </c>
      <c r="B9" s="1697"/>
      <c r="C9" s="1697"/>
      <c r="D9" s="1697"/>
      <c r="E9" s="1697"/>
      <c r="F9" s="1697"/>
      <c r="G9" s="1697"/>
      <c r="H9" s="1697"/>
      <c r="I9" s="1697"/>
      <c r="J9" s="1697"/>
      <c r="K9" s="1697"/>
      <c r="L9" s="1697"/>
      <c r="M9" s="1697"/>
      <c r="N9" s="1697"/>
      <c r="O9" s="1697"/>
      <c r="P9" s="1697"/>
      <c r="Q9" s="1698"/>
      <c r="R9" s="1733"/>
      <c r="S9" s="1444"/>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4"/>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4"/>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8"/>
      <c r="S12" s="1388"/>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8"/>
      <c r="S13" s="1388"/>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2"/>
      <c r="J29" s="1422"/>
      <c r="K29" s="1422"/>
      <c r="L29" s="1414"/>
      <c r="M29" s="1414"/>
      <c r="O29" s="142" t="s">
        <v>1938</v>
      </c>
      <c r="P29" s="1711"/>
      <c r="Q29" s="1712"/>
    </row>
    <row r="30" spans="1:19" ht="3" customHeight="1"/>
    <row r="31" spans="1:19" ht="12" customHeight="1">
      <c r="B31" s="152" t="s">
        <v>2058</v>
      </c>
      <c r="C31" s="54" t="s">
        <v>3881</v>
      </c>
      <c r="E31" s="1223"/>
      <c r="F31" s="1223"/>
      <c r="G31" s="1223"/>
      <c r="H31" s="1223"/>
      <c r="I31" s="43"/>
      <c r="J31" s="34"/>
      <c r="K31" s="43"/>
      <c r="L31" s="34"/>
      <c r="M31" s="34"/>
      <c r="O31" s="70" t="s">
        <v>618</v>
      </c>
      <c r="P31" s="3056" t="s">
        <v>3155</v>
      </c>
      <c r="Q31" s="627"/>
    </row>
    <row r="32" spans="1:19" ht="12" customHeight="1">
      <c r="B32" s="48" t="s">
        <v>2061</v>
      </c>
      <c r="C32" s="54" t="s">
        <v>746</v>
      </c>
      <c r="E32" s="1223"/>
      <c r="F32" s="1223"/>
      <c r="G32" s="1223"/>
      <c r="H32" s="1223"/>
      <c r="J32" s="3057" t="s">
        <v>4151</v>
      </c>
      <c r="K32" s="3058"/>
      <c r="L32" s="3058"/>
      <c r="M32" s="3058"/>
      <c r="N32" s="3059"/>
      <c r="O32" s="70"/>
      <c r="P32" s="70"/>
      <c r="Q32" s="70"/>
    </row>
    <row r="33" spans="1:295" ht="11.25" customHeight="1">
      <c r="B33" s="71" t="s">
        <v>1936</v>
      </c>
      <c r="C33" s="71"/>
      <c r="D33" s="71"/>
      <c r="E33" s="71"/>
      <c r="F33" s="71"/>
      <c r="G33" s="1422"/>
      <c r="H33" s="1422"/>
      <c r="I33" s="1422"/>
      <c r="J33" s="1422"/>
      <c r="K33" s="1414"/>
      <c r="L33" s="1414"/>
      <c r="M33" s="1414"/>
      <c r="N33" s="1414"/>
      <c r="O33" s="1414"/>
      <c r="P33" s="1222"/>
      <c r="S33" s="171"/>
      <c r="T33" s="171"/>
    </row>
    <row r="34" spans="1:295" ht="14.45" customHeight="1">
      <c r="A34" s="3060" t="s">
        <v>4322</v>
      </c>
      <c r="B34" s="3061"/>
      <c r="C34" s="3061"/>
      <c r="D34" s="3061"/>
      <c r="E34" s="3061"/>
      <c r="F34" s="3061"/>
      <c r="G34" s="3061"/>
      <c r="H34" s="3061"/>
      <c r="I34" s="3061"/>
      <c r="J34" s="3061"/>
      <c r="K34" s="3061"/>
      <c r="L34" s="3061"/>
      <c r="M34" s="3061"/>
      <c r="N34" s="3061"/>
      <c r="O34" s="3061"/>
      <c r="P34" s="3061"/>
      <c r="Q34" s="3062"/>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2"/>
      <c r="C37" s="1421"/>
      <c r="D37" s="1421"/>
      <c r="E37" s="1421"/>
      <c r="F37" s="1421"/>
      <c r="G37" s="1421"/>
      <c r="H37" s="1421"/>
      <c r="I37" s="1421"/>
      <c r="J37" s="1421"/>
      <c r="K37" s="1421"/>
      <c r="L37" s="1421"/>
      <c r="M37" s="1421"/>
      <c r="N37" s="1421"/>
      <c r="O37" s="1421"/>
      <c r="P37" s="1421"/>
      <c r="Q37" s="1414"/>
    </row>
    <row r="38" spans="1:295" ht="12.75" customHeight="1">
      <c r="A38" s="1428">
        <v>2</v>
      </c>
      <c r="B38" s="4" t="s">
        <v>2817</v>
      </c>
      <c r="C38" s="4"/>
      <c r="D38" s="4"/>
      <c r="E38" s="1421"/>
      <c r="G38" s="824"/>
      <c r="H38" s="824"/>
      <c r="I38" s="824"/>
      <c r="J38" s="43"/>
      <c r="L38" s="825"/>
      <c r="M38" s="825"/>
      <c r="N38" s="825"/>
      <c r="O38" s="142" t="s">
        <v>1938</v>
      </c>
      <c r="P38" s="1711"/>
      <c r="Q38" s="1712"/>
    </row>
    <row r="39" spans="1:295" ht="11.25" customHeight="1">
      <c r="A39" s="1699" t="s">
        <v>3694</v>
      </c>
      <c r="B39" s="1699"/>
      <c r="C39" s="1699"/>
      <c r="D39" s="1699"/>
      <c r="E39" s="1699"/>
      <c r="F39" s="1699"/>
      <c r="G39" s="1786" t="s">
        <v>2821</v>
      </c>
      <c r="H39" s="1787"/>
      <c r="I39" s="831"/>
      <c r="J39" s="43"/>
      <c r="K39" s="1713" t="s">
        <v>4044</v>
      </c>
      <c r="L39" s="1714"/>
      <c r="M39" s="1714"/>
      <c r="N39" s="1715"/>
    </row>
    <row r="40" spans="1:295" ht="11.25" customHeight="1">
      <c r="A40" s="1699"/>
      <c r="B40" s="1699"/>
      <c r="C40" s="1699"/>
      <c r="D40" s="1699"/>
      <c r="E40" s="1699"/>
      <c r="F40" s="1699"/>
      <c r="G40" s="1721" t="s">
        <v>359</v>
      </c>
      <c r="H40" s="1722"/>
      <c r="I40" s="831"/>
      <c r="J40" s="43"/>
      <c r="K40" s="1708" t="s">
        <v>4045</v>
      </c>
      <c r="L40" s="1709"/>
      <c r="M40" s="1709"/>
      <c r="N40" s="1710"/>
      <c r="P40" s="608" t="s">
        <v>2849</v>
      </c>
      <c r="Q40" s="3056" t="s">
        <v>3152</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2820</v>
      </c>
      <c r="E42" s="36"/>
      <c r="F42" s="833" t="s">
        <v>3696</v>
      </c>
      <c r="G42" s="1796" t="s">
        <v>3695</v>
      </c>
      <c r="H42" s="1796"/>
      <c r="I42" s="1796"/>
      <c r="J42" s="36"/>
      <c r="K42" s="833" t="s">
        <v>3696</v>
      </c>
      <c r="L42" s="1796" t="s">
        <v>3695</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3544</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1"/>
      <c r="P43" s="1700" t="s">
        <v>3546</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1"/>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1"/>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1"/>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1"/>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3555</v>
      </c>
      <c r="E48" s="36"/>
      <c r="F48" s="815">
        <f>SUM(F43:F47)</f>
        <v>0</v>
      </c>
      <c r="G48" s="834"/>
      <c r="H48" s="816"/>
      <c r="I48" s="817">
        <f>SUM(I43:I47)</f>
        <v>0</v>
      </c>
      <c r="J48" s="818"/>
      <c r="K48" s="815">
        <f>SUM(K43:K47)</f>
        <v>0</v>
      </c>
      <c r="L48" s="818"/>
      <c r="M48" s="816"/>
      <c r="N48" s="817">
        <f>SUM(N43:N47)</f>
        <v>0</v>
      </c>
      <c r="O48" s="1421"/>
      <c r="P48" s="1784" t="s">
        <v>4039</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3539</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92">
        <f>'Part IV-Uses of Funds'!$G$131</f>
        <v>13380152</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84" t="s">
        <v>4046</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3555</v>
      </c>
      <c r="E55" s="36"/>
      <c r="F55" s="815">
        <f>SUM(F50:F54)</f>
        <v>0</v>
      </c>
      <c r="G55" s="834"/>
      <c r="H55" s="816"/>
      <c r="I55" s="817">
        <f>SUM(I50:I54)</f>
        <v>0</v>
      </c>
      <c r="J55" s="818"/>
      <c r="K55" s="815">
        <f>SUM(K50:K54)</f>
        <v>0</v>
      </c>
      <c r="L55" s="818"/>
      <c r="M55" s="816"/>
      <c r="N55" s="817">
        <f>SUM(N50:N54)</f>
        <v>0</v>
      </c>
      <c r="O55" s="743"/>
      <c r="P55" s="1774" t="s">
        <v>4037</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3540</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74" t="s">
        <v>4038</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75">
        <f>'Part IX A-Scoring Criteria'!O56</f>
        <v>4</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82" t="s">
        <v>2887</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3555</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3541</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54</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54 units = </v>
      </c>
      <c r="I65" s="1141">
        <f>F65*G65</f>
        <v>7246962</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01">
        <f>IF(P53&gt;1,P53, IF(AND('Part IV-Uses of Funds'!$T$164="Yes",'Part IX A-Scoring Criteria'!$O$314&gt;0),I71+N71,I71))</f>
        <v>13458618</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36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36 units = </v>
      </c>
      <c r="I66" s="1141">
        <f>F66*G66</f>
        <v>6211656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85" t="s">
        <v>2846</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3555</v>
      </c>
      <c r="E69" s="36"/>
      <c r="F69" s="815">
        <f>SUM(F64:F68)</f>
        <v>90</v>
      </c>
      <c r="G69" s="834"/>
      <c r="H69" s="816"/>
      <c r="I69" s="817">
        <f>SUM(I64:I68)</f>
        <v>13458618</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2">
        <f>F48+F55+F62+F69</f>
        <v>90</v>
      </c>
      <c r="G71" s="370"/>
      <c r="H71" s="823"/>
      <c r="I71" s="822">
        <f>I48+I55+I62+I69</f>
        <v>13458618</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2"/>
      <c r="J72" s="1422"/>
      <c r="K72" s="147" t="s">
        <v>1937</v>
      </c>
      <c r="L72" s="1414"/>
      <c r="M72" s="1414"/>
      <c r="N72" s="1414"/>
      <c r="O72" s="1414"/>
      <c r="P72" s="1414"/>
      <c r="Q72" s="1222"/>
    </row>
    <row r="73" spans="1:295" ht="10.5" customHeight="1">
      <c r="A73" s="3060" t="s">
        <v>4323</v>
      </c>
      <c r="B73" s="3061"/>
      <c r="C73" s="3061"/>
      <c r="D73" s="3061"/>
      <c r="E73" s="3061"/>
      <c r="F73" s="3061"/>
      <c r="G73" s="3061"/>
      <c r="H73" s="3061"/>
      <c r="I73" s="3061"/>
      <c r="J73" s="3062"/>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2"/>
      <c r="C74" s="1421"/>
      <c r="D74" s="1421"/>
      <c r="E74" s="1421"/>
      <c r="F74" s="1421"/>
      <c r="G74" s="1421"/>
      <c r="H74" s="1421"/>
      <c r="I74" s="1421"/>
      <c r="J74" s="1421"/>
      <c r="K74" s="1421"/>
      <c r="L74" s="1421"/>
      <c r="M74" s="1421"/>
      <c r="N74" s="1421"/>
      <c r="O74" s="1421"/>
      <c r="P74" s="1421"/>
      <c r="Q74" s="1414"/>
    </row>
    <row r="75" spans="1:295" ht="12.75" customHeight="1">
      <c r="A75" s="1428">
        <v>3</v>
      </c>
      <c r="B75" s="4" t="s">
        <v>1234</v>
      </c>
      <c r="C75" s="4"/>
      <c r="D75" s="4"/>
      <c r="E75" s="1421"/>
      <c r="F75" s="1421"/>
      <c r="G75" s="150" t="s">
        <v>101</v>
      </c>
      <c r="H75" s="1421"/>
      <c r="J75" s="3063" t="str">
        <f>'Part I-Project Information'!$H$67</f>
        <v>HFOP</v>
      </c>
      <c r="K75" s="3064"/>
      <c r="L75" s="3065"/>
      <c r="O75" s="142" t="s">
        <v>1938</v>
      </c>
      <c r="P75" s="1711"/>
      <c r="Q75" s="1712"/>
    </row>
    <row r="76" spans="1:295" ht="10.5" customHeight="1">
      <c r="B76" s="101" t="s">
        <v>1936</v>
      </c>
      <c r="D76" s="101"/>
      <c r="E76" s="101"/>
      <c r="F76" s="101"/>
      <c r="G76" s="101"/>
      <c r="H76" s="41"/>
      <c r="I76" s="1422"/>
      <c r="J76" s="1422"/>
      <c r="K76" s="147" t="s">
        <v>1937</v>
      </c>
      <c r="L76" s="1414"/>
      <c r="M76" s="1414"/>
      <c r="N76" s="1414"/>
      <c r="O76" s="1414"/>
      <c r="P76" s="1414"/>
      <c r="Q76" s="1222"/>
    </row>
    <row r="77" spans="1:295" ht="10.5" customHeight="1">
      <c r="A77" s="3060" t="s">
        <v>4324</v>
      </c>
      <c r="B77" s="3061"/>
      <c r="C77" s="3061"/>
      <c r="D77" s="3061"/>
      <c r="E77" s="3061"/>
      <c r="F77" s="3061"/>
      <c r="G77" s="3061"/>
      <c r="H77" s="3061"/>
      <c r="I77" s="3061"/>
      <c r="J77" s="3062"/>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4"/>
      <c r="B78" s="1422"/>
      <c r="C78" s="1421"/>
      <c r="D78" s="1421"/>
      <c r="E78" s="1421"/>
      <c r="F78" s="1421"/>
      <c r="G78" s="1421"/>
      <c r="H78" s="1421"/>
      <c r="I78" s="1421"/>
      <c r="J78" s="1421"/>
      <c r="K78" s="1421"/>
      <c r="L78" s="1421"/>
      <c r="M78" s="1421"/>
      <c r="N78" s="1421"/>
      <c r="O78" s="1421"/>
      <c r="P78" s="1421"/>
      <c r="Q78" s="1414"/>
    </row>
    <row r="79" spans="1:295" ht="12.75" customHeight="1">
      <c r="A79" s="1428">
        <v>4</v>
      </c>
      <c r="B79" s="1428"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4145</v>
      </c>
      <c r="D81" s="1349"/>
      <c r="E81" s="1349"/>
      <c r="F81" s="1349"/>
      <c r="G81" s="1349"/>
      <c r="H81" s="1349"/>
      <c r="I81" s="1349"/>
      <c r="J81" s="1350" t="s">
        <v>4146</v>
      </c>
      <c r="K81" s="1349"/>
      <c r="L81" s="1349"/>
      <c r="M81" s="1349"/>
      <c r="O81" s="153"/>
      <c r="P81" s="3056" t="s">
        <v>4299</v>
      </c>
    </row>
    <row r="82" spans="1:31" ht="10.5" customHeight="1">
      <c r="B82" s="121" t="s">
        <v>2061</v>
      </c>
      <c r="C82" s="1223" t="s">
        <v>3885</v>
      </c>
      <c r="D82" s="1223"/>
      <c r="E82" s="1223"/>
      <c r="F82" s="1223"/>
      <c r="G82" s="1223"/>
      <c r="H82" s="1223"/>
      <c r="I82" s="1223"/>
      <c r="J82" s="1223"/>
      <c r="K82" s="1223"/>
      <c r="L82" s="1223"/>
      <c r="M82" s="1223"/>
      <c r="O82" s="1223"/>
      <c r="P82" s="1223"/>
      <c r="Q82" s="1223"/>
    </row>
    <row r="83" spans="1:31" ht="23.25" customHeight="1">
      <c r="A83" s="154"/>
      <c r="B83" s="70" t="s">
        <v>1803</v>
      </c>
      <c r="C83" s="1223" t="s">
        <v>3753</v>
      </c>
      <c r="E83" s="1426"/>
      <c r="F83" s="1426"/>
      <c r="G83" s="1426"/>
      <c r="H83" s="34"/>
      <c r="I83" s="37" t="s">
        <v>2809</v>
      </c>
      <c r="J83" s="3066" t="s">
        <v>4288</v>
      </c>
      <c r="K83" s="3067"/>
      <c r="L83" s="3067"/>
      <c r="M83" s="3067"/>
      <c r="N83" s="3067"/>
      <c r="O83" s="3067"/>
      <c r="P83" s="3067"/>
      <c r="Q83" s="3068"/>
    </row>
    <row r="84" spans="1:31" ht="10.9" customHeight="1">
      <c r="A84" s="154"/>
      <c r="B84" s="70" t="s">
        <v>1804</v>
      </c>
      <c r="C84" s="1223" t="s">
        <v>3883</v>
      </c>
      <c r="E84" s="1426"/>
      <c r="F84" s="1426"/>
      <c r="G84" s="1426"/>
      <c r="H84" s="34"/>
      <c r="I84" s="37" t="s">
        <v>2809</v>
      </c>
      <c r="J84" s="3069" t="s">
        <v>4289</v>
      </c>
      <c r="K84" s="3070"/>
      <c r="L84" s="3070"/>
      <c r="M84" s="3070"/>
      <c r="N84" s="3070"/>
      <c r="O84" s="3070"/>
      <c r="P84" s="3070"/>
      <c r="Q84" s="3071"/>
    </row>
    <row r="85" spans="1:31" ht="10.9" customHeight="1">
      <c r="A85" s="154"/>
      <c r="B85" s="70" t="s">
        <v>1805</v>
      </c>
      <c r="C85" s="1223" t="s">
        <v>3884</v>
      </c>
      <c r="E85" s="1426"/>
      <c r="F85" s="1426"/>
      <c r="G85" s="1426"/>
      <c r="H85" s="34"/>
      <c r="I85" s="37" t="s">
        <v>2809</v>
      </c>
      <c r="J85" s="3069" t="s">
        <v>4290</v>
      </c>
      <c r="K85" s="3070"/>
      <c r="L85" s="3070"/>
      <c r="M85" s="3070"/>
      <c r="N85" s="3070"/>
      <c r="O85" s="3070"/>
      <c r="P85" s="3070"/>
      <c r="Q85" s="3071"/>
    </row>
    <row r="86" spans="1:31" ht="10.9" customHeight="1">
      <c r="A86" s="154"/>
      <c r="B86" s="525" t="s">
        <v>2448</v>
      </c>
      <c r="C86" s="1223" t="s">
        <v>3557</v>
      </c>
      <c r="E86" s="1426"/>
      <c r="I86" s="37" t="s">
        <v>2809</v>
      </c>
      <c r="J86" s="3072"/>
      <c r="K86" s="3073"/>
      <c r="L86" s="3073"/>
      <c r="M86" s="3073"/>
      <c r="N86" s="3073"/>
      <c r="O86" s="3073"/>
      <c r="P86" s="3073"/>
      <c r="Q86" s="3074"/>
    </row>
    <row r="87" spans="1:31" ht="10.9" customHeight="1">
      <c r="A87" s="154"/>
      <c r="B87" s="121" t="s">
        <v>779</v>
      </c>
      <c r="C87" s="41" t="s">
        <v>3852</v>
      </c>
      <c r="D87" s="1223"/>
      <c r="E87" s="1426"/>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75"/>
      <c r="M88" s="3076"/>
      <c r="N88" s="3076"/>
      <c r="O88" s="3076"/>
      <c r="P88" s="3077"/>
      <c r="Q88" s="628"/>
    </row>
    <row r="89" spans="1:31" ht="10.5" customHeight="1">
      <c r="B89" s="101" t="s">
        <v>1936</v>
      </c>
      <c r="D89" s="101"/>
      <c r="E89" s="101"/>
      <c r="F89" s="101"/>
      <c r="G89" s="101"/>
      <c r="H89" s="41"/>
      <c r="I89" s="1422"/>
      <c r="J89" s="1422"/>
      <c r="K89" s="147" t="s">
        <v>1937</v>
      </c>
      <c r="L89" s="1414"/>
      <c r="M89" s="1414"/>
      <c r="N89" s="1414"/>
      <c r="O89" s="1414"/>
      <c r="P89" s="1414"/>
      <c r="Q89" s="1222"/>
    </row>
    <row r="90" spans="1:31" ht="124.5" customHeight="1">
      <c r="A90" s="3060" t="s">
        <v>4291</v>
      </c>
      <c r="B90" s="3061"/>
      <c r="C90" s="3061"/>
      <c r="D90" s="3061"/>
      <c r="E90" s="3061"/>
      <c r="F90" s="3061"/>
      <c r="G90" s="3061"/>
      <c r="H90" s="3061"/>
      <c r="I90" s="3061"/>
      <c r="J90" s="3062"/>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4"/>
      <c r="B91" s="1422"/>
      <c r="C91" s="1421"/>
      <c r="D91" s="1421"/>
      <c r="E91" s="1421"/>
      <c r="F91" s="1421"/>
      <c r="G91" s="1421"/>
      <c r="H91" s="1421"/>
      <c r="I91" s="1421"/>
      <c r="J91" s="1421"/>
      <c r="K91" s="1421"/>
      <c r="L91" s="1421"/>
      <c r="M91" s="1421"/>
      <c r="N91" s="1421"/>
      <c r="O91" s="1421"/>
      <c r="P91" s="1421"/>
      <c r="Q91" s="1414"/>
    </row>
    <row r="92" spans="1:31" ht="13.9" customHeight="1">
      <c r="A92" s="1428">
        <v>5</v>
      </c>
      <c r="B92" s="1428" t="s">
        <v>2746</v>
      </c>
      <c r="C92" s="1428"/>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8" t="s">
        <v>4305</v>
      </c>
      <c r="N94" s="3079"/>
      <c r="O94" s="3079"/>
      <c r="P94" s="3080"/>
      <c r="Q94" s="630"/>
    </row>
    <row r="95" spans="1:31" ht="12" customHeight="1">
      <c r="B95" s="48" t="s">
        <v>2061</v>
      </c>
      <c r="C95" s="54" t="s">
        <v>2113</v>
      </c>
      <c r="D95" s="144"/>
      <c r="E95" s="144"/>
      <c r="F95" s="144"/>
      <c r="L95" s="525" t="s">
        <v>2061</v>
      </c>
      <c r="M95" s="3081" t="s">
        <v>4306</v>
      </c>
      <c r="N95" s="3082"/>
      <c r="O95" s="3082"/>
      <c r="P95" s="3083"/>
      <c r="Q95" s="631"/>
    </row>
    <row r="96" spans="1:31" ht="12" customHeight="1">
      <c r="B96" s="48" t="s">
        <v>779</v>
      </c>
      <c r="C96" s="54" t="s">
        <v>3017</v>
      </c>
      <c r="D96" s="144"/>
      <c r="E96" s="144"/>
      <c r="F96" s="144"/>
      <c r="L96" s="525" t="s">
        <v>779</v>
      </c>
      <c r="M96" s="3084" t="s">
        <v>4307</v>
      </c>
      <c r="N96" s="3085"/>
      <c r="O96" s="3085"/>
      <c r="P96" s="3086"/>
      <c r="Q96" s="631"/>
    </row>
    <row r="97" spans="1:31" ht="12" customHeight="1">
      <c r="B97" s="48" t="s">
        <v>2193</v>
      </c>
      <c r="C97" s="54" t="s">
        <v>4047</v>
      </c>
      <c r="D97" s="144"/>
      <c r="E97" s="144"/>
      <c r="F97" s="144"/>
      <c r="L97" s="525" t="s">
        <v>2193</v>
      </c>
      <c r="M97" s="3087" t="s">
        <v>4399</v>
      </c>
      <c r="N97" s="3088"/>
      <c r="O97" s="3088"/>
      <c r="P97" s="3089"/>
      <c r="Q97" s="632"/>
    </row>
    <row r="98" spans="1:31" ht="12" customHeight="1">
      <c r="B98" s="152" t="s">
        <v>1801</v>
      </c>
      <c r="C98" s="1718" t="s">
        <v>3715</v>
      </c>
      <c r="D98" s="1718"/>
      <c r="E98" s="1718"/>
      <c r="F98" s="1718"/>
      <c r="G98" s="1718"/>
      <c r="H98" s="1718"/>
      <c r="I98" s="1718"/>
      <c r="J98" s="1718"/>
      <c r="K98" s="1718"/>
      <c r="L98" s="1718"/>
      <c r="M98" s="1718"/>
      <c r="N98" s="1718"/>
      <c r="O98" s="1718"/>
      <c r="P98" s="1718"/>
      <c r="Q98" s="1718"/>
    </row>
    <row r="99" spans="1:31" ht="12" customHeight="1">
      <c r="B99" s="48"/>
      <c r="C99" s="54"/>
      <c r="D99" s="1434" t="s">
        <v>2463</v>
      </c>
      <c r="E99" s="1223" t="s">
        <v>641</v>
      </c>
      <c r="F99" s="1223"/>
      <c r="H99" s="54"/>
      <c r="I99" s="1434" t="s">
        <v>2463</v>
      </c>
      <c r="J99" s="1223" t="s">
        <v>641</v>
      </c>
      <c r="K99" s="1223"/>
      <c r="M99" s="54"/>
      <c r="N99" s="1434" t="s">
        <v>2463</v>
      </c>
      <c r="O99" s="1223" t="s">
        <v>641</v>
      </c>
      <c r="P99" s="1223"/>
      <c r="Q99" s="525"/>
    </row>
    <row r="100" spans="1:31" ht="12" customHeight="1">
      <c r="B100" s="48"/>
      <c r="C100" s="54">
        <v>1</v>
      </c>
      <c r="D100" s="3090" t="s">
        <v>4209</v>
      </c>
      <c r="E100" s="3091" t="s">
        <v>4308</v>
      </c>
      <c r="F100" s="3091"/>
      <c r="G100" s="3091"/>
      <c r="H100" s="54">
        <v>3</v>
      </c>
      <c r="I100" s="3090"/>
      <c r="J100" s="3091"/>
      <c r="K100" s="3091"/>
      <c r="L100" s="3091"/>
      <c r="M100" s="54">
        <v>5</v>
      </c>
      <c r="N100" s="3090"/>
      <c r="O100" s="3091"/>
      <c r="P100" s="3091"/>
      <c r="Q100" s="3091"/>
    </row>
    <row r="101" spans="1:31" ht="12" customHeight="1">
      <c r="B101" s="48"/>
      <c r="C101" s="54">
        <v>2</v>
      </c>
      <c r="D101" s="3092"/>
      <c r="E101" s="3093"/>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26"/>
      <c r="M102" s="1426"/>
      <c r="O102" s="525" t="s">
        <v>1802</v>
      </c>
      <c r="P102" s="3094" t="s">
        <v>3152</v>
      </c>
      <c r="Q102" s="638"/>
    </row>
    <row r="103" spans="1:31" ht="11.25" customHeight="1">
      <c r="B103" s="151" t="s">
        <v>1936</v>
      </c>
      <c r="D103" s="151"/>
      <c r="E103" s="151"/>
      <c r="F103" s="151"/>
      <c r="G103" s="151"/>
      <c r="H103" s="41"/>
      <c r="I103" s="1422"/>
      <c r="J103" s="1422"/>
      <c r="K103" s="1422"/>
      <c r="L103" s="1414"/>
      <c r="M103" s="1414"/>
      <c r="N103" s="1414"/>
      <c r="O103" s="1414"/>
      <c r="P103" s="1414"/>
      <c r="Q103" s="1222"/>
    </row>
    <row r="104" spans="1:31" ht="25.15" customHeight="1">
      <c r="A104" s="3060" t="s">
        <v>4309</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8">
        <v>6</v>
      </c>
      <c r="B107" s="1428" t="s">
        <v>2747</v>
      </c>
      <c r="C107" s="1428"/>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5" t="s">
        <v>3152</v>
      </c>
      <c r="Q109" s="630"/>
    </row>
    <row r="110" spans="1:31" ht="12" customHeight="1">
      <c r="B110" s="48" t="s">
        <v>2061</v>
      </c>
      <c r="C110" s="54" t="s">
        <v>1353</v>
      </c>
      <c r="D110" s="54"/>
      <c r="E110" s="54"/>
      <c r="F110" s="54"/>
      <c r="G110" s="54"/>
      <c r="H110" s="54"/>
      <c r="I110" s="54"/>
      <c r="J110" s="54"/>
      <c r="K110" s="54"/>
      <c r="L110" s="1223"/>
      <c r="M110" s="1223"/>
      <c r="O110" s="525" t="s">
        <v>2061</v>
      </c>
      <c r="P110" s="3096" t="s">
        <v>3155</v>
      </c>
      <c r="Q110" s="631"/>
    </row>
    <row r="111" spans="1:31" ht="12" customHeight="1">
      <c r="A111" s="143"/>
      <c r="B111" s="37"/>
      <c r="D111" s="40" t="s">
        <v>573</v>
      </c>
      <c r="E111" s="43"/>
      <c r="F111" s="43"/>
      <c r="G111" s="43"/>
      <c r="H111" s="43"/>
      <c r="I111" s="43"/>
      <c r="L111" s="70" t="s">
        <v>574</v>
      </c>
      <c r="M111" s="3075" t="s">
        <v>4325</v>
      </c>
      <c r="N111" s="3076"/>
      <c r="O111" s="3076"/>
      <c r="P111" s="3097"/>
      <c r="Q111" s="631"/>
    </row>
    <row r="112" spans="1:31">
      <c r="A112" s="154"/>
      <c r="B112" s="1422"/>
      <c r="C112" s="160" t="s">
        <v>1803</v>
      </c>
      <c r="D112" s="1719" t="s">
        <v>3728</v>
      </c>
      <c r="E112" s="1720"/>
      <c r="F112" s="1720"/>
      <c r="G112" s="1720"/>
      <c r="H112" s="1720"/>
      <c r="I112" s="1720"/>
      <c r="J112" s="1720"/>
      <c r="K112" s="1720"/>
      <c r="L112" s="1720"/>
      <c r="M112" s="1720"/>
      <c r="N112" s="1720"/>
      <c r="O112" s="160" t="s">
        <v>1803</v>
      </c>
      <c r="P112" s="3095"/>
      <c r="Q112" s="631"/>
    </row>
    <row r="113" spans="1:32" ht="12" customHeight="1">
      <c r="A113" s="154"/>
      <c r="B113" s="1422"/>
      <c r="C113" s="70" t="s">
        <v>1804</v>
      </c>
      <c r="D113" s="1719" t="s">
        <v>3729</v>
      </c>
      <c r="E113" s="1720"/>
      <c r="F113" s="1720"/>
      <c r="G113" s="1720"/>
      <c r="H113" s="1720"/>
      <c r="I113" s="1720"/>
      <c r="J113" s="1720"/>
      <c r="K113" s="1720"/>
      <c r="L113" s="1720"/>
      <c r="M113" s="1720"/>
      <c r="N113" s="1720"/>
      <c r="O113" s="70" t="s">
        <v>1804</v>
      </c>
      <c r="P113" s="3098"/>
      <c r="Q113" s="631"/>
    </row>
    <row r="114" spans="1:32" ht="12" customHeight="1">
      <c r="A114" s="154"/>
      <c r="B114" s="1422"/>
      <c r="C114" s="160" t="s">
        <v>1805</v>
      </c>
      <c r="D114" s="54" t="s">
        <v>3018</v>
      </c>
      <c r="E114" s="54"/>
      <c r="F114" s="54"/>
      <c r="G114" s="54"/>
      <c r="H114" s="54"/>
      <c r="I114" s="54"/>
      <c r="J114" s="54"/>
      <c r="K114" s="54"/>
      <c r="L114" s="54"/>
      <c r="M114" s="54"/>
      <c r="O114" s="160" t="s">
        <v>1805</v>
      </c>
      <c r="P114" s="3098"/>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099"/>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6" t="s">
        <v>3155</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5" t="s">
        <v>3152</v>
      </c>
      <c r="Q118" s="630"/>
    </row>
    <row r="119" spans="1:32" ht="12" customHeight="1">
      <c r="B119" s="48"/>
      <c r="C119" s="70" t="s">
        <v>1804</v>
      </c>
      <c r="D119" s="54" t="s">
        <v>1484</v>
      </c>
      <c r="E119" s="54"/>
      <c r="F119" s="54"/>
      <c r="G119" s="54"/>
      <c r="H119" s="54"/>
      <c r="I119" s="54"/>
      <c r="J119" s="54"/>
      <c r="K119" s="54"/>
      <c r="L119" s="1223"/>
      <c r="M119" s="1223"/>
      <c r="O119" s="70" t="s">
        <v>1804</v>
      </c>
      <c r="P119" s="3098" t="s">
        <v>3155</v>
      </c>
      <c r="Q119" s="631"/>
    </row>
    <row r="120" spans="1:32" ht="12" customHeight="1">
      <c r="B120" s="48"/>
      <c r="C120" s="70" t="s">
        <v>1805</v>
      </c>
      <c r="D120" s="54" t="s">
        <v>1485</v>
      </c>
      <c r="E120" s="54"/>
      <c r="F120" s="54"/>
      <c r="G120" s="54"/>
      <c r="H120" s="54"/>
      <c r="I120" s="54"/>
      <c r="J120" s="54"/>
      <c r="K120" s="54"/>
      <c r="L120" s="1223"/>
      <c r="M120" s="1223"/>
      <c r="O120" s="70" t="s">
        <v>1805</v>
      </c>
      <c r="P120" s="3096" t="s">
        <v>3155</v>
      </c>
      <c r="Q120" s="632"/>
    </row>
    <row r="121" spans="1:32" ht="11.25" customHeight="1">
      <c r="B121" s="151" t="s">
        <v>1936</v>
      </c>
      <c r="D121" s="151"/>
      <c r="E121" s="151"/>
      <c r="F121" s="151"/>
      <c r="G121" s="151"/>
      <c r="H121" s="41"/>
      <c r="I121" s="1422"/>
      <c r="J121" s="1422"/>
      <c r="K121" s="1422"/>
      <c r="L121" s="1414"/>
      <c r="M121" s="1414"/>
      <c r="N121" s="1414"/>
      <c r="O121" s="1414"/>
      <c r="P121" s="1414"/>
      <c r="Q121" s="1222"/>
    </row>
    <row r="122" spans="1:32" ht="24" customHeight="1">
      <c r="A122" s="3060" t="s">
        <v>4326</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4"/>
      <c r="B125" s="1422"/>
      <c r="C125" s="1421"/>
      <c r="D125" s="1421"/>
      <c r="E125" s="1421"/>
      <c r="F125" s="1421"/>
      <c r="G125" s="1421"/>
      <c r="H125" s="1421"/>
      <c r="I125" s="1421"/>
      <c r="J125" s="1421"/>
      <c r="K125" s="1421"/>
      <c r="L125" s="1421"/>
      <c r="M125" s="1421"/>
      <c r="N125" s="1421"/>
      <c r="O125" s="1421"/>
      <c r="P125" s="1421"/>
      <c r="Q125" s="1414"/>
    </row>
    <row r="126" spans="1:32" ht="13.9" customHeight="1">
      <c r="A126" s="1428">
        <v>7</v>
      </c>
      <c r="B126" s="1428"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4048</v>
      </c>
      <c r="D128" s="144"/>
      <c r="E128" s="144"/>
      <c r="F128" s="144"/>
      <c r="G128" s="144"/>
      <c r="H128" s="144"/>
      <c r="I128" s="43"/>
      <c r="J128" s="43"/>
      <c r="K128" s="43"/>
      <c r="L128" s="525" t="s">
        <v>2058</v>
      </c>
      <c r="M128" s="3100" t="s">
        <v>4342</v>
      </c>
      <c r="N128" s="3101"/>
      <c r="O128" s="3101"/>
      <c r="P128" s="3102"/>
      <c r="Q128" s="628"/>
    </row>
    <row r="129" spans="2:17" ht="12" customHeight="1">
      <c r="B129" s="48" t="s">
        <v>2061</v>
      </c>
      <c r="C129" s="54" t="s">
        <v>1595</v>
      </c>
      <c r="D129" s="144"/>
      <c r="E129" s="144"/>
      <c r="F129" s="144"/>
      <c r="G129" s="144"/>
      <c r="H129" s="144"/>
      <c r="I129" s="43"/>
      <c r="J129" s="43"/>
      <c r="K129" s="144"/>
      <c r="L129" s="144"/>
      <c r="M129" s="1426"/>
      <c r="O129" s="525" t="s">
        <v>2061</v>
      </c>
      <c r="P129" s="3095" t="s">
        <v>3155</v>
      </c>
      <c r="Q129" s="1351"/>
    </row>
    <row r="130" spans="2:17" ht="12" customHeight="1">
      <c r="B130" s="48" t="s">
        <v>779</v>
      </c>
      <c r="C130" s="54" t="s">
        <v>156</v>
      </c>
      <c r="D130" s="144"/>
      <c r="E130" s="144"/>
      <c r="F130" s="144"/>
      <c r="G130" s="144"/>
      <c r="H130" s="144"/>
      <c r="I130" s="43"/>
      <c r="J130" s="43"/>
      <c r="K130" s="144"/>
      <c r="L130" s="1426"/>
      <c r="M130" s="1426"/>
      <c r="O130" s="525" t="s">
        <v>779</v>
      </c>
      <c r="P130" s="3096" t="s">
        <v>3152</v>
      </c>
      <c r="Q130" s="1265"/>
    </row>
    <row r="131" spans="2:17" ht="12" customHeight="1">
      <c r="B131" s="48"/>
      <c r="C131" s="69" t="s">
        <v>1803</v>
      </c>
      <c r="D131" s="54" t="s">
        <v>2788</v>
      </c>
      <c r="E131" s="144"/>
      <c r="F131" s="144"/>
      <c r="G131" s="144"/>
      <c r="H131" s="144"/>
      <c r="I131" s="43"/>
      <c r="J131" s="43"/>
      <c r="K131" s="144"/>
      <c r="L131" s="70" t="s">
        <v>1803</v>
      </c>
      <c r="M131" s="3100" t="s">
        <v>4343</v>
      </c>
      <c r="N131" s="3101"/>
      <c r="O131" s="3101"/>
      <c r="P131" s="3102"/>
      <c r="Q131" s="628"/>
    </row>
    <row r="132" spans="2:17" ht="12" customHeight="1">
      <c r="B132" s="149"/>
      <c r="C132" s="70" t="s">
        <v>1804</v>
      </c>
      <c r="D132" s="37" t="s">
        <v>3730</v>
      </c>
      <c r="E132" s="43"/>
      <c r="F132" s="43"/>
      <c r="G132" s="43"/>
      <c r="H132" s="54"/>
      <c r="I132" s="43"/>
      <c r="J132" s="43"/>
      <c r="K132" s="144"/>
      <c r="L132" s="1426"/>
      <c r="M132" s="1426"/>
      <c r="O132" s="525" t="s">
        <v>1804</v>
      </c>
      <c r="P132" s="3094">
        <v>67.599999999999994</v>
      </c>
      <c r="Q132" s="638"/>
    </row>
    <row r="133" spans="2:17" ht="12" customHeight="1">
      <c r="B133" s="149"/>
      <c r="C133" s="525" t="s">
        <v>1805</v>
      </c>
      <c r="D133" s="54" t="s">
        <v>1433</v>
      </c>
      <c r="E133" s="43"/>
      <c r="F133" s="43"/>
      <c r="G133" s="43"/>
      <c r="H133" s="54"/>
      <c r="I133" s="43"/>
      <c r="J133" s="43"/>
      <c r="K133" s="144"/>
      <c r="L133" s="1426"/>
      <c r="M133" s="1426"/>
      <c r="N133" s="1426"/>
      <c r="O133" s="1426"/>
    </row>
    <row r="134" spans="2:17" ht="11.45" customHeight="1">
      <c r="B134" s="1414"/>
      <c r="C134" s="70"/>
      <c r="D134" s="3103" t="s">
        <v>4344</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6"/>
      <c r="M135" s="1426"/>
      <c r="N135" s="1426"/>
      <c r="O135" s="525" t="s">
        <v>2193</v>
      </c>
    </row>
    <row r="136" spans="2:17" ht="12" customHeight="1">
      <c r="B136" s="48"/>
      <c r="C136" s="70" t="s">
        <v>1803</v>
      </c>
      <c r="D136" s="54" t="s">
        <v>154</v>
      </c>
      <c r="E136" s="144"/>
      <c r="F136" s="144"/>
      <c r="G136" s="144"/>
      <c r="H136" s="144"/>
      <c r="I136" s="43"/>
      <c r="J136" s="43"/>
      <c r="K136" s="144"/>
      <c r="L136" s="1426"/>
      <c r="M136" s="1426"/>
      <c r="O136" s="70" t="s">
        <v>1803</v>
      </c>
      <c r="P136" s="3095" t="s">
        <v>3155</v>
      </c>
      <c r="Q136" s="630"/>
    </row>
    <row r="137" spans="2:17" ht="12" customHeight="1">
      <c r="B137" s="48"/>
      <c r="C137" s="70" t="s">
        <v>1804</v>
      </c>
      <c r="D137" s="54" t="s">
        <v>1308</v>
      </c>
      <c r="E137" s="144"/>
      <c r="F137" s="144"/>
      <c r="G137" s="144"/>
      <c r="H137" s="43"/>
      <c r="I137" s="43"/>
      <c r="J137" s="43"/>
      <c r="K137" s="144"/>
      <c r="L137" s="1426"/>
      <c r="M137" s="1426"/>
      <c r="O137" s="70" t="s">
        <v>1804</v>
      </c>
      <c r="P137" s="3098" t="s">
        <v>3155</v>
      </c>
      <c r="Q137" s="631"/>
    </row>
    <row r="138" spans="2:17" ht="12" customHeight="1">
      <c r="B138" s="48"/>
      <c r="C138" s="70"/>
      <c r="D138" s="54" t="s">
        <v>2724</v>
      </c>
      <c r="E138" s="497" t="s">
        <v>2520</v>
      </c>
      <c r="F138" s="54" t="s">
        <v>2725</v>
      </c>
      <c r="G138" s="43"/>
      <c r="H138" s="54"/>
      <c r="I138" s="43"/>
      <c r="J138" s="43"/>
      <c r="K138" s="144"/>
      <c r="L138" s="1426"/>
      <c r="M138" s="1426"/>
      <c r="O138" s="497" t="s">
        <v>2520</v>
      </c>
      <c r="P138" s="3106"/>
      <c r="Q138" s="1144"/>
    </row>
    <row r="139" spans="2:17" ht="12" customHeight="1">
      <c r="B139" s="48"/>
      <c r="C139" s="70"/>
      <c r="E139" s="497" t="s">
        <v>2521</v>
      </c>
      <c r="F139" s="54" t="s">
        <v>2726</v>
      </c>
      <c r="G139" s="43"/>
      <c r="H139" s="54"/>
      <c r="I139" s="43"/>
      <c r="J139" s="43"/>
      <c r="K139" s="144"/>
      <c r="L139" s="1426"/>
      <c r="M139" s="1426"/>
      <c r="O139" s="497" t="s">
        <v>2521</v>
      </c>
      <c r="P139" s="3098"/>
      <c r="Q139" s="631"/>
    </row>
    <row r="140" spans="2:17" ht="12" customHeight="1">
      <c r="B140" s="48"/>
      <c r="C140" s="70"/>
      <c r="E140" s="497" t="s">
        <v>2522</v>
      </c>
      <c r="F140" s="54" t="s">
        <v>2727</v>
      </c>
      <c r="G140" s="43"/>
      <c r="H140" s="54"/>
      <c r="I140" s="43"/>
      <c r="J140" s="43"/>
      <c r="K140" s="144"/>
      <c r="L140" s="1426"/>
      <c r="M140" s="1426"/>
      <c r="O140" s="497" t="s">
        <v>2522</v>
      </c>
      <c r="P140" s="3098"/>
      <c r="Q140" s="631"/>
    </row>
    <row r="141" spans="2:17" ht="12" customHeight="1">
      <c r="B141" s="48"/>
      <c r="C141" s="70" t="s">
        <v>1805</v>
      </c>
      <c r="D141" s="54" t="s">
        <v>1309</v>
      </c>
      <c r="E141" s="144"/>
      <c r="F141" s="144"/>
      <c r="G141" s="144"/>
      <c r="H141" s="54"/>
      <c r="I141" s="43"/>
      <c r="J141" s="43"/>
      <c r="K141" s="144"/>
      <c r="L141" s="1426"/>
      <c r="M141" s="1426"/>
      <c r="O141" s="70" t="s">
        <v>1805</v>
      </c>
      <c r="P141" s="3098" t="s">
        <v>3155</v>
      </c>
      <c r="Q141" s="631"/>
    </row>
    <row r="142" spans="2:17" ht="12" customHeight="1">
      <c r="B142" s="48"/>
      <c r="C142" s="70"/>
      <c r="D142" s="54" t="s">
        <v>2724</v>
      </c>
      <c r="E142" s="497" t="s">
        <v>2520</v>
      </c>
      <c r="F142" s="54" t="s">
        <v>2728</v>
      </c>
      <c r="G142" s="43"/>
      <c r="H142" s="54"/>
      <c r="I142" s="43"/>
      <c r="J142" s="43"/>
      <c r="K142" s="144"/>
      <c r="L142" s="1426"/>
      <c r="O142" s="497" t="s">
        <v>2520</v>
      </c>
      <c r="P142" s="3106"/>
      <c r="Q142" s="1144"/>
    </row>
    <row r="143" spans="2:17" ht="12" customHeight="1">
      <c r="B143" s="48"/>
      <c r="C143" s="70"/>
      <c r="E143" s="497" t="s">
        <v>2521</v>
      </c>
      <c r="F143" s="54" t="s">
        <v>2729</v>
      </c>
      <c r="G143" s="43"/>
      <c r="H143" s="54"/>
      <c r="I143" s="43"/>
      <c r="J143" s="43"/>
      <c r="O143" s="497" t="s">
        <v>2521</v>
      </c>
      <c r="P143" s="3098"/>
      <c r="Q143" s="631"/>
    </row>
    <row r="144" spans="2:17" ht="12" customHeight="1">
      <c r="B144" s="48"/>
      <c r="C144" s="70"/>
      <c r="E144" s="497" t="s">
        <v>2522</v>
      </c>
      <c r="F144" s="54" t="s">
        <v>2727</v>
      </c>
      <c r="G144" s="43"/>
      <c r="H144" s="54"/>
      <c r="I144" s="43"/>
      <c r="J144" s="43"/>
      <c r="O144" s="497" t="s">
        <v>2522</v>
      </c>
      <c r="P144" s="3098"/>
      <c r="Q144" s="631"/>
    </row>
    <row r="145" spans="1:32" ht="12" customHeight="1">
      <c r="B145" s="37"/>
      <c r="C145" s="70" t="s">
        <v>2448</v>
      </c>
      <c r="D145" s="54" t="s">
        <v>2730</v>
      </c>
      <c r="E145" s="144"/>
      <c r="F145" s="144"/>
      <c r="G145" s="144"/>
      <c r="H145" s="144"/>
      <c r="I145" s="43"/>
      <c r="J145" s="43"/>
      <c r="O145" s="70" t="s">
        <v>2448</v>
      </c>
      <c r="P145" s="3096" t="s">
        <v>3155</v>
      </c>
      <c r="Q145" s="632"/>
    </row>
    <row r="146" spans="1:32" ht="12" customHeight="1">
      <c r="B146" s="48" t="s">
        <v>1801</v>
      </c>
      <c r="C146" s="156" t="s">
        <v>2499</v>
      </c>
      <c r="D146" s="144"/>
      <c r="E146" s="144"/>
      <c r="F146" s="144"/>
      <c r="G146" s="144"/>
      <c r="H146" s="144"/>
      <c r="I146" s="43"/>
      <c r="J146" s="43"/>
      <c r="K146" s="144"/>
      <c r="L146" s="1426"/>
      <c r="M146" s="1426"/>
      <c r="N146" s="1426"/>
      <c r="O146" s="1426"/>
      <c r="P146" s="1426"/>
      <c r="Q146" s="1426"/>
    </row>
    <row r="147" spans="1:32" ht="12" customHeight="1">
      <c r="C147" s="70" t="s">
        <v>1803</v>
      </c>
      <c r="D147" s="54" t="s">
        <v>2581</v>
      </c>
      <c r="E147" s="144"/>
      <c r="F147" s="3095" t="s">
        <v>3152</v>
      </c>
      <c r="G147" s="630"/>
      <c r="H147" s="70" t="s">
        <v>1606</v>
      </c>
      <c r="I147" s="57" t="s">
        <v>2732</v>
      </c>
      <c r="L147" s="3095" t="s">
        <v>3155</v>
      </c>
      <c r="M147" s="630"/>
      <c r="N147" s="525" t="s">
        <v>531</v>
      </c>
      <c r="O147" s="54" t="s">
        <v>1609</v>
      </c>
      <c r="P147" s="3095" t="s">
        <v>3155</v>
      </c>
      <c r="Q147" s="630"/>
    </row>
    <row r="148" spans="1:32" ht="12" customHeight="1">
      <c r="B148" s="37"/>
      <c r="C148" s="70" t="s">
        <v>1804</v>
      </c>
      <c r="D148" s="54" t="s">
        <v>2922</v>
      </c>
      <c r="E148" s="144"/>
      <c r="F148" s="3098" t="s">
        <v>3152</v>
      </c>
      <c r="G148" s="631"/>
      <c r="H148" s="70" t="s">
        <v>1607</v>
      </c>
      <c r="I148" s="57" t="s">
        <v>2733</v>
      </c>
      <c r="L148" s="3098" t="s">
        <v>3155</v>
      </c>
      <c r="M148" s="631"/>
      <c r="N148" s="525" t="s">
        <v>532</v>
      </c>
      <c r="O148" s="54" t="s">
        <v>1608</v>
      </c>
      <c r="P148" s="3098" t="s">
        <v>3155</v>
      </c>
      <c r="Q148" s="631"/>
    </row>
    <row r="149" spans="1:32" ht="12" customHeight="1">
      <c r="B149" s="37"/>
      <c r="C149" s="70" t="s">
        <v>1805</v>
      </c>
      <c r="D149" s="54" t="s">
        <v>2731</v>
      </c>
      <c r="E149" s="144"/>
      <c r="F149" s="3098" t="s">
        <v>3155</v>
      </c>
      <c r="G149" s="631"/>
      <c r="H149" s="525" t="s">
        <v>100</v>
      </c>
      <c r="I149" s="57" t="s">
        <v>2923</v>
      </c>
      <c r="L149" s="3098" t="s">
        <v>3155</v>
      </c>
      <c r="M149" s="631"/>
      <c r="N149" s="525" t="s">
        <v>2925</v>
      </c>
      <c r="O149" s="54" t="s">
        <v>1610</v>
      </c>
      <c r="P149" s="3096" t="s">
        <v>3155</v>
      </c>
      <c r="Q149" s="632"/>
    </row>
    <row r="150" spans="1:32" ht="12" customHeight="1">
      <c r="B150" s="37"/>
      <c r="C150" s="70" t="s">
        <v>2448</v>
      </c>
      <c r="D150" s="54" t="s">
        <v>2926</v>
      </c>
      <c r="E150" s="144"/>
      <c r="F150" s="3096" t="s">
        <v>3155</v>
      </c>
      <c r="G150" s="632"/>
      <c r="H150" s="525" t="s">
        <v>530</v>
      </c>
      <c r="I150" s="54" t="s">
        <v>2921</v>
      </c>
      <c r="L150" s="3096" t="s">
        <v>3152</v>
      </c>
      <c r="M150" s="632"/>
      <c r="O150" s="70"/>
    </row>
    <row r="151" spans="1:32" ht="12" customHeight="1">
      <c r="B151" s="37"/>
      <c r="C151" s="525" t="s">
        <v>3036</v>
      </c>
      <c r="D151" s="54" t="s">
        <v>2924</v>
      </c>
      <c r="E151" s="144"/>
      <c r="F151" s="144"/>
      <c r="G151" s="144"/>
      <c r="H151" s="144"/>
      <c r="I151" s="144"/>
      <c r="J151" s="144"/>
      <c r="K151" s="144"/>
      <c r="L151" s="144"/>
      <c r="M151" s="54"/>
      <c r="O151" s="70"/>
      <c r="P151" s="70"/>
    </row>
    <row r="152" spans="1:32" ht="42" customHeight="1">
      <c r="B152" s="37"/>
      <c r="D152" s="3107" t="s">
        <v>4407</v>
      </c>
      <c r="E152" s="3076"/>
      <c r="F152" s="3076"/>
      <c r="G152" s="3076"/>
      <c r="H152" s="3076"/>
      <c r="I152" s="3076"/>
      <c r="J152" s="3076"/>
      <c r="K152" s="3076"/>
      <c r="L152" s="3076"/>
      <c r="M152" s="3076"/>
      <c r="N152" s="3076"/>
      <c r="O152" s="3076"/>
      <c r="P152" s="3077"/>
      <c r="Q152" s="628"/>
    </row>
    <row r="153" spans="1:32" ht="12" customHeight="1">
      <c r="B153" s="48" t="s">
        <v>1802</v>
      </c>
      <c r="C153" s="54" t="s">
        <v>3855</v>
      </c>
      <c r="D153" s="144"/>
      <c r="E153" s="144"/>
      <c r="F153" s="144"/>
      <c r="G153" s="144"/>
      <c r="H153" s="144"/>
      <c r="I153" s="43"/>
      <c r="J153" s="43"/>
      <c r="K153" s="144"/>
      <c r="L153" s="144"/>
      <c r="M153" s="1426"/>
    </row>
    <row r="154" spans="1:32" ht="12" customHeight="1">
      <c r="A154" s="154"/>
      <c r="B154" s="43"/>
      <c r="C154" s="70" t="s">
        <v>1803</v>
      </c>
      <c r="D154" s="54" t="s">
        <v>2927</v>
      </c>
      <c r="E154" s="144"/>
      <c r="F154" s="144"/>
      <c r="G154" s="144"/>
      <c r="H154" s="144"/>
      <c r="O154" s="70" t="s">
        <v>1803</v>
      </c>
      <c r="P154" s="3095" t="s">
        <v>3152</v>
      </c>
      <c r="Q154" s="630"/>
    </row>
    <row r="155" spans="1:32" ht="12" customHeight="1">
      <c r="A155" s="154"/>
      <c r="B155" s="1422"/>
      <c r="C155" s="70" t="s">
        <v>1804</v>
      </c>
      <c r="D155" s="54" t="s">
        <v>508</v>
      </c>
      <c r="E155" s="54"/>
      <c r="F155" s="54"/>
      <c r="G155" s="54"/>
      <c r="H155" s="54"/>
      <c r="I155" s="43"/>
      <c r="J155" s="43"/>
      <c r="K155" s="54"/>
      <c r="L155" s="54"/>
      <c r="M155" s="54"/>
      <c r="O155" s="70" t="s">
        <v>1804</v>
      </c>
      <c r="P155" s="3098" t="s">
        <v>3152</v>
      </c>
      <c r="Q155" s="631"/>
    </row>
    <row r="156" spans="1:32" ht="12" customHeight="1">
      <c r="A156" s="154"/>
      <c r="B156" s="1422"/>
      <c r="C156" s="70" t="s">
        <v>1805</v>
      </c>
      <c r="D156" s="54" t="s">
        <v>707</v>
      </c>
      <c r="E156" s="54"/>
      <c r="F156" s="54"/>
      <c r="G156" s="54"/>
      <c r="H156" s="54"/>
      <c r="I156" s="43"/>
      <c r="J156" s="43"/>
      <c r="K156" s="54"/>
      <c r="L156" s="54"/>
      <c r="M156" s="54"/>
      <c r="O156" s="70" t="s">
        <v>1805</v>
      </c>
      <c r="P156" s="3098" t="s">
        <v>3152</v>
      </c>
      <c r="Q156" s="631"/>
    </row>
    <row r="157" spans="1:32" ht="12" customHeight="1">
      <c r="B157" s="48" t="s">
        <v>2021</v>
      </c>
      <c r="C157" s="54" t="s">
        <v>1819</v>
      </c>
      <c r="D157" s="144"/>
      <c r="E157" s="144"/>
      <c r="F157" s="144"/>
      <c r="G157" s="144"/>
      <c r="H157" s="144"/>
      <c r="I157" s="43"/>
      <c r="J157" s="43"/>
      <c r="K157" s="144"/>
      <c r="L157" s="144"/>
      <c r="M157" s="1426"/>
      <c r="O157" s="525" t="s">
        <v>2021</v>
      </c>
      <c r="P157" s="3096" t="s">
        <v>1006</v>
      </c>
      <c r="Q157" s="632"/>
    </row>
    <row r="158" spans="1:32" ht="12" customHeight="1">
      <c r="A158" s="460" t="s">
        <v>3716</v>
      </c>
      <c r="C158" s="54"/>
      <c r="D158" s="144"/>
      <c r="E158" s="144"/>
      <c r="F158" s="144"/>
      <c r="G158" s="144"/>
      <c r="H158" s="144"/>
      <c r="I158" s="43"/>
      <c r="J158" s="43"/>
      <c r="K158" s="144"/>
      <c r="L158" s="144"/>
      <c r="M158" s="1426"/>
      <c r="N158" s="1426"/>
      <c r="O158" s="1426"/>
      <c r="P158" s="1426"/>
      <c r="Q158" s="1426"/>
      <c r="R158" s="1426"/>
    </row>
    <row r="159" spans="1:32" s="1" customFormat="1" ht="23.45" customHeight="1">
      <c r="B159" s="152" t="s">
        <v>3558</v>
      </c>
      <c r="C159" s="1718" t="s">
        <v>153</v>
      </c>
      <c r="D159" s="1718"/>
      <c r="E159" s="1718"/>
      <c r="F159" s="1718"/>
      <c r="G159" s="1718"/>
      <c r="H159" s="1718"/>
      <c r="I159" s="1718"/>
      <c r="J159" s="1718"/>
      <c r="K159" s="1718"/>
      <c r="L159" s="1718"/>
      <c r="M159" s="174" t="s">
        <v>3558</v>
      </c>
      <c r="N159" s="3108" t="s">
        <v>4396</v>
      </c>
      <c r="O159" s="3109"/>
      <c r="P159" s="1765" t="s">
        <v>1837</v>
      </c>
      <c r="Q159" s="1766"/>
      <c r="AE159" s="5"/>
      <c r="AF159" s="5"/>
    </row>
    <row r="160" spans="1:32" s="1" customFormat="1" ht="12" customHeight="1">
      <c r="B160" s="48" t="s">
        <v>640</v>
      </c>
      <c r="C160" s="123" t="s">
        <v>1</v>
      </c>
      <c r="D160" s="1429"/>
      <c r="E160" s="1429"/>
      <c r="G160" s="525" t="s">
        <v>640</v>
      </c>
      <c r="H160" s="3103" t="s">
        <v>4397</v>
      </c>
      <c r="I160" s="3104"/>
      <c r="J160" s="3104"/>
      <c r="K160" s="3104"/>
      <c r="L160" s="3104"/>
      <c r="M160" s="3104"/>
      <c r="N160" s="3104"/>
      <c r="O160" s="3104"/>
      <c r="P160" s="3105"/>
      <c r="Q160" s="627"/>
      <c r="AE160" s="5"/>
      <c r="AF160" s="5"/>
    </row>
    <row r="161" spans="1:32" s="1" customFormat="1" ht="12" customHeight="1">
      <c r="B161" s="48" t="s">
        <v>3559</v>
      </c>
      <c r="C161" s="1223" t="s">
        <v>1469</v>
      </c>
      <c r="D161" s="11"/>
      <c r="E161" s="11"/>
      <c r="F161" s="11"/>
      <c r="G161" s="7"/>
      <c r="H161" s="7"/>
      <c r="I161" s="1223"/>
      <c r="K161" s="7"/>
      <c r="L161" s="7"/>
      <c r="M161" s="7"/>
      <c r="O161" s="525" t="s">
        <v>3559</v>
      </c>
      <c r="P161" s="3056"/>
      <c r="Q161" s="627"/>
      <c r="AE161" s="5"/>
      <c r="AF161" s="5"/>
    </row>
    <row r="162" spans="1:32" ht="11.25" customHeight="1">
      <c r="B162" s="151" t="s">
        <v>1936</v>
      </c>
      <c r="D162" s="151"/>
      <c r="E162" s="151"/>
      <c r="F162" s="151"/>
      <c r="G162" s="151"/>
      <c r="H162" s="41"/>
      <c r="I162" s="1422"/>
      <c r="J162" s="1422"/>
      <c r="K162" s="1422"/>
      <c r="L162" s="1414"/>
      <c r="M162" s="1414"/>
      <c r="N162" s="1414"/>
      <c r="O162" s="1414"/>
      <c r="P162" s="1414"/>
      <c r="Q162" s="1222"/>
    </row>
    <row r="163" spans="1:32" ht="35.450000000000003" customHeight="1">
      <c r="A163" s="3060" t="s">
        <v>4398</v>
      </c>
      <c r="B163" s="3061"/>
      <c r="C163" s="3061"/>
      <c r="D163" s="3061"/>
      <c r="E163" s="3061"/>
      <c r="F163" s="3061"/>
      <c r="G163" s="3061"/>
      <c r="H163" s="3061"/>
      <c r="I163" s="3061"/>
      <c r="J163" s="3061"/>
      <c r="K163" s="3061"/>
      <c r="L163" s="3061"/>
      <c r="M163" s="3061"/>
      <c r="N163" s="3061"/>
      <c r="O163" s="3061"/>
      <c r="P163" s="3061"/>
      <c r="Q163" s="3062"/>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4"/>
      <c r="B167" s="1422"/>
      <c r="C167" s="1421"/>
      <c r="D167" s="1421"/>
      <c r="E167" s="1421"/>
      <c r="F167" s="1421"/>
      <c r="G167" s="1421"/>
      <c r="H167" s="1421"/>
      <c r="I167" s="1421"/>
      <c r="J167" s="1421"/>
      <c r="K167" s="1421"/>
      <c r="L167" s="1421"/>
      <c r="M167" s="1421"/>
      <c r="N167" s="1421"/>
      <c r="O167" s="1421"/>
      <c r="P167" s="1421"/>
      <c r="Q167" s="1414"/>
    </row>
    <row r="168" spans="1:32" ht="13.9" customHeight="1">
      <c r="A168" s="1428">
        <v>8</v>
      </c>
      <c r="B168" s="1428" t="s">
        <v>2749</v>
      </c>
      <c r="C168" s="1428"/>
      <c r="D168" s="1421"/>
      <c r="E168" s="1421"/>
      <c r="F168" s="1421"/>
      <c r="G168" s="1421"/>
      <c r="H168" s="1421"/>
      <c r="I168" s="1421"/>
      <c r="J168" s="1421"/>
      <c r="K168" s="1421"/>
      <c r="O168" s="142" t="s">
        <v>1938</v>
      </c>
      <c r="P168" s="1711"/>
      <c r="Q168" s="1712"/>
    </row>
    <row r="169" spans="1:32" ht="12" customHeight="1">
      <c r="B169" s="48" t="s">
        <v>2058</v>
      </c>
      <c r="C169" s="54" t="s">
        <v>3887</v>
      </c>
      <c r="D169" s="54"/>
      <c r="E169" s="54"/>
      <c r="F169" s="54"/>
      <c r="G169" s="54"/>
      <c r="I169" s="54" t="s">
        <v>2811</v>
      </c>
      <c r="K169" s="3110" t="s">
        <v>4373</v>
      </c>
      <c r="L169" s="3111"/>
      <c r="N169" s="54"/>
      <c r="O169" s="525" t="s">
        <v>2058</v>
      </c>
      <c r="P169" s="3056" t="s">
        <v>3152</v>
      </c>
      <c r="Q169" s="627"/>
    </row>
    <row r="170" spans="1:32" ht="12" customHeight="1">
      <c r="A170" s="149"/>
      <c r="B170" s="48" t="s">
        <v>2061</v>
      </c>
      <c r="C170" s="150" t="s">
        <v>155</v>
      </c>
      <c r="D170" s="150"/>
      <c r="E170" s="150"/>
      <c r="F170" s="150"/>
      <c r="G170" s="150"/>
      <c r="H170" s="150"/>
      <c r="M170" s="525" t="s">
        <v>2061</v>
      </c>
      <c r="N170" s="3112" t="s">
        <v>4345</v>
      </c>
      <c r="O170" s="3113"/>
      <c r="P170" s="1734" t="s">
        <v>1837</v>
      </c>
      <c r="Q170" s="1735"/>
    </row>
    <row r="171" spans="1:32" ht="12" customHeight="1">
      <c r="A171" s="149"/>
      <c r="B171" s="48" t="s">
        <v>779</v>
      </c>
      <c r="C171" s="150" t="s">
        <v>708</v>
      </c>
      <c r="D171" s="150"/>
      <c r="E171" s="150"/>
      <c r="F171" s="150"/>
      <c r="G171" s="150"/>
      <c r="H171" s="150"/>
      <c r="J171" s="525" t="s">
        <v>779</v>
      </c>
      <c r="K171" s="3075" t="s">
        <v>4346</v>
      </c>
      <c r="L171" s="3076"/>
      <c r="M171" s="3076"/>
      <c r="N171" s="3076"/>
      <c r="O171" s="3076"/>
      <c r="P171" s="3077"/>
      <c r="Q171" s="627"/>
    </row>
    <row r="172" spans="1:32" ht="12" customHeight="1">
      <c r="A172" s="149"/>
      <c r="B172" s="48" t="s">
        <v>2193</v>
      </c>
      <c r="C172" s="150" t="s">
        <v>3022</v>
      </c>
      <c r="D172" s="150"/>
      <c r="E172" s="150"/>
      <c r="F172" s="150"/>
      <c r="G172" s="150"/>
      <c r="H172" s="150"/>
      <c r="J172" s="525"/>
      <c r="K172" s="525"/>
      <c r="L172" s="525"/>
      <c r="M172" s="525"/>
      <c r="N172" s="525"/>
      <c r="O172" s="525" t="s">
        <v>2193</v>
      </c>
      <c r="P172" s="3056" t="s">
        <v>3152</v>
      </c>
      <c r="Q172" s="627"/>
    </row>
    <row r="173" spans="1:32" ht="12" customHeight="1">
      <c r="B173" s="151" t="s">
        <v>1936</v>
      </c>
      <c r="D173" s="151"/>
      <c r="E173" s="151"/>
      <c r="F173" s="151"/>
      <c r="G173" s="151"/>
      <c r="H173" s="41"/>
      <c r="I173" s="1422"/>
      <c r="J173" s="1422"/>
      <c r="K173" s="1422"/>
      <c r="L173" s="1414"/>
      <c r="M173" s="1414"/>
      <c r="N173" s="1414"/>
      <c r="O173" s="1414"/>
      <c r="P173" s="1414"/>
      <c r="Q173" s="1222"/>
    </row>
    <row r="174" spans="1:32" ht="11.45" customHeight="1">
      <c r="A174" s="3060" t="s">
        <v>4347</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4"/>
      <c r="B177" s="1422"/>
      <c r="C177" s="1421"/>
      <c r="D177" s="1421"/>
      <c r="E177" s="1421"/>
      <c r="F177" s="1421"/>
      <c r="G177" s="1421"/>
      <c r="H177" s="1421"/>
      <c r="I177" s="1421"/>
      <c r="J177" s="1421"/>
      <c r="K177" s="1421"/>
      <c r="L177" s="1421"/>
      <c r="M177" s="1421"/>
      <c r="Q177" s="1414"/>
    </row>
    <row r="178" spans="1:31" ht="13.9" customHeight="1">
      <c r="A178" s="1428">
        <v>9</v>
      </c>
      <c r="B178" s="1428" t="s">
        <v>2750</v>
      </c>
      <c r="C178" s="1428"/>
      <c r="D178" s="1421"/>
      <c r="E178" s="1421"/>
      <c r="F178" s="1421"/>
      <c r="G178" s="1421"/>
      <c r="H178" s="1421"/>
      <c r="I178" s="1421"/>
      <c r="J178" s="1421"/>
      <c r="K178" s="1421"/>
      <c r="L178" s="1421"/>
      <c r="M178" s="1421"/>
      <c r="O178" s="142" t="s">
        <v>1938</v>
      </c>
      <c r="P178" s="1711"/>
      <c r="Q178" s="1712"/>
    </row>
    <row r="179" spans="1:31" ht="21.75" customHeight="1">
      <c r="B179" s="152" t="s">
        <v>2058</v>
      </c>
      <c r="C179" s="1718" t="s">
        <v>4049</v>
      </c>
      <c r="D179" s="1718"/>
      <c r="E179" s="1718"/>
      <c r="F179" s="1718"/>
      <c r="G179" s="1718"/>
      <c r="H179" s="1718"/>
      <c r="I179" s="1718"/>
      <c r="J179" s="1718"/>
      <c r="K179" s="1718"/>
      <c r="L179" s="1718"/>
      <c r="M179" s="1718"/>
      <c r="N179" s="1718"/>
      <c r="O179" s="174" t="s">
        <v>2058</v>
      </c>
      <c r="P179" s="3095" t="s">
        <v>3152</v>
      </c>
      <c r="Q179" s="630"/>
    </row>
    <row r="180" spans="1:31" ht="22.15" customHeight="1">
      <c r="B180" s="152" t="s">
        <v>2061</v>
      </c>
      <c r="C180" s="1718" t="s">
        <v>4050</v>
      </c>
      <c r="D180" s="1718"/>
      <c r="E180" s="1718"/>
      <c r="F180" s="1718"/>
      <c r="G180" s="1718"/>
      <c r="H180" s="1718"/>
      <c r="I180" s="1718"/>
      <c r="J180" s="1718"/>
      <c r="K180" s="1718"/>
      <c r="L180" s="1718"/>
      <c r="M180" s="1718"/>
      <c r="N180" s="1718"/>
      <c r="O180" s="174" t="s">
        <v>2061</v>
      </c>
      <c r="P180" s="3098"/>
      <c r="Q180" s="631"/>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096"/>
      <c r="Q181" s="632"/>
    </row>
    <row r="182" spans="1:31" ht="12" customHeight="1">
      <c r="B182" s="151" t="s">
        <v>1936</v>
      </c>
      <c r="D182" s="151"/>
      <c r="E182" s="151"/>
      <c r="F182" s="151"/>
      <c r="G182" s="151"/>
      <c r="H182" s="41"/>
      <c r="I182" s="1422"/>
      <c r="J182" s="1422"/>
      <c r="K182" s="1422"/>
      <c r="L182" s="1414"/>
      <c r="M182" s="1414"/>
      <c r="N182" s="1414"/>
      <c r="O182" s="1414"/>
      <c r="P182" s="1414"/>
      <c r="Q182" s="1222"/>
    </row>
    <row r="183" spans="1:31" ht="22.9" customHeight="1">
      <c r="A183" s="3060" t="s">
        <v>4327</v>
      </c>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2"/>
      <c r="C186" s="1421"/>
      <c r="D186" s="1421"/>
      <c r="E186" s="1421"/>
      <c r="F186" s="1421"/>
      <c r="G186" s="1421"/>
      <c r="H186" s="1421"/>
      <c r="I186" s="1421"/>
      <c r="J186" s="1421"/>
      <c r="K186" s="1421"/>
      <c r="L186" s="1421"/>
      <c r="M186" s="1421"/>
      <c r="N186" s="1421"/>
      <c r="O186" s="1421"/>
      <c r="P186" s="1421"/>
      <c r="Q186" s="1414"/>
    </row>
    <row r="187" spans="1:31" ht="13.9" customHeight="1">
      <c r="A187" s="1402">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5" t="s">
        <v>3152</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8" t="s">
        <v>3152</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8" t="s">
        <v>3152</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8" t="s">
        <v>3152</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8" t="s">
        <v>3152</v>
      </c>
      <c r="Q192" s="631"/>
    </row>
    <row r="193" spans="1:32" s="143" customFormat="1" ht="21.75" customHeight="1">
      <c r="B193" s="152"/>
      <c r="C193" s="1178"/>
      <c r="D193" s="1178"/>
      <c r="E193" s="174" t="s">
        <v>1805</v>
      </c>
      <c r="F193" s="1718" t="s">
        <v>3731</v>
      </c>
      <c r="G193" s="1718"/>
      <c r="H193" s="1718"/>
      <c r="I193" s="1718"/>
      <c r="J193" s="1718"/>
      <c r="K193" s="1718"/>
      <c r="L193" s="1718"/>
      <c r="M193" s="1718"/>
      <c r="N193" s="1718"/>
      <c r="O193" s="174" t="s">
        <v>1805</v>
      </c>
      <c r="P193" s="3099" t="s">
        <v>3152</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8" t="s">
        <v>3152</v>
      </c>
      <c r="Q194" s="631"/>
    </row>
    <row r="195" spans="1:32" s="143" customFormat="1" ht="21.75" customHeight="1">
      <c r="B195" s="152"/>
      <c r="C195" s="1178"/>
      <c r="D195" s="1178"/>
      <c r="E195" s="174" t="s">
        <v>1606</v>
      </c>
      <c r="F195" s="1718" t="s">
        <v>2740</v>
      </c>
      <c r="G195" s="1718"/>
      <c r="H195" s="1718"/>
      <c r="I195" s="1718"/>
      <c r="J195" s="1718"/>
      <c r="K195" s="1718"/>
      <c r="L195" s="1718"/>
      <c r="M195" s="1718"/>
      <c r="N195" s="1718"/>
      <c r="O195" s="174" t="s">
        <v>1606</v>
      </c>
      <c r="P195" s="3099" t="s">
        <v>3152</v>
      </c>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098" t="s">
        <v>3152</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6" t="s">
        <v>3155</v>
      </c>
      <c r="Q197" s="632"/>
    </row>
    <row r="198" spans="1:32" ht="12" customHeight="1">
      <c r="B198" s="151" t="s">
        <v>1936</v>
      </c>
      <c r="D198" s="151"/>
      <c r="E198" s="151"/>
      <c r="F198" s="151"/>
      <c r="G198" s="151"/>
      <c r="H198" s="41"/>
      <c r="I198" s="1422"/>
      <c r="J198" s="1422"/>
      <c r="K198" s="1422"/>
      <c r="L198" s="1414"/>
      <c r="M198" s="1414"/>
      <c r="N198" s="1414"/>
      <c r="O198" s="1414"/>
      <c r="P198" s="1414"/>
      <c r="Q198" s="1222"/>
    </row>
    <row r="199" spans="1:32" ht="38.25" customHeight="1">
      <c r="A199" s="3060" t="s">
        <v>4408</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4"/>
      <c r="B202" s="1422"/>
      <c r="C202" s="1421"/>
      <c r="D202" s="1421"/>
      <c r="E202" s="1421"/>
      <c r="F202" s="1421"/>
      <c r="G202" s="1421"/>
      <c r="H202" s="1421"/>
      <c r="I202" s="1421"/>
      <c r="J202" s="1421"/>
      <c r="K202" s="1421"/>
      <c r="L202" s="1421"/>
      <c r="M202" s="1421"/>
      <c r="N202" s="1421"/>
      <c r="O202" s="1421"/>
      <c r="P202" s="1421"/>
      <c r="Q202" s="1414"/>
    </row>
    <row r="203" spans="1:32" ht="13.9" customHeight="1">
      <c r="A203" s="1428">
        <v>11</v>
      </c>
      <c r="B203" s="1428" t="s">
        <v>2752</v>
      </c>
      <c r="C203" s="1428"/>
      <c r="D203" s="1421"/>
      <c r="E203" s="157"/>
      <c r="F203" s="157"/>
      <c r="G203" s="1421"/>
      <c r="J203" s="1224"/>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1803</v>
      </c>
      <c r="I204" s="54" t="s">
        <v>157</v>
      </c>
      <c r="K204" s="3078" t="s">
        <v>4325</v>
      </c>
      <c r="L204" s="3079"/>
      <c r="M204" s="3079"/>
      <c r="N204" s="3114"/>
      <c r="O204" s="70" t="s">
        <v>1803</v>
      </c>
      <c r="P204" s="3095" t="s">
        <v>3155</v>
      </c>
      <c r="Q204" s="630"/>
    </row>
    <row r="205" spans="1:32" ht="12" customHeight="1">
      <c r="A205" s="149"/>
      <c r="B205" s="1422"/>
      <c r="C205" s="110"/>
      <c r="D205" s="110"/>
      <c r="E205" s="110"/>
      <c r="F205" s="110"/>
      <c r="H205" s="70" t="s">
        <v>1804</v>
      </c>
      <c r="I205" s="54" t="s">
        <v>1653</v>
      </c>
      <c r="K205" s="3115" t="s">
        <v>4328</v>
      </c>
      <c r="L205" s="3116"/>
      <c r="M205" s="3116"/>
      <c r="N205" s="3117"/>
      <c r="O205" s="70" t="s">
        <v>1804</v>
      </c>
      <c r="P205" s="3096" t="s">
        <v>3152</v>
      </c>
      <c r="Q205" s="632"/>
    </row>
    <row r="206" spans="1:32" ht="12" customHeight="1">
      <c r="B206" s="151" t="s">
        <v>1936</v>
      </c>
      <c r="D206" s="151"/>
      <c r="E206" s="151"/>
      <c r="F206" s="151"/>
      <c r="G206" s="151"/>
      <c r="J206" s="1422"/>
      <c r="K206" s="1422"/>
      <c r="L206" s="1414"/>
      <c r="M206" s="1414"/>
      <c r="N206" s="1414"/>
      <c r="O206" s="1414"/>
      <c r="P206" s="1414"/>
      <c r="Q206" s="1222"/>
    </row>
    <row r="207" spans="1:32" ht="11.45" customHeight="1">
      <c r="A207" s="3060" t="s">
        <v>4329</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2"/>
      <c r="C210" s="1421"/>
      <c r="D210" s="1421"/>
      <c r="E210" s="1421"/>
      <c r="F210" s="1421"/>
      <c r="G210" s="1421"/>
      <c r="H210" s="1421"/>
      <c r="I210" s="1421"/>
      <c r="J210" s="1421"/>
      <c r="K210" s="1421"/>
      <c r="L210" s="1421"/>
      <c r="M210" s="1421"/>
      <c r="Q210" s="1222"/>
    </row>
    <row r="211" spans="1:31" ht="13.9" customHeight="1">
      <c r="A211" s="1428">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5" t="s">
        <v>3155</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8"/>
      <c r="Q214" s="631"/>
    </row>
    <row r="215" spans="1:31" ht="11.45" customHeight="1">
      <c r="A215" s="149"/>
      <c r="B215" s="152" t="s">
        <v>2061</v>
      </c>
      <c r="C215" s="1718" t="s">
        <v>1919</v>
      </c>
      <c r="D215" s="1718"/>
      <c r="E215" s="1718"/>
      <c r="F215" s="1718"/>
      <c r="G215" s="1718"/>
      <c r="H215" s="70" t="s">
        <v>1803</v>
      </c>
      <c r="I215" s="54" t="s">
        <v>659</v>
      </c>
      <c r="K215" s="3078" t="s">
        <v>4330</v>
      </c>
      <c r="L215" s="3079"/>
      <c r="M215" s="3079"/>
      <c r="N215" s="3114"/>
      <c r="O215" s="70" t="s">
        <v>1502</v>
      </c>
      <c r="P215" s="3098" t="s">
        <v>3152</v>
      </c>
      <c r="Q215" s="631"/>
    </row>
    <row r="216" spans="1:31" ht="11.45" customHeight="1">
      <c r="A216" s="149"/>
      <c r="B216" s="161"/>
      <c r="C216" s="1718"/>
      <c r="D216" s="1718"/>
      <c r="E216" s="1718"/>
      <c r="F216" s="1718"/>
      <c r="G216" s="1718"/>
      <c r="H216" s="70" t="s">
        <v>1804</v>
      </c>
      <c r="I216" s="54" t="s">
        <v>118</v>
      </c>
      <c r="K216" s="3115" t="s">
        <v>4330</v>
      </c>
      <c r="L216" s="3116"/>
      <c r="M216" s="3116"/>
      <c r="N216" s="3117"/>
      <c r="O216" s="70" t="s">
        <v>1804</v>
      </c>
      <c r="P216" s="3096" t="s">
        <v>3152</v>
      </c>
      <c r="Q216" s="632"/>
    </row>
    <row r="217" spans="1:31" ht="11.25" customHeight="1">
      <c r="B217" s="151" t="s">
        <v>1936</v>
      </c>
      <c r="D217" s="151"/>
      <c r="E217" s="151"/>
      <c r="F217" s="151"/>
      <c r="G217" s="151"/>
      <c r="H217" s="41"/>
      <c r="I217" s="1422"/>
      <c r="J217" s="1422"/>
      <c r="K217" s="1422"/>
      <c r="L217" s="1414"/>
      <c r="M217" s="1414"/>
      <c r="N217" s="1414"/>
      <c r="O217" s="1414"/>
      <c r="P217" s="1414"/>
      <c r="Q217" s="1222"/>
    </row>
    <row r="218" spans="1:31" ht="11.45" customHeight="1">
      <c r="A218" s="3060" t="s">
        <v>4331</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4"/>
      <c r="B221" s="1422"/>
      <c r="C221" s="1421"/>
      <c r="D221" s="1421"/>
      <c r="E221" s="1421"/>
      <c r="F221" s="1421"/>
      <c r="G221" s="1421"/>
      <c r="H221" s="1421"/>
      <c r="I221" s="1421"/>
      <c r="J221" s="1421"/>
      <c r="K221" s="1421"/>
      <c r="L221" s="1421"/>
      <c r="M221" s="1421"/>
      <c r="Q221" s="1414"/>
    </row>
    <row r="222" spans="1:31" ht="13.9" customHeight="1">
      <c r="A222" s="1428">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3061</v>
      </c>
      <c r="D224" s="43"/>
      <c r="E224" s="54"/>
      <c r="F224" s="54"/>
      <c r="G224" s="54"/>
      <c r="H224" s="54"/>
      <c r="I224" s="43"/>
      <c r="J224" s="43"/>
      <c r="K224" s="43"/>
      <c r="L224" s="1178"/>
      <c r="M224" s="1178"/>
      <c r="O224" s="174" t="s">
        <v>2058</v>
      </c>
      <c r="P224" s="3056" t="s">
        <v>3152</v>
      </c>
      <c r="Q224" s="627"/>
    </row>
    <row r="225" spans="1:32" ht="11.45" customHeight="1">
      <c r="B225" s="48"/>
      <c r="C225" s="54"/>
      <c r="D225" s="37" t="s">
        <v>3046</v>
      </c>
      <c r="E225" s="54"/>
      <c r="F225" s="54"/>
      <c r="G225" s="3118">
        <v>42456</v>
      </c>
      <c r="H225" s="3119"/>
      <c r="L225" s="1797" t="s">
        <v>3851</v>
      </c>
      <c r="M225" s="3118">
        <v>42456</v>
      </c>
      <c r="N225" s="3119"/>
    </row>
    <row r="226" spans="1:32" ht="11.45" customHeight="1">
      <c r="B226" s="48"/>
      <c r="C226" s="54"/>
      <c r="D226" s="57" t="s">
        <v>3048</v>
      </c>
      <c r="E226" s="54"/>
      <c r="F226" s="54"/>
      <c r="G226" s="3120" t="s">
        <v>4348</v>
      </c>
      <c r="H226" s="3121"/>
      <c r="I226" s="3076"/>
      <c r="J226" s="3076"/>
      <c r="K226" s="3077"/>
      <c r="L226" s="1797"/>
      <c r="M226" s="3120" t="s">
        <v>4348</v>
      </c>
      <c r="N226" s="3121"/>
      <c r="O226" s="3076"/>
      <c r="P226" s="3076"/>
      <c r="Q226" s="3077"/>
    </row>
    <row r="227" spans="1:32" ht="11.45" customHeight="1">
      <c r="B227" s="48"/>
      <c r="C227" s="54"/>
      <c r="D227" s="37" t="s">
        <v>3047</v>
      </c>
      <c r="E227" s="43"/>
      <c r="G227" s="3118">
        <v>42472</v>
      </c>
      <c r="H227" s="3119"/>
      <c r="I227" s="37"/>
      <c r="J227" s="43"/>
      <c r="K227" s="43"/>
      <c r="L227" s="1797"/>
      <c r="M227" s="3118">
        <v>42493</v>
      </c>
      <c r="N227" s="3119"/>
    </row>
    <row r="228" spans="1:32" ht="11.45" customHeight="1">
      <c r="B228" s="48" t="s">
        <v>2061</v>
      </c>
      <c r="C228" s="54" t="s">
        <v>2928</v>
      </c>
      <c r="D228" s="54"/>
      <c r="E228" s="54"/>
      <c r="F228" s="54"/>
      <c r="G228" s="54"/>
      <c r="H228" s="54"/>
      <c r="I228" s="43"/>
      <c r="J228" s="43"/>
      <c r="K228" s="43"/>
      <c r="L228" s="150"/>
      <c r="M228" s="150"/>
      <c r="O228" s="174" t="s">
        <v>2061</v>
      </c>
      <c r="P228" s="3095" t="s">
        <v>3152</v>
      </c>
      <c r="Q228" s="630"/>
    </row>
    <row r="229" spans="1:32" ht="11.45" customHeight="1">
      <c r="B229" s="48" t="s">
        <v>779</v>
      </c>
      <c r="C229" s="54" t="s">
        <v>2929</v>
      </c>
      <c r="D229" s="54"/>
      <c r="E229" s="54"/>
      <c r="F229" s="54"/>
      <c r="G229" s="54"/>
      <c r="H229" s="54"/>
      <c r="I229" s="43"/>
      <c r="J229" s="43"/>
      <c r="K229" s="43"/>
      <c r="L229" s="150"/>
      <c r="M229" s="150"/>
      <c r="O229" s="174" t="s">
        <v>779</v>
      </c>
      <c r="P229" s="3098" t="s">
        <v>3152</v>
      </c>
      <c r="Q229" s="631"/>
    </row>
    <row r="230" spans="1:32" s="158" customFormat="1" ht="11.45" customHeight="1">
      <c r="B230" s="48" t="s">
        <v>2193</v>
      </c>
      <c r="C230" s="54" t="s">
        <v>3732</v>
      </c>
      <c r="D230" s="54"/>
      <c r="E230" s="54"/>
      <c r="F230" s="54"/>
      <c r="G230" s="54"/>
      <c r="H230" s="54"/>
      <c r="I230" s="100"/>
      <c r="J230" s="100"/>
      <c r="K230" s="100"/>
      <c r="L230" s="1178"/>
      <c r="M230" s="1178"/>
      <c r="N230" s="36"/>
      <c r="O230" s="525" t="s">
        <v>2193</v>
      </c>
      <c r="P230" s="3098" t="s">
        <v>1799</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6" t="s">
        <v>3152</v>
      </c>
      <c r="Q231" s="632"/>
      <c r="AE231" s="529"/>
      <c r="AF231" s="529"/>
    </row>
    <row r="232" spans="1:32" ht="11.25" customHeight="1">
      <c r="B232" s="151" t="s">
        <v>1936</v>
      </c>
      <c r="D232" s="151"/>
      <c r="E232" s="151"/>
      <c r="F232" s="151"/>
      <c r="G232" s="151"/>
      <c r="H232" s="41"/>
      <c r="I232" s="1422"/>
      <c r="J232" s="1422"/>
      <c r="K232" s="1422"/>
      <c r="L232" s="1414"/>
      <c r="M232" s="1414"/>
      <c r="N232" s="1414"/>
      <c r="O232" s="1414"/>
      <c r="P232" s="1414"/>
      <c r="Q232" s="1222"/>
    </row>
    <row r="233" spans="1:32" ht="106.15" customHeight="1">
      <c r="A233" s="3060" t="s">
        <v>4404</v>
      </c>
      <c r="B233" s="3061"/>
      <c r="C233" s="3061"/>
      <c r="D233" s="3061"/>
      <c r="E233" s="3061"/>
      <c r="F233" s="3061"/>
      <c r="G233" s="3061"/>
      <c r="H233" s="3061"/>
      <c r="I233" s="3061"/>
      <c r="J233" s="3061"/>
      <c r="K233" s="3061"/>
      <c r="L233" s="3061"/>
      <c r="M233" s="3061"/>
      <c r="N233" s="3061"/>
      <c r="O233" s="3061"/>
      <c r="P233" s="3061"/>
      <c r="Q233" s="3062"/>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4"/>
      <c r="B237" s="1422"/>
      <c r="C237" s="1421"/>
      <c r="D237" s="1421"/>
      <c r="E237" s="1421"/>
      <c r="F237" s="1421"/>
      <c r="G237" s="1421"/>
      <c r="H237" s="1421"/>
      <c r="I237" s="1421"/>
      <c r="J237" s="1421"/>
      <c r="K237" s="1421"/>
      <c r="L237" s="1421"/>
      <c r="M237" s="1421"/>
      <c r="Q237" s="1414"/>
    </row>
    <row r="238" spans="1:32" ht="13.9" customHeight="1">
      <c r="A238" s="1428">
        <v>14</v>
      </c>
      <c r="B238" s="1428"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6" t="s">
        <v>3152</v>
      </c>
      <c r="Q239" s="627"/>
      <c r="AE239" s="125"/>
      <c r="AF239" s="125"/>
    </row>
    <row r="240" spans="1:32" ht="12" customHeight="1">
      <c r="B240" s="48" t="s">
        <v>2058</v>
      </c>
      <c r="C240" s="37" t="s">
        <v>4155</v>
      </c>
      <c r="D240" s="43"/>
      <c r="E240" s="43"/>
      <c r="F240" s="43"/>
      <c r="G240" s="43"/>
      <c r="H240" s="43"/>
      <c r="I240" s="43"/>
      <c r="J240" s="43"/>
      <c r="K240" s="43"/>
      <c r="L240" s="43"/>
      <c r="M240" s="43"/>
      <c r="O240" s="525" t="s">
        <v>2058</v>
      </c>
      <c r="P240" s="3056" t="s">
        <v>4299</v>
      </c>
      <c r="Q240" s="627"/>
    </row>
    <row r="241" spans="1:32" ht="11.45" customHeight="1">
      <c r="B241" s="48"/>
      <c r="C241" s="70" t="s">
        <v>1803</v>
      </c>
      <c r="D241" s="54" t="s">
        <v>2005</v>
      </c>
      <c r="E241" s="54"/>
      <c r="F241" s="54"/>
      <c r="G241" s="54"/>
      <c r="H241" s="54"/>
      <c r="I241" s="43"/>
      <c r="K241" s="70" t="s">
        <v>1543</v>
      </c>
      <c r="L241" s="3075" t="s">
        <v>4332</v>
      </c>
      <c r="M241" s="3077"/>
      <c r="Q241" s="630"/>
    </row>
    <row r="242" spans="1:32" ht="11.45" customHeight="1">
      <c r="B242" s="48"/>
      <c r="C242" s="70" t="s">
        <v>1804</v>
      </c>
      <c r="D242" s="1223" t="s">
        <v>2829</v>
      </c>
      <c r="E242" s="1223"/>
      <c r="F242" s="1223"/>
      <c r="G242" s="1223"/>
      <c r="H242" s="1223"/>
      <c r="I242" s="43"/>
      <c r="K242" s="70" t="s">
        <v>1544</v>
      </c>
      <c r="L242" s="3122" t="s">
        <v>4333</v>
      </c>
      <c r="M242" s="3123"/>
      <c r="N242" s="3124" t="s">
        <v>2830</v>
      </c>
      <c r="O242" s="3125"/>
      <c r="P242" s="3126"/>
      <c r="Q242" s="631"/>
    </row>
    <row r="243" spans="1:32" ht="11.45" customHeight="1">
      <c r="B243" s="48"/>
      <c r="C243" s="70" t="s">
        <v>1805</v>
      </c>
      <c r="D243" s="1223" t="s">
        <v>577</v>
      </c>
      <c r="E243" s="1223"/>
      <c r="F243" s="1223"/>
      <c r="G243" s="1223"/>
      <c r="H243" s="1223"/>
      <c r="I243" s="43"/>
      <c r="K243" s="70" t="s">
        <v>1545</v>
      </c>
      <c r="L243" s="3075" t="s">
        <v>4334</v>
      </c>
      <c r="M243" s="3076"/>
      <c r="N243" s="3127"/>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6" t="s">
        <v>4299</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8" t="s">
        <v>4335</v>
      </c>
      <c r="E248" s="3129"/>
      <c r="F248" s="3129"/>
      <c r="G248" s="3129"/>
      <c r="H248" s="3130"/>
      <c r="I248" s="640"/>
      <c r="J248" s="641"/>
      <c r="K248" s="70" t="s">
        <v>1805</v>
      </c>
      <c r="L248" s="3128"/>
      <c r="M248" s="3129"/>
      <c r="N248" s="3129"/>
      <c r="O248" s="3130"/>
      <c r="P248" s="630"/>
      <c r="Q248" s="641"/>
      <c r="AE248" s="56"/>
      <c r="AF248" s="56"/>
    </row>
    <row r="249" spans="1:32" s="44" customFormat="1" ht="11.45" customHeight="1">
      <c r="A249" s="100"/>
      <c r="B249" s="53"/>
      <c r="C249" s="70" t="s">
        <v>1804</v>
      </c>
      <c r="D249" s="3131" t="s">
        <v>4336</v>
      </c>
      <c r="E249" s="3132"/>
      <c r="F249" s="3132"/>
      <c r="G249" s="3132"/>
      <c r="H249" s="3133"/>
      <c r="I249" s="642"/>
      <c r="J249" s="643"/>
      <c r="K249" s="70" t="s">
        <v>2448</v>
      </c>
      <c r="L249" s="3131"/>
      <c r="M249" s="3132"/>
      <c r="N249" s="3132"/>
      <c r="O249" s="3133"/>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5" t="s">
        <v>4299</v>
      </c>
      <c r="Q251" s="630"/>
    </row>
    <row r="252" spans="1:32" ht="11.45" customHeight="1">
      <c r="B252" s="48"/>
      <c r="C252" s="70" t="s">
        <v>1803</v>
      </c>
      <c r="D252" s="54" t="s">
        <v>3721</v>
      </c>
      <c r="E252" s="54"/>
      <c r="F252" s="54"/>
      <c r="G252" s="54"/>
      <c r="H252" s="54"/>
      <c r="I252" s="43"/>
      <c r="J252" s="34"/>
      <c r="K252" s="43"/>
      <c r="L252" s="34"/>
      <c r="M252" s="34"/>
      <c r="O252" s="70" t="s">
        <v>1803</v>
      </c>
      <c r="P252" s="3098" t="s">
        <v>3152</v>
      </c>
      <c r="Q252" s="631"/>
    </row>
    <row r="253" spans="1:32" ht="11.45" customHeight="1">
      <c r="C253" s="70" t="s">
        <v>1804</v>
      </c>
      <c r="D253" s="1223" t="s">
        <v>2930</v>
      </c>
      <c r="E253" s="1223"/>
      <c r="F253" s="1223"/>
      <c r="G253" s="1223"/>
      <c r="H253" s="1223"/>
      <c r="I253" s="43"/>
      <c r="J253" s="34"/>
      <c r="K253" s="43"/>
      <c r="L253" s="34"/>
      <c r="M253" s="34"/>
      <c r="O253" s="70" t="s">
        <v>1804</v>
      </c>
      <c r="P253" s="3098" t="s">
        <v>3152</v>
      </c>
      <c r="Q253" s="631"/>
    </row>
    <row r="254" spans="1:32" ht="11.45" customHeight="1">
      <c r="C254" s="70" t="s">
        <v>1805</v>
      </c>
      <c r="D254" s="1223" t="s">
        <v>2931</v>
      </c>
      <c r="E254" s="1223"/>
      <c r="F254" s="1223"/>
      <c r="G254" s="1223"/>
      <c r="H254" s="1223"/>
      <c r="I254" s="43"/>
      <c r="J254" s="34"/>
      <c r="K254" s="43"/>
      <c r="L254" s="34"/>
      <c r="M254" s="34"/>
      <c r="O254" s="70" t="s">
        <v>1805</v>
      </c>
      <c r="P254" s="3098" t="s">
        <v>3152</v>
      </c>
      <c r="Q254" s="631"/>
    </row>
    <row r="255" spans="1:32" ht="11.45" customHeight="1">
      <c r="B255" s="48"/>
      <c r="C255" s="70" t="s">
        <v>2448</v>
      </c>
      <c r="D255" s="1223" t="s">
        <v>2932</v>
      </c>
      <c r="E255" s="1223"/>
      <c r="F255" s="1223"/>
      <c r="G255" s="1223"/>
      <c r="H255" s="1223"/>
      <c r="I255" s="43"/>
      <c r="J255" s="34"/>
      <c r="K255" s="43"/>
      <c r="L255" s="34"/>
      <c r="M255" s="34"/>
      <c r="O255" s="70" t="s">
        <v>2448</v>
      </c>
      <c r="P255" s="3098" t="s">
        <v>3152</v>
      </c>
      <c r="Q255" s="631"/>
    </row>
    <row r="256" spans="1:32" ht="11.45" customHeight="1">
      <c r="B256" s="48"/>
      <c r="C256" s="70" t="s">
        <v>1606</v>
      </c>
      <c r="D256" s="1223" t="s">
        <v>2933</v>
      </c>
      <c r="E256" s="1223"/>
      <c r="F256" s="1223"/>
      <c r="G256" s="1223"/>
      <c r="H256" s="1223"/>
      <c r="I256" s="43"/>
      <c r="J256" s="34"/>
      <c r="K256" s="43"/>
      <c r="L256" s="34"/>
      <c r="M256" s="34"/>
      <c r="O256" s="70" t="s">
        <v>1606</v>
      </c>
      <c r="P256" s="3098" t="s">
        <v>3152</v>
      </c>
      <c r="Q256" s="631"/>
    </row>
    <row r="257" spans="1:31" ht="11.45" customHeight="1">
      <c r="B257" s="48"/>
      <c r="C257" s="525" t="s">
        <v>1607</v>
      </c>
      <c r="D257" s="54" t="s">
        <v>806</v>
      </c>
      <c r="E257" s="54"/>
      <c r="F257" s="54"/>
      <c r="G257" s="54"/>
      <c r="H257" s="54"/>
      <c r="I257" s="43"/>
      <c r="J257" s="34"/>
      <c r="K257" s="43"/>
      <c r="L257" s="34"/>
      <c r="M257" s="34"/>
      <c r="O257" s="525" t="s">
        <v>2918</v>
      </c>
      <c r="P257" s="3098" t="s">
        <v>3152</v>
      </c>
      <c r="Q257" s="631"/>
    </row>
    <row r="258" spans="1:31" ht="11.45" customHeight="1">
      <c r="B258" s="48"/>
      <c r="C258" s="70"/>
      <c r="D258" s="54" t="s">
        <v>1546</v>
      </c>
      <c r="E258" s="54"/>
      <c r="F258" s="54"/>
      <c r="G258" s="54"/>
      <c r="H258" s="54"/>
      <c r="I258" s="43"/>
      <c r="J258" s="34"/>
      <c r="K258" s="43"/>
      <c r="L258" s="34"/>
      <c r="M258" s="34"/>
      <c r="O258" s="525" t="s">
        <v>2919</v>
      </c>
      <c r="P258" s="3096" t="s">
        <v>3155</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4094</v>
      </c>
      <c r="D260" s="54"/>
      <c r="E260" s="54"/>
      <c r="F260" s="54"/>
      <c r="G260" s="54"/>
      <c r="H260" s="54"/>
      <c r="I260" s="54"/>
      <c r="J260" s="54"/>
      <c r="K260" s="43"/>
      <c r="L260" s="54"/>
      <c r="M260" s="54"/>
      <c r="O260" s="525" t="s">
        <v>2193</v>
      </c>
      <c r="P260" s="3095" t="s">
        <v>4299</v>
      </c>
      <c r="Q260" s="630"/>
    </row>
    <row r="261" spans="1:31" ht="11.45" customHeight="1">
      <c r="B261" s="48"/>
      <c r="C261" s="70" t="s">
        <v>1803</v>
      </c>
      <c r="D261" s="40" t="s">
        <v>1302</v>
      </c>
      <c r="E261" s="43"/>
      <c r="F261" s="43"/>
      <c r="G261" s="40"/>
      <c r="H261" s="1223"/>
      <c r="I261" s="43"/>
      <c r="J261" s="1223"/>
      <c r="K261" s="43"/>
      <c r="L261" s="1223"/>
      <c r="M261" s="1223"/>
      <c r="O261" s="70" t="s">
        <v>1803</v>
      </c>
      <c r="P261" s="3098" t="s">
        <v>3152</v>
      </c>
      <c r="Q261" s="631"/>
    </row>
    <row r="262" spans="1:31" ht="11.45" customHeight="1">
      <c r="B262" s="48"/>
      <c r="C262" s="70" t="s">
        <v>1804</v>
      </c>
      <c r="D262" s="40" t="s">
        <v>151</v>
      </c>
      <c r="E262" s="43"/>
      <c r="F262" s="43"/>
      <c r="G262" s="1223"/>
      <c r="H262" s="1223"/>
      <c r="I262" s="43"/>
      <c r="J262" s="1223"/>
      <c r="K262" s="43"/>
      <c r="L262" s="1223"/>
      <c r="M262" s="1223"/>
      <c r="O262" s="70" t="s">
        <v>1804</v>
      </c>
      <c r="P262" s="3098" t="s">
        <v>3152</v>
      </c>
      <c r="Q262" s="631"/>
    </row>
    <row r="263" spans="1:31" ht="11.45" customHeight="1">
      <c r="B263" s="48"/>
      <c r="C263" s="70" t="s">
        <v>1805</v>
      </c>
      <c r="D263" s="1223" t="s">
        <v>4051</v>
      </c>
      <c r="E263" s="43"/>
      <c r="F263" s="43"/>
      <c r="G263" s="1223"/>
      <c r="H263" s="1223"/>
      <c r="I263" s="43"/>
      <c r="J263" s="1223"/>
      <c r="K263" s="43"/>
      <c r="L263" s="1223"/>
      <c r="M263" s="1223"/>
      <c r="O263" s="70" t="s">
        <v>2454</v>
      </c>
      <c r="P263" s="3098" t="s">
        <v>3152</v>
      </c>
      <c r="Q263" s="631"/>
    </row>
    <row r="264" spans="1:31" ht="11.45" customHeight="1">
      <c r="B264" s="37"/>
      <c r="C264" s="43"/>
      <c r="D264" s="1223" t="s">
        <v>1334</v>
      </c>
      <c r="E264" s="43"/>
      <c r="F264" s="43"/>
      <c r="G264" s="1223"/>
      <c r="H264" s="1223"/>
      <c r="I264" s="43"/>
      <c r="J264" s="1223"/>
      <c r="K264" s="43"/>
      <c r="L264" s="1223"/>
      <c r="M264" s="1223"/>
      <c r="O264" s="70" t="s">
        <v>2455</v>
      </c>
      <c r="P264" s="3096"/>
      <c r="Q264" s="632"/>
    </row>
    <row r="265" spans="1:31" ht="11.25" customHeight="1">
      <c r="B265" s="151" t="s">
        <v>1936</v>
      </c>
      <c r="D265" s="151"/>
      <c r="E265" s="151"/>
      <c r="F265" s="151"/>
      <c r="G265" s="151"/>
      <c r="H265" s="41"/>
      <c r="I265" s="1422"/>
      <c r="J265" s="1422"/>
      <c r="K265" s="1422"/>
      <c r="L265" s="1414"/>
      <c r="M265" s="1414"/>
      <c r="N265" s="1414"/>
      <c r="O265" s="1414"/>
      <c r="P265" s="1414"/>
      <c r="Q265" s="1222"/>
    </row>
    <row r="266" spans="1:31" ht="11.45" customHeight="1">
      <c r="A266" s="3060" t="s">
        <v>4337</v>
      </c>
      <c r="B266" s="3061"/>
      <c r="C266" s="3061"/>
      <c r="D266" s="3061"/>
      <c r="E266" s="3061"/>
      <c r="F266" s="3061"/>
      <c r="G266" s="3061"/>
      <c r="H266" s="3061"/>
      <c r="I266" s="3061"/>
      <c r="J266" s="3061"/>
      <c r="K266" s="3061"/>
      <c r="L266" s="3061"/>
      <c r="M266" s="3061"/>
      <c r="N266" s="3061"/>
      <c r="O266" s="3061"/>
      <c r="P266" s="3061"/>
      <c r="Q266" s="3062"/>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4"/>
      <c r="B269" s="1422"/>
      <c r="C269" s="1421"/>
      <c r="D269" s="1421"/>
      <c r="E269" s="1421"/>
      <c r="F269" s="1421"/>
      <c r="G269" s="1421"/>
      <c r="H269" s="1421"/>
      <c r="I269" s="1421"/>
      <c r="J269" s="1421"/>
      <c r="K269" s="1421"/>
      <c r="L269" s="1421"/>
      <c r="M269" s="1421"/>
      <c r="Q269" s="1414"/>
    </row>
    <row r="270" spans="1:31" ht="13.9" customHeight="1">
      <c r="A270" s="1428">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8" t="s">
        <v>1837</v>
      </c>
      <c r="M272" s="3079"/>
      <c r="N272" s="3079"/>
      <c r="O272" s="3114"/>
      <c r="P272" s="1738" t="s">
        <v>1837</v>
      </c>
      <c r="Q272" s="1739"/>
    </row>
    <row r="273" spans="1:32" ht="11.45" customHeight="1">
      <c r="B273" s="48" t="s">
        <v>2061</v>
      </c>
      <c r="C273" s="54" t="s">
        <v>2934</v>
      </c>
      <c r="D273" s="54"/>
      <c r="E273" s="54"/>
      <c r="F273" s="54"/>
      <c r="G273" s="54"/>
      <c r="H273" s="54"/>
      <c r="I273" s="43"/>
      <c r="J273" s="43"/>
      <c r="K273" s="525" t="s">
        <v>2061</v>
      </c>
      <c r="L273" s="3134"/>
      <c r="M273" s="3135"/>
      <c r="N273" s="3135"/>
      <c r="O273" s="3136"/>
      <c r="P273" s="1761"/>
      <c r="Q273" s="1762"/>
    </row>
    <row r="274" spans="1:32" s="158" customFormat="1" ht="11.45" customHeight="1">
      <c r="B274" s="48" t="s">
        <v>779</v>
      </c>
      <c r="C274" s="54" t="s">
        <v>2019</v>
      </c>
      <c r="D274" s="54"/>
      <c r="E274" s="54"/>
      <c r="F274" s="54"/>
      <c r="G274" s="54"/>
      <c r="H274" s="54"/>
      <c r="I274" s="100"/>
      <c r="J274" s="100"/>
      <c r="K274" s="525" t="s">
        <v>779</v>
      </c>
      <c r="L274" s="3115"/>
      <c r="M274" s="3116"/>
      <c r="N274" s="3116"/>
      <c r="O274" s="3117"/>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5"/>
      <c r="Q275" s="630"/>
      <c r="AE275" s="529"/>
      <c r="AF275" s="529"/>
    </row>
    <row r="276" spans="1:32" s="158" customFormat="1" ht="22.15" customHeight="1">
      <c r="B276" s="152" t="s">
        <v>1801</v>
      </c>
      <c r="C276" s="1718" t="s">
        <v>2857</v>
      </c>
      <c r="D276" s="1718"/>
      <c r="E276" s="1718"/>
      <c r="F276" s="1718"/>
      <c r="G276" s="1718"/>
      <c r="H276" s="1718"/>
      <c r="I276" s="1718"/>
      <c r="J276" s="1718"/>
      <c r="K276" s="1718"/>
      <c r="L276" s="1718"/>
      <c r="M276" s="1718"/>
      <c r="N276" s="1718"/>
      <c r="O276" s="174" t="s">
        <v>1801</v>
      </c>
      <c r="P276" s="3096"/>
      <c r="Q276" s="632"/>
      <c r="T276" s="529"/>
      <c r="AE276" s="529"/>
      <c r="AF276" s="529"/>
    </row>
    <row r="277" spans="1:32" ht="11.25" customHeight="1">
      <c r="B277" s="151" t="s">
        <v>1936</v>
      </c>
      <c r="D277" s="151"/>
      <c r="E277" s="151"/>
      <c r="F277" s="151"/>
      <c r="G277" s="151"/>
      <c r="H277" s="41"/>
      <c r="I277" s="1422"/>
      <c r="J277" s="1422"/>
      <c r="K277" s="1422"/>
      <c r="L277" s="1414"/>
      <c r="M277" s="1414"/>
      <c r="N277" s="1414"/>
      <c r="O277" s="1414"/>
      <c r="P277" s="1414"/>
      <c r="Q277" s="1222"/>
    </row>
    <row r="278" spans="1:32" ht="13.15" customHeight="1">
      <c r="A278" s="3060" t="s">
        <v>4338</v>
      </c>
      <c r="B278" s="3061"/>
      <c r="C278" s="3061"/>
      <c r="D278" s="3061"/>
      <c r="E278" s="3061"/>
      <c r="F278" s="3061"/>
      <c r="G278" s="3061"/>
      <c r="H278" s="3061"/>
      <c r="I278" s="3061"/>
      <c r="J278" s="3061"/>
      <c r="K278" s="3061"/>
      <c r="L278" s="3061"/>
      <c r="M278" s="3061"/>
      <c r="N278" s="3061"/>
      <c r="O278" s="3061"/>
      <c r="P278" s="3061"/>
      <c r="Q278" s="3062"/>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4"/>
      <c r="B281" s="1422"/>
      <c r="C281" s="1421"/>
      <c r="D281" s="1421"/>
      <c r="E281" s="1421"/>
      <c r="F281" s="1421"/>
      <c r="G281" s="1421"/>
      <c r="H281" s="1421"/>
      <c r="I281" s="1421"/>
      <c r="J281" s="1421"/>
      <c r="K281" s="1421"/>
      <c r="L281" s="1421"/>
      <c r="M281" s="1421"/>
      <c r="Q281" s="1414"/>
    </row>
    <row r="282" spans="1:32" ht="13.9" customHeight="1">
      <c r="A282" s="1428">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18" t="s">
        <v>2935</v>
      </c>
      <c r="D284" s="1718"/>
      <c r="E284" s="1718"/>
      <c r="F284" s="1718"/>
      <c r="G284" s="1718"/>
      <c r="H284" s="1718"/>
      <c r="I284" s="1718"/>
      <c r="J284" s="1718"/>
      <c r="K284" s="1718"/>
      <c r="L284" s="1718"/>
      <c r="M284" s="1718"/>
      <c r="N284" s="1718"/>
      <c r="O284" s="174" t="s">
        <v>2058</v>
      </c>
      <c r="P284" s="3137" t="s">
        <v>3152</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6" t="s">
        <v>3152</v>
      </c>
      <c r="Q285" s="632"/>
      <c r="AE285" s="529"/>
      <c r="AF285" s="529"/>
    </row>
    <row r="286" spans="1:32" ht="11.25" customHeight="1">
      <c r="B286" s="151" t="s">
        <v>1936</v>
      </c>
      <c r="D286" s="151"/>
      <c r="E286" s="151"/>
      <c r="F286" s="151"/>
      <c r="G286" s="151"/>
      <c r="H286" s="41"/>
      <c r="I286" s="1422"/>
      <c r="J286" s="1422"/>
      <c r="K286" s="1422"/>
      <c r="L286" s="1414"/>
      <c r="M286" s="1414"/>
      <c r="N286" s="1414"/>
      <c r="O286" s="1414"/>
      <c r="P286" s="1414"/>
      <c r="Q286" s="1222"/>
    </row>
    <row r="287" spans="1:32" ht="13.15" customHeight="1">
      <c r="A287" s="3060" t="s">
        <v>4339</v>
      </c>
      <c r="B287" s="3061"/>
      <c r="C287" s="3061"/>
      <c r="D287" s="3061"/>
      <c r="E287" s="3061"/>
      <c r="F287" s="3061"/>
      <c r="G287" s="3061"/>
      <c r="H287" s="3061"/>
      <c r="I287" s="3061"/>
      <c r="J287" s="3061"/>
      <c r="K287" s="3061"/>
      <c r="L287" s="3061"/>
      <c r="M287" s="3061"/>
      <c r="N287" s="3061"/>
      <c r="O287" s="3061"/>
      <c r="P287" s="3061"/>
      <c r="Q287" s="3062"/>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8">
        <v>17</v>
      </c>
      <c r="B290" s="1428" t="s">
        <v>2758</v>
      </c>
      <c r="C290" s="1428"/>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44" t="s">
        <v>2936</v>
      </c>
      <c r="D292" s="1565"/>
      <c r="E292" s="1565"/>
      <c r="F292" s="1565"/>
      <c r="G292" s="1565"/>
      <c r="H292" s="1565"/>
      <c r="I292" s="1565"/>
      <c r="J292" s="1565"/>
      <c r="K292" s="1565"/>
      <c r="L292" s="1565"/>
      <c r="M292" s="1565"/>
      <c r="N292" s="1565"/>
      <c r="O292" s="174" t="s">
        <v>2058</v>
      </c>
      <c r="P292" s="3095" t="s">
        <v>4299</v>
      </c>
      <c r="Q292" s="630"/>
      <c r="AE292" s="530"/>
      <c r="AF292" s="530"/>
    </row>
    <row r="293" spans="1:32" s="465" customFormat="1" ht="21.75" customHeight="1">
      <c r="B293" s="152" t="s">
        <v>2061</v>
      </c>
      <c r="C293" s="1744" t="s">
        <v>2937</v>
      </c>
      <c r="D293" s="1565"/>
      <c r="E293" s="1565"/>
      <c r="F293" s="1565"/>
      <c r="G293" s="1565"/>
      <c r="H293" s="1565"/>
      <c r="I293" s="1565"/>
      <c r="J293" s="1565"/>
      <c r="K293" s="1565"/>
      <c r="L293" s="1565"/>
      <c r="M293" s="1565"/>
      <c r="N293" s="1565"/>
      <c r="O293" s="174" t="s">
        <v>2061</v>
      </c>
      <c r="P293" s="3096" t="s">
        <v>4299</v>
      </c>
      <c r="Q293" s="632"/>
      <c r="AE293" s="530"/>
      <c r="AF293" s="530"/>
    </row>
    <row r="294" spans="1:32" ht="11.25" customHeight="1">
      <c r="B294" s="151" t="s">
        <v>1936</v>
      </c>
      <c r="D294" s="151"/>
      <c r="E294" s="151"/>
      <c r="F294" s="151"/>
      <c r="G294" s="151"/>
      <c r="H294" s="41"/>
      <c r="I294" s="1422"/>
      <c r="J294" s="1422"/>
      <c r="K294" s="1422"/>
      <c r="L294" s="1414"/>
      <c r="M294" s="1414"/>
      <c r="N294" s="1414"/>
      <c r="O294" s="1414"/>
      <c r="P294" s="1414"/>
      <c r="Q294" s="1222"/>
    </row>
    <row r="295" spans="1:32" ht="13.15" customHeight="1">
      <c r="A295" s="3060" t="s">
        <v>4340</v>
      </c>
      <c r="B295" s="3061"/>
      <c r="C295" s="3061"/>
      <c r="D295" s="3061"/>
      <c r="E295" s="3061"/>
      <c r="F295" s="3061"/>
      <c r="G295" s="3061"/>
      <c r="H295" s="3061"/>
      <c r="I295" s="3061"/>
      <c r="J295" s="3061"/>
      <c r="K295" s="3061"/>
      <c r="L295" s="3061"/>
      <c r="M295" s="3061"/>
      <c r="N295" s="3061"/>
      <c r="O295" s="3061"/>
      <c r="P295" s="3061"/>
      <c r="Q295" s="3062"/>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8">
        <v>18</v>
      </c>
      <c r="B298" s="1428" t="s">
        <v>2759</v>
      </c>
      <c r="C298" s="159"/>
      <c r="D298" s="1427"/>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44" t="s">
        <v>3733</v>
      </c>
      <c r="E300" s="1744"/>
      <c r="F300" s="1744"/>
      <c r="G300" s="1744"/>
      <c r="H300" s="1744"/>
      <c r="I300" s="1744"/>
      <c r="J300" s="1744"/>
      <c r="K300" s="1744"/>
      <c r="L300" s="1744"/>
      <c r="M300" s="1744"/>
      <c r="N300" s="1744"/>
      <c r="O300" s="174" t="s">
        <v>2833</v>
      </c>
      <c r="P300" s="3137" t="s">
        <v>3152</v>
      </c>
      <c r="Q300" s="630"/>
      <c r="AE300" s="529"/>
      <c r="AF300" s="529"/>
    </row>
    <row r="301" spans="1:32" s="465" customFormat="1" ht="21.75" customHeight="1">
      <c r="B301" s="152"/>
      <c r="C301" s="160" t="s">
        <v>1804</v>
      </c>
      <c r="D301" s="1744" t="s">
        <v>3717</v>
      </c>
      <c r="E301" s="1744"/>
      <c r="F301" s="1744"/>
      <c r="G301" s="1744"/>
      <c r="H301" s="1744"/>
      <c r="I301" s="1744"/>
      <c r="J301" s="1744"/>
      <c r="K301" s="1744"/>
      <c r="L301" s="1744"/>
      <c r="M301" s="1744"/>
      <c r="N301" s="1744"/>
      <c r="O301" s="160" t="s">
        <v>1804</v>
      </c>
      <c r="P301" s="3099" t="s">
        <v>3155</v>
      </c>
      <c r="Q301" s="634"/>
      <c r="AE301" s="530"/>
      <c r="AF301" s="530"/>
    </row>
    <row r="302" spans="1:32" s="100" customFormat="1" ht="11.25" customHeight="1">
      <c r="B302" s="48"/>
      <c r="C302" s="525" t="s">
        <v>1805</v>
      </c>
      <c r="D302" s="1746" t="s">
        <v>4052</v>
      </c>
      <c r="E302" s="1746"/>
      <c r="F302" s="1746"/>
      <c r="G302" s="1746"/>
      <c r="H302" s="1746"/>
      <c r="I302" s="1746"/>
      <c r="J302" s="1746"/>
      <c r="K302" s="1746"/>
      <c r="L302" s="1746"/>
      <c r="M302" s="1746"/>
      <c r="N302" s="1746"/>
      <c r="O302" s="525" t="s">
        <v>1805</v>
      </c>
      <c r="P302" s="3138" t="s">
        <v>3152</v>
      </c>
      <c r="Q302" s="1265"/>
      <c r="AE302" s="531"/>
      <c r="AF302" s="531"/>
    </row>
    <row r="303" spans="1:32" s="100" customFormat="1" ht="11.25" customHeight="1">
      <c r="B303" s="152" t="s">
        <v>2061</v>
      </c>
      <c r="C303" s="160" t="s">
        <v>1803</v>
      </c>
      <c r="D303" s="1744" t="s">
        <v>4053</v>
      </c>
      <c r="E303" s="1744"/>
      <c r="F303" s="1744"/>
      <c r="G303" s="1744"/>
      <c r="H303" s="1744"/>
      <c r="I303" s="1744"/>
      <c r="J303" s="1744"/>
      <c r="K303" s="1744"/>
      <c r="L303" s="1744"/>
      <c r="M303" s="1744"/>
      <c r="N303" s="1744"/>
      <c r="O303" s="525" t="s">
        <v>4055</v>
      </c>
      <c r="P303" s="3095" t="s">
        <v>3152</v>
      </c>
      <c r="Q303" s="630"/>
      <c r="AE303" s="531"/>
      <c r="AF303" s="531"/>
    </row>
    <row r="304" spans="1:32" s="100" customFormat="1" ht="11.25" customHeight="1">
      <c r="B304" s="152"/>
      <c r="C304" s="160"/>
      <c r="D304" s="1744" t="s">
        <v>4054</v>
      </c>
      <c r="E304" s="1744"/>
      <c r="F304" s="1744"/>
      <c r="G304" s="1744"/>
      <c r="H304" s="1744"/>
      <c r="I304" s="1744"/>
      <c r="J304" s="1744"/>
      <c r="K304" s="1744"/>
      <c r="L304" s="1744"/>
      <c r="M304" s="1744"/>
      <c r="N304" s="1744"/>
      <c r="O304" s="525" t="s">
        <v>2195</v>
      </c>
      <c r="P304" s="3098" t="s">
        <v>3152</v>
      </c>
      <c r="Q304" s="631"/>
      <c r="AE304" s="531"/>
      <c r="AF304" s="531"/>
    </row>
    <row r="305" spans="1:32" s="100" customFormat="1" ht="11.25" customHeight="1">
      <c r="B305" s="152"/>
      <c r="C305" s="160" t="s">
        <v>1804</v>
      </c>
      <c r="D305" s="1744" t="s">
        <v>2832</v>
      </c>
      <c r="E305" s="1744"/>
      <c r="F305" s="1744"/>
      <c r="G305" s="1744"/>
      <c r="H305" s="1744"/>
      <c r="I305" s="1744"/>
      <c r="J305" s="1744"/>
      <c r="K305" s="1744"/>
      <c r="L305" s="1744"/>
      <c r="M305" s="1744"/>
      <c r="N305" s="1744"/>
      <c r="O305" s="525" t="s">
        <v>1804</v>
      </c>
      <c r="P305" s="3096" t="s">
        <v>3152</v>
      </c>
      <c r="Q305" s="632"/>
      <c r="AE305" s="531"/>
      <c r="AF305" s="531"/>
    </row>
    <row r="306" spans="1:32" s="100" customFormat="1" ht="21.75" customHeight="1">
      <c r="B306" s="152" t="s">
        <v>779</v>
      </c>
      <c r="C306" s="1751" t="s">
        <v>4057</v>
      </c>
      <c r="D306" s="1751"/>
      <c r="E306" s="1751"/>
      <c r="F306" s="1751"/>
      <c r="G306" s="1751"/>
      <c r="H306" s="1751"/>
      <c r="I306" s="1751"/>
      <c r="J306" s="1751"/>
      <c r="K306" s="1751"/>
      <c r="L306" s="1751"/>
      <c r="M306" s="1751"/>
      <c r="N306" s="1751"/>
      <c r="O306" s="174" t="s">
        <v>779</v>
      </c>
      <c r="P306" s="3139" t="s">
        <v>3152</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4056</v>
      </c>
      <c r="E308" s="1744"/>
      <c r="F308" s="1744"/>
      <c r="G308" s="1744"/>
      <c r="H308" s="1744"/>
      <c r="I308" s="1744"/>
      <c r="J308" s="1744"/>
      <c r="K308" s="1744"/>
      <c r="L308" s="1744"/>
      <c r="M308" s="1744"/>
      <c r="N308" s="1744"/>
      <c r="O308" s="174" t="s">
        <v>4061</v>
      </c>
      <c r="P308" s="3137" t="s">
        <v>3152</v>
      </c>
      <c r="Q308" s="633"/>
      <c r="AE308" s="530"/>
      <c r="AF308" s="530"/>
    </row>
    <row r="309" spans="1:32" s="465" customFormat="1" ht="11.25" customHeight="1">
      <c r="B309" s="152"/>
      <c r="C309" s="160" t="s">
        <v>1804</v>
      </c>
      <c r="D309" s="1744" t="s">
        <v>4128</v>
      </c>
      <c r="E309" s="1744"/>
      <c r="F309" s="1744"/>
      <c r="G309" s="1744"/>
      <c r="H309" s="1744"/>
      <c r="I309" s="1744"/>
      <c r="J309" s="1744"/>
      <c r="K309" s="1744"/>
      <c r="L309" s="1744"/>
      <c r="M309" s="1744"/>
      <c r="N309" s="1744"/>
      <c r="O309" s="174" t="s">
        <v>4062</v>
      </c>
      <c r="P309" s="3099" t="s">
        <v>3152</v>
      </c>
      <c r="Q309" s="634"/>
      <c r="AE309" s="530"/>
      <c r="AF309" s="530"/>
    </row>
    <row r="310" spans="1:32" s="465" customFormat="1" ht="32.25" customHeight="1">
      <c r="B310" s="152"/>
      <c r="C310" s="174" t="s">
        <v>1805</v>
      </c>
      <c r="D310" s="1744" t="s">
        <v>4059</v>
      </c>
      <c r="E310" s="1744"/>
      <c r="F310" s="1744"/>
      <c r="G310" s="1744"/>
      <c r="H310" s="1744"/>
      <c r="I310" s="1744"/>
      <c r="J310" s="1744"/>
      <c r="K310" s="1744"/>
      <c r="L310" s="1744"/>
      <c r="M310" s="1744"/>
      <c r="N310" s="1744"/>
      <c r="O310" s="174" t="s">
        <v>4063</v>
      </c>
      <c r="P310" s="3099" t="s">
        <v>3152</v>
      </c>
      <c r="Q310" s="634"/>
      <c r="AE310" s="530"/>
      <c r="AF310" s="530"/>
    </row>
    <row r="311" spans="1:32" s="465" customFormat="1" ht="32.25" customHeight="1">
      <c r="B311" s="152"/>
      <c r="C311" s="174" t="s">
        <v>2448</v>
      </c>
      <c r="D311" s="1744" t="s">
        <v>4060</v>
      </c>
      <c r="E311" s="1744"/>
      <c r="F311" s="1744"/>
      <c r="G311" s="1744"/>
      <c r="H311" s="1744"/>
      <c r="I311" s="1744"/>
      <c r="J311" s="1744"/>
      <c r="K311" s="1744"/>
      <c r="L311" s="1744"/>
      <c r="M311" s="1744"/>
      <c r="N311" s="1744"/>
      <c r="O311" s="174" t="s">
        <v>4064</v>
      </c>
      <c r="P311" s="3140" t="s">
        <v>3152</v>
      </c>
      <c r="Q311" s="635"/>
      <c r="AE311" s="530"/>
      <c r="AF311" s="530"/>
    </row>
    <row r="312" spans="1:32" ht="11.25" customHeight="1">
      <c r="B312" s="151" t="s">
        <v>1936</v>
      </c>
      <c r="D312" s="151"/>
      <c r="E312" s="151"/>
      <c r="F312" s="151"/>
      <c r="G312" s="151"/>
      <c r="H312" s="41"/>
      <c r="I312" s="1422"/>
      <c r="J312" s="1422"/>
      <c r="K312" s="1422"/>
      <c r="L312" s="1414"/>
      <c r="M312" s="1414"/>
      <c r="N312" s="1414"/>
      <c r="O312" s="1414"/>
      <c r="P312" s="1414"/>
      <c r="Q312" s="1222"/>
    </row>
    <row r="313" spans="1:32" ht="11.45" customHeight="1">
      <c r="A313" s="3060" t="s">
        <v>4341</v>
      </c>
      <c r="B313" s="3061"/>
      <c r="C313" s="3061"/>
      <c r="D313" s="3061"/>
      <c r="E313" s="3061"/>
      <c r="F313" s="3061"/>
      <c r="G313" s="3061"/>
      <c r="H313" s="3061"/>
      <c r="I313" s="3061"/>
      <c r="J313" s="3061"/>
      <c r="K313" s="3061"/>
      <c r="L313" s="3061"/>
      <c r="M313" s="3061"/>
      <c r="N313" s="3061"/>
      <c r="O313" s="3061"/>
      <c r="P313" s="3061"/>
      <c r="Q313" s="3062"/>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8">
        <v>19</v>
      </c>
      <c r="B316" s="10" t="s">
        <v>2760</v>
      </c>
      <c r="C316" s="10"/>
      <c r="D316" s="10"/>
      <c r="E316" s="10"/>
      <c r="F316" s="10"/>
      <c r="G316" s="10"/>
      <c r="H316" s="1421"/>
      <c r="I316" s="1421"/>
      <c r="J316" s="1421"/>
      <c r="K316" s="1421"/>
      <c r="L316" s="1421"/>
      <c r="M316" s="1421"/>
      <c r="O316" s="142" t="s">
        <v>1938</v>
      </c>
      <c r="P316" s="1763"/>
      <c r="Q316" s="1764"/>
    </row>
    <row r="317" spans="1:32" ht="11.45" customHeight="1">
      <c r="B317" s="155" t="s">
        <v>2332</v>
      </c>
      <c r="P317" s="3095" t="s">
        <v>3155</v>
      </c>
      <c r="Q317" s="630"/>
    </row>
    <row r="318" spans="1:32" ht="12" customHeight="1">
      <c r="B318" s="1178" t="s">
        <v>2290</v>
      </c>
      <c r="C318" s="1178"/>
      <c r="D318" s="1178"/>
      <c r="E318" s="1178"/>
      <c r="F318" s="1178"/>
      <c r="G318" s="1178"/>
      <c r="H318" s="1178"/>
      <c r="I318" s="1178"/>
      <c r="J318" s="1178"/>
      <c r="K318" s="1178"/>
      <c r="L318" s="1178"/>
      <c r="P318" s="3096" t="s">
        <v>3152</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4" t="s">
        <v>3019</v>
      </c>
      <c r="D320" s="1744"/>
      <c r="E320" s="1744"/>
      <c r="F320" s="1744"/>
      <c r="G320" s="1744"/>
      <c r="H320" s="1744"/>
      <c r="I320" s="1744"/>
      <c r="J320" s="1744"/>
      <c r="K320" s="1744"/>
      <c r="L320" s="1744"/>
      <c r="M320" s="1744"/>
      <c r="N320" s="1744"/>
      <c r="O320" s="174" t="s">
        <v>2058</v>
      </c>
      <c r="P320" s="3141"/>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4"/>
      <c r="Q321" s="1222"/>
    </row>
    <row r="322" spans="1:256 1523:1523" ht="23.25" customHeight="1">
      <c r="A322" s="154"/>
      <c r="C322" s="232" t="s">
        <v>1803</v>
      </c>
      <c r="D322" s="233" t="s">
        <v>1170</v>
      </c>
      <c r="E322" s="143"/>
      <c r="F322" s="143"/>
      <c r="G322" s="3142" t="s">
        <v>1499</v>
      </c>
      <c r="H322" s="3143"/>
      <c r="I322" s="3143"/>
      <c r="J322" s="3143"/>
      <c r="K322" s="3143"/>
      <c r="L322" s="3143"/>
      <c r="M322" s="3143"/>
      <c r="N322" s="3144"/>
      <c r="O322" s="236" t="s">
        <v>1803</v>
      </c>
      <c r="P322" s="3137" t="s">
        <v>3152</v>
      </c>
      <c r="Q322" s="633"/>
      <c r="BFO322" s="158" t="s">
        <v>2834</v>
      </c>
    </row>
    <row r="323" spans="1:256 1523:1523" ht="23.25" customHeight="1">
      <c r="A323" s="154"/>
      <c r="C323" s="232" t="s">
        <v>1804</v>
      </c>
      <c r="D323" s="1718" t="s">
        <v>1171</v>
      </c>
      <c r="E323" s="1771"/>
      <c r="F323" s="1772"/>
      <c r="G323" s="3131" t="s">
        <v>2743</v>
      </c>
      <c r="H323" s="3145"/>
      <c r="I323" s="3145"/>
      <c r="J323" s="3145"/>
      <c r="K323" s="3145"/>
      <c r="L323" s="3145"/>
      <c r="M323" s="3145"/>
      <c r="N323" s="3146"/>
      <c r="O323" s="236" t="s">
        <v>1804</v>
      </c>
      <c r="P323" s="3140" t="s">
        <v>3152</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7" t="s">
        <v>779</v>
      </c>
      <c r="P325" s="1414"/>
      <c r="Q325" s="1222"/>
      <c r="AE325" s="528"/>
      <c r="AF325" s="528"/>
    </row>
    <row r="326" spans="1:256 1523:1523" s="143" customFormat="1" ht="11.25" customHeight="1">
      <c r="A326" s="154"/>
      <c r="C326" s="232" t="s">
        <v>1803</v>
      </c>
      <c r="D326" s="3128"/>
      <c r="E326" s="3129"/>
      <c r="F326" s="3129"/>
      <c r="G326" s="3129"/>
      <c r="H326" s="3129"/>
      <c r="I326" s="3129"/>
      <c r="J326" s="3129"/>
      <c r="K326" s="3129"/>
      <c r="L326" s="3129"/>
      <c r="M326" s="3129"/>
      <c r="N326" s="3130"/>
      <c r="O326" s="236" t="s">
        <v>1803</v>
      </c>
      <c r="P326" s="3137"/>
      <c r="Q326" s="633"/>
      <c r="AE326" s="528"/>
      <c r="AF326" s="528"/>
    </row>
    <row r="327" spans="1:256 1523:1523" s="143" customFormat="1" ht="11.25" customHeight="1">
      <c r="A327" s="154"/>
      <c r="C327" s="232" t="s">
        <v>1804</v>
      </c>
      <c r="D327" s="3131"/>
      <c r="E327" s="3132"/>
      <c r="F327" s="3132"/>
      <c r="G327" s="3132"/>
      <c r="H327" s="3132"/>
      <c r="I327" s="3132"/>
      <c r="J327" s="3132"/>
      <c r="K327" s="3132"/>
      <c r="L327" s="3132"/>
      <c r="M327" s="3132"/>
      <c r="N327" s="3133"/>
      <c r="O327" s="236" t="s">
        <v>1804</v>
      </c>
      <c r="P327" s="3140"/>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1936</v>
      </c>
      <c r="D329" s="151"/>
      <c r="E329" s="151"/>
      <c r="F329" s="151"/>
      <c r="G329" s="151"/>
      <c r="H329" s="41"/>
      <c r="I329" s="1422"/>
      <c r="J329" s="1422"/>
      <c r="K329" s="1422"/>
      <c r="L329" s="1414"/>
      <c r="M329" s="1414"/>
      <c r="N329" s="1414"/>
      <c r="O329" s="1414"/>
      <c r="P329" s="1414"/>
      <c r="Q329" s="1222"/>
    </row>
    <row r="330" spans="1:256 1523:1523" ht="11.45" customHeight="1">
      <c r="A330" s="3060" t="s">
        <v>4349</v>
      </c>
      <c r="B330" s="3061"/>
      <c r="C330" s="3061"/>
      <c r="D330" s="3061"/>
      <c r="E330" s="3061"/>
      <c r="F330" s="3061"/>
      <c r="G330" s="3061"/>
      <c r="H330" s="3061"/>
      <c r="I330" s="3061"/>
      <c r="J330" s="3061"/>
      <c r="K330" s="3061"/>
      <c r="L330" s="3061"/>
      <c r="M330" s="3061"/>
      <c r="N330" s="3061"/>
      <c r="O330" s="3061"/>
      <c r="P330" s="3061"/>
      <c r="Q330" s="3062"/>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8">
        <v>20</v>
      </c>
      <c r="B333" s="1428" t="s">
        <v>3024</v>
      </c>
      <c r="C333" s="1428"/>
      <c r="D333" s="1421"/>
      <c r="E333" s="1421"/>
      <c r="F333" s="1421"/>
      <c r="G333" s="1421"/>
      <c r="H333" s="1421"/>
      <c r="O333" s="142" t="s">
        <v>1938</v>
      </c>
      <c r="P333" s="1711"/>
      <c r="Q333" s="1712"/>
    </row>
    <row r="334" spans="1:256 1523:1523" ht="11.45" customHeight="1">
      <c r="B334" s="57" t="s">
        <v>3025</v>
      </c>
      <c r="P334" s="3095" t="s">
        <v>3152</v>
      </c>
      <c r="Q334" s="630"/>
    </row>
    <row r="335" spans="1:256 1523:1523" ht="11.45" customHeight="1">
      <c r="B335" s="155" t="s">
        <v>2431</v>
      </c>
      <c r="P335" s="3096" t="s">
        <v>3155</v>
      </c>
      <c r="Q335" s="632"/>
    </row>
    <row r="336" spans="1:256 1523:1523" ht="11.45" customHeight="1">
      <c r="B336" s="57" t="s">
        <v>3026</v>
      </c>
      <c r="M336" s="3147" t="s">
        <v>3028</v>
      </c>
      <c r="N336" s="3148"/>
      <c r="O336" s="3149"/>
    </row>
    <row r="337" spans="1:31" ht="11.45" customHeight="1">
      <c r="B337" s="460" t="s">
        <v>2432</v>
      </c>
      <c r="M337" s="1756" t="s">
        <v>3027</v>
      </c>
      <c r="N337" s="1757"/>
      <c r="O337" s="1758"/>
    </row>
    <row r="338" spans="1:31" ht="11.25" customHeight="1">
      <c r="B338" s="151" t="s">
        <v>1936</v>
      </c>
      <c r="D338" s="151"/>
      <c r="E338" s="151"/>
      <c r="F338" s="151"/>
      <c r="G338" s="151"/>
      <c r="H338" s="41"/>
      <c r="I338" s="1422"/>
      <c r="J338" s="1422"/>
      <c r="K338" s="1422"/>
      <c r="L338" s="1414"/>
      <c r="M338" s="1414"/>
      <c r="N338" s="1414"/>
      <c r="O338" s="1414"/>
      <c r="P338" s="1414"/>
      <c r="Q338" s="1222"/>
    </row>
    <row r="339" spans="1:31" ht="13.15" customHeight="1">
      <c r="A339" s="3060" t="s">
        <v>4350</v>
      </c>
      <c r="B339" s="3061"/>
      <c r="C339" s="3061"/>
      <c r="D339" s="3061"/>
      <c r="E339" s="3061"/>
      <c r="F339" s="3061"/>
      <c r="G339" s="3061"/>
      <c r="H339" s="3061"/>
      <c r="I339" s="3061"/>
      <c r="J339" s="3061"/>
      <c r="K339" s="3061"/>
      <c r="L339" s="3061"/>
      <c r="M339" s="3061"/>
      <c r="N339" s="3061"/>
      <c r="O339" s="3061"/>
      <c r="P339" s="3061"/>
      <c r="Q339" s="3062"/>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8">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18" t="s">
        <v>4087</v>
      </c>
      <c r="D343" s="1718"/>
      <c r="E343" s="1718"/>
      <c r="F343" s="1718"/>
      <c r="G343" s="1718"/>
      <c r="H343" s="1718"/>
      <c r="I343" s="1718"/>
      <c r="J343" s="1718"/>
      <c r="K343" s="1718"/>
      <c r="L343" s="1718"/>
      <c r="M343" s="1718"/>
      <c r="N343" s="1718"/>
      <c r="O343" s="174" t="s">
        <v>2058</v>
      </c>
      <c r="P343" s="3095" t="s">
        <v>3152</v>
      </c>
      <c r="Q343" s="630"/>
    </row>
    <row r="344" spans="1:31">
      <c r="B344" s="152" t="s">
        <v>2061</v>
      </c>
      <c r="C344" s="1718" t="s">
        <v>4088</v>
      </c>
      <c r="D344" s="1718"/>
      <c r="E344" s="1718"/>
      <c r="F344" s="1718"/>
      <c r="G344" s="1718"/>
      <c r="H344" s="1718"/>
      <c r="I344" s="1718"/>
      <c r="J344" s="1718"/>
      <c r="K344" s="1718"/>
      <c r="L344" s="1718"/>
      <c r="M344" s="1718"/>
      <c r="N344" s="1718"/>
      <c r="O344" s="174" t="s">
        <v>2061</v>
      </c>
      <c r="P344" s="3098" t="s">
        <v>3155</v>
      </c>
      <c r="Q344" s="631"/>
    </row>
    <row r="345" spans="1:31" ht="22.5" customHeight="1">
      <c r="B345" s="152" t="s">
        <v>779</v>
      </c>
      <c r="C345" s="1718" t="s">
        <v>3734</v>
      </c>
      <c r="D345" s="1718"/>
      <c r="E345" s="1718"/>
      <c r="F345" s="1718"/>
      <c r="G345" s="1718"/>
      <c r="H345" s="1718"/>
      <c r="I345" s="1718"/>
      <c r="J345" s="1718"/>
      <c r="K345" s="1718"/>
      <c r="L345" s="1718"/>
      <c r="M345" s="1718"/>
      <c r="N345" s="1718"/>
      <c r="O345" s="174" t="s">
        <v>779</v>
      </c>
      <c r="P345" s="3096"/>
      <c r="Q345" s="631"/>
    </row>
    <row r="346" spans="1:31" ht="11.25" customHeight="1">
      <c r="B346" s="151" t="s">
        <v>1936</v>
      </c>
      <c r="D346" s="151"/>
      <c r="E346" s="151"/>
      <c r="F346" s="151"/>
      <c r="G346" s="151"/>
      <c r="H346" s="41"/>
      <c r="I346" s="1422"/>
      <c r="J346" s="1422"/>
      <c r="K346" s="1422"/>
      <c r="L346" s="1414"/>
      <c r="M346" s="1414"/>
      <c r="N346" s="1414"/>
      <c r="O346" s="1414"/>
      <c r="P346" s="1414"/>
      <c r="Q346" s="1222"/>
    </row>
    <row r="347" spans="1:31" ht="11.45" customHeight="1">
      <c r="A347" s="3060" t="s">
        <v>4351</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4"/>
      <c r="B350" s="1422"/>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8">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5" t="s">
        <v>4242</v>
      </c>
      <c r="L352" s="3076"/>
      <c r="M352" s="3076"/>
      <c r="N352" s="3076"/>
      <c r="O352" s="3076"/>
      <c r="P352" s="3077"/>
      <c r="Q352" s="627"/>
    </row>
    <row r="353" spans="1:32" ht="21.75" customHeight="1">
      <c r="B353" s="152" t="s">
        <v>2061</v>
      </c>
      <c r="C353" s="1719" t="s">
        <v>3889</v>
      </c>
      <c r="D353" s="1719"/>
      <c r="E353" s="1719"/>
      <c r="F353" s="1719"/>
      <c r="G353" s="1719"/>
      <c r="H353" s="1719"/>
      <c r="I353" s="1719"/>
      <c r="J353" s="1719"/>
      <c r="K353" s="1719"/>
      <c r="L353" s="1719"/>
      <c r="M353" s="1719"/>
      <c r="N353" s="1719"/>
      <c r="O353" s="174" t="s">
        <v>2061</v>
      </c>
      <c r="P353" s="3137" t="s">
        <v>3152</v>
      </c>
      <c r="Q353" s="630"/>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099" t="s">
        <v>3152</v>
      </c>
      <c r="Q354" s="634"/>
    </row>
    <row r="355" spans="1:32" ht="11.45" customHeight="1">
      <c r="B355" s="48" t="s">
        <v>2193</v>
      </c>
      <c r="C355" s="54" t="s">
        <v>2781</v>
      </c>
      <c r="D355" s="54"/>
      <c r="E355" s="54"/>
      <c r="F355" s="54"/>
      <c r="G355" s="54"/>
      <c r="H355" s="54"/>
      <c r="I355" s="54"/>
      <c r="J355" s="54"/>
      <c r="K355" s="54"/>
      <c r="L355" s="54"/>
      <c r="M355" s="54"/>
      <c r="O355" s="525" t="s">
        <v>2193</v>
      </c>
      <c r="P355" s="3098" t="s">
        <v>3152</v>
      </c>
      <c r="Q355" s="631"/>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50" t="s">
        <v>3152</v>
      </c>
      <c r="Q356" s="1179"/>
      <c r="AE356" s="528"/>
      <c r="AF356" s="528"/>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37" t="s">
        <v>3152</v>
      </c>
      <c r="Q357" s="633"/>
      <c r="AE357" s="528"/>
      <c r="AF357" s="528"/>
    </row>
    <row r="358" spans="1:32" s="143" customFormat="1" ht="11.45" customHeight="1">
      <c r="B358" s="152"/>
      <c r="C358" s="232" t="s">
        <v>1803</v>
      </c>
      <c r="D358" s="1178" t="s">
        <v>3892</v>
      </c>
      <c r="E358" s="1421"/>
      <c r="F358" s="1421"/>
      <c r="G358" s="1421"/>
      <c r="H358" s="1421"/>
      <c r="I358" s="1421"/>
      <c r="J358" s="1421"/>
      <c r="K358" s="1421"/>
      <c r="L358" s="1421"/>
      <c r="M358" s="1421"/>
      <c r="N358" s="1421"/>
      <c r="O358" s="174"/>
      <c r="P358" s="3140" t="s">
        <v>3155</v>
      </c>
      <c r="Q358" s="635"/>
      <c r="AE358" s="528"/>
      <c r="AF358" s="528"/>
    </row>
    <row r="359" spans="1:32" ht="21.75" customHeight="1">
      <c r="B359" s="152" t="s">
        <v>2021</v>
      </c>
      <c r="C359" s="1718" t="s">
        <v>3893</v>
      </c>
      <c r="D359" s="1718"/>
      <c r="E359" s="1718"/>
      <c r="F359" s="1718"/>
      <c r="G359" s="1718"/>
      <c r="H359" s="1718"/>
      <c r="I359" s="1718"/>
      <c r="J359" s="1718"/>
      <c r="K359" s="1718"/>
      <c r="L359" s="1718"/>
      <c r="M359" s="1718"/>
      <c r="N359" s="1718"/>
      <c r="O359" s="174" t="s">
        <v>2021</v>
      </c>
      <c r="P359" s="3137" t="s">
        <v>3152</v>
      </c>
      <c r="Q359" s="633"/>
    </row>
    <row r="360" spans="1:32" ht="33" customHeight="1">
      <c r="B360" s="152" t="s">
        <v>3558</v>
      </c>
      <c r="C360" s="1745" t="s">
        <v>3894</v>
      </c>
      <c r="D360" s="1745"/>
      <c r="E360" s="1745"/>
      <c r="F360" s="1745"/>
      <c r="G360" s="1745"/>
      <c r="H360" s="1745"/>
      <c r="I360" s="1745"/>
      <c r="J360" s="1745"/>
      <c r="K360" s="1745"/>
      <c r="L360" s="1745"/>
      <c r="M360" s="1745"/>
      <c r="N360" s="1745"/>
      <c r="O360" s="174" t="s">
        <v>3558</v>
      </c>
      <c r="P360" s="3140" t="s">
        <v>3152</v>
      </c>
      <c r="Q360" s="635"/>
    </row>
    <row r="361" spans="1:32" ht="11.25" customHeight="1">
      <c r="B361" s="151" t="s">
        <v>1936</v>
      </c>
      <c r="D361" s="151"/>
      <c r="E361" s="151"/>
      <c r="F361" s="151"/>
      <c r="G361" s="151"/>
      <c r="H361" s="41"/>
      <c r="I361" s="1422"/>
      <c r="J361" s="1422"/>
      <c r="K361" s="1422"/>
      <c r="L361" s="1414"/>
      <c r="M361" s="1414"/>
      <c r="N361" s="1414"/>
      <c r="O361" s="1414"/>
      <c r="P361" s="1414"/>
      <c r="Q361" s="1222"/>
    </row>
    <row r="362" spans="1:32" ht="11.45" customHeight="1">
      <c r="A362" s="3060" t="s">
        <v>4352</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4"/>
      <c r="B365" s="1422"/>
      <c r="C365" s="1421"/>
      <c r="D365" s="1421"/>
      <c r="E365" s="1421"/>
      <c r="F365" s="1421"/>
      <c r="G365" s="1421"/>
      <c r="H365" s="1421"/>
      <c r="I365" s="1421"/>
      <c r="J365" s="1421"/>
      <c r="K365" s="1421"/>
      <c r="L365" s="1421"/>
      <c r="M365" s="1421"/>
      <c r="Q365" s="1222"/>
    </row>
    <row r="366" spans="1:32" ht="13.9" customHeight="1">
      <c r="A366" s="1428">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100"/>
      <c r="F367" s="3101"/>
      <c r="G367" s="3101"/>
      <c r="H367" s="3101"/>
      <c r="I367" s="3102"/>
      <c r="J367" s="1767" t="s">
        <v>2765</v>
      </c>
      <c r="K367" s="1768"/>
      <c r="L367" s="1769"/>
      <c r="M367" s="3100"/>
      <c r="N367" s="3101"/>
      <c r="O367" s="3101"/>
      <c r="P367" s="3101"/>
      <c r="Q367" s="3102"/>
    </row>
    <row r="368" spans="1:32" ht="11.45" customHeight="1">
      <c r="B368" s="48" t="s">
        <v>2061</v>
      </c>
      <c r="C368" s="54" t="s">
        <v>3718</v>
      </c>
      <c r="D368" s="54"/>
      <c r="E368" s="54"/>
      <c r="F368" s="54"/>
      <c r="G368" s="54"/>
      <c r="H368" s="54"/>
      <c r="I368" s="54"/>
      <c r="J368" s="54"/>
      <c r="K368" s="54"/>
      <c r="L368" s="1223"/>
      <c r="M368" s="1223"/>
      <c r="O368" s="525" t="s">
        <v>2061</v>
      </c>
      <c r="P368" s="3095"/>
      <c r="Q368" s="630"/>
    </row>
    <row r="369" spans="1:31" ht="22.5" customHeight="1">
      <c r="B369" s="152" t="s">
        <v>779</v>
      </c>
      <c r="C369" s="1719" t="s">
        <v>3735</v>
      </c>
      <c r="D369" s="1719"/>
      <c r="E369" s="1719"/>
      <c r="F369" s="1719"/>
      <c r="G369" s="1719"/>
      <c r="H369" s="1719"/>
      <c r="I369" s="1719"/>
      <c r="J369" s="1719"/>
      <c r="K369" s="1719"/>
      <c r="L369" s="1719"/>
      <c r="M369" s="1719"/>
      <c r="N369" s="1719"/>
      <c r="O369" s="525" t="s">
        <v>779</v>
      </c>
      <c r="P369" s="3096"/>
      <c r="Q369" s="632"/>
    </row>
    <row r="370" spans="1:31">
      <c r="B370" s="48" t="s">
        <v>2193</v>
      </c>
      <c r="C370" s="57" t="s">
        <v>4148</v>
      </c>
      <c r="G370" s="1426"/>
      <c r="H370" s="1426"/>
      <c r="I370" s="1426"/>
      <c r="J370" s="1223" t="s">
        <v>4149</v>
      </c>
      <c r="L370" s="1426"/>
      <c r="M370" s="1759">
        <f>'Part III-Sources of Funds'!E10</f>
        <v>0</v>
      </c>
      <c r="N370" s="1760"/>
      <c r="O370" s="525" t="s">
        <v>2193</v>
      </c>
      <c r="P370" s="3096"/>
      <c r="Q370" s="632"/>
    </row>
    <row r="371" spans="1:31" ht="11.25" customHeight="1">
      <c r="B371" s="151" t="s">
        <v>1936</v>
      </c>
      <c r="D371" s="151"/>
      <c r="E371" s="151"/>
      <c r="F371" s="151"/>
      <c r="G371" s="151"/>
      <c r="H371" s="41"/>
      <c r="I371" s="1422"/>
      <c r="J371" s="1422"/>
      <c r="K371" s="1422"/>
      <c r="L371" s="1414"/>
      <c r="M371" s="1414"/>
      <c r="N371" s="1414"/>
      <c r="O371" s="1414"/>
      <c r="P371" s="1414"/>
      <c r="Q371" s="1222"/>
    </row>
    <row r="372" spans="1:31" ht="11.45" customHeight="1">
      <c r="A372" s="3060" t="s">
        <v>4353</v>
      </c>
      <c r="B372" s="3061"/>
      <c r="C372" s="3061"/>
      <c r="D372" s="3061"/>
      <c r="E372" s="3061"/>
      <c r="F372" s="3061"/>
      <c r="G372" s="3061"/>
      <c r="H372" s="3061"/>
      <c r="I372" s="3061"/>
      <c r="J372" s="3061"/>
      <c r="K372" s="3061"/>
      <c r="L372" s="3061"/>
      <c r="M372" s="3061"/>
      <c r="N372" s="3061"/>
      <c r="O372" s="3061"/>
      <c r="P372" s="3061"/>
      <c r="Q372" s="3062"/>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4"/>
      <c r="B375" s="1422"/>
      <c r="C375" s="1421"/>
      <c r="D375" s="1421"/>
      <c r="E375" s="1421"/>
      <c r="F375" s="1421"/>
      <c r="G375" s="1421"/>
      <c r="H375" s="1421"/>
      <c r="I375" s="1421"/>
      <c r="J375" s="1421"/>
      <c r="K375" s="1421"/>
      <c r="L375" s="1421"/>
      <c r="M375" s="1421"/>
      <c r="Q375" s="1222"/>
    </row>
    <row r="376" spans="1:31" ht="13.9" customHeight="1">
      <c r="A376" s="1428">
        <v>24</v>
      </c>
      <c r="B376" s="4" t="s">
        <v>2762</v>
      </c>
      <c r="C376" s="4"/>
      <c r="D376" s="4"/>
      <c r="E376" s="1421"/>
      <c r="G376" s="150" t="s">
        <v>729</v>
      </c>
      <c r="H376" s="1421"/>
      <c r="I376" s="1421"/>
      <c r="J376" s="1421"/>
      <c r="K376" s="1421"/>
      <c r="L376" s="1421"/>
      <c r="M376" s="1421"/>
      <c r="O376" s="142" t="s">
        <v>1938</v>
      </c>
      <c r="P376" s="1711"/>
      <c r="Q376" s="1750"/>
    </row>
    <row r="377" spans="1:31" ht="12" customHeight="1">
      <c r="A377" s="154"/>
      <c r="B377" s="48" t="s">
        <v>2058</v>
      </c>
      <c r="C377" s="54" t="s">
        <v>2767</v>
      </c>
      <c r="D377" s="1224"/>
      <c r="E377" s="1224"/>
      <c r="H377" s="150"/>
      <c r="O377" s="525" t="s">
        <v>2058</v>
      </c>
      <c r="P377" s="3095" t="s">
        <v>3155</v>
      </c>
      <c r="Q377" s="630"/>
    </row>
    <row r="378" spans="1:31" ht="12" customHeight="1">
      <c r="A378" s="154"/>
      <c r="B378" s="48" t="s">
        <v>2061</v>
      </c>
      <c r="C378" s="54" t="s">
        <v>3895</v>
      </c>
      <c r="D378" s="1224"/>
      <c r="E378" s="1224"/>
      <c r="O378" s="525" t="s">
        <v>2061</v>
      </c>
      <c r="P378" s="3098" t="s">
        <v>3155</v>
      </c>
      <c r="Q378" s="631"/>
    </row>
    <row r="379" spans="1:31" ht="12" customHeight="1">
      <c r="A379" s="154"/>
      <c r="B379" s="48" t="s">
        <v>779</v>
      </c>
      <c r="C379" s="54" t="s">
        <v>3896</v>
      </c>
      <c r="D379" s="1224"/>
      <c r="E379" s="1224"/>
      <c r="O379" s="525" t="s">
        <v>779</v>
      </c>
      <c r="P379" s="3098" t="s">
        <v>3152</v>
      </c>
      <c r="Q379" s="631"/>
    </row>
    <row r="380" spans="1:31" ht="12" customHeight="1">
      <c r="A380" s="154"/>
      <c r="B380" s="48" t="s">
        <v>2193</v>
      </c>
      <c r="C380" s="54" t="s">
        <v>3897</v>
      </c>
      <c r="E380" s="150"/>
      <c r="O380" s="525" t="s">
        <v>2193</v>
      </c>
      <c r="P380" s="3098" t="s">
        <v>3155</v>
      </c>
      <c r="Q380" s="631"/>
    </row>
    <row r="381" spans="1:31" ht="12" customHeight="1">
      <c r="B381" s="48" t="s">
        <v>1801</v>
      </c>
      <c r="C381" s="54" t="s">
        <v>2157</v>
      </c>
      <c r="E381" s="150"/>
      <c r="G381" s="525" t="s">
        <v>1801</v>
      </c>
      <c r="H381" s="3151"/>
      <c r="I381" s="3152"/>
      <c r="J381" s="3152"/>
      <c r="K381" s="3152"/>
      <c r="L381" s="3152"/>
      <c r="M381" s="3152"/>
      <c r="N381" s="3152"/>
      <c r="O381" s="3153"/>
      <c r="P381" s="3096"/>
      <c r="Q381" s="632"/>
    </row>
    <row r="382" spans="1:31" ht="11.25" customHeight="1">
      <c r="B382" s="151" t="s">
        <v>1936</v>
      </c>
      <c r="D382" s="151"/>
      <c r="E382" s="151"/>
      <c r="F382" s="151"/>
      <c r="G382" s="151"/>
      <c r="H382" s="41"/>
      <c r="I382" s="1422"/>
      <c r="J382" s="1422"/>
      <c r="K382" s="1422"/>
      <c r="L382" s="1414"/>
      <c r="M382" s="1414"/>
      <c r="N382" s="1414"/>
      <c r="O382" s="1414"/>
      <c r="P382" s="1414"/>
      <c r="Q382" s="1222"/>
    </row>
    <row r="383" spans="1:31" ht="11.45" customHeight="1">
      <c r="A383" s="3060" t="s">
        <v>4354</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4"/>
      <c r="B386" s="1422"/>
      <c r="C386" s="1421"/>
      <c r="D386" s="1421"/>
      <c r="E386" s="1421"/>
      <c r="F386" s="1421"/>
      <c r="G386" s="1421"/>
      <c r="H386" s="1421"/>
      <c r="I386" s="1421"/>
      <c r="J386" s="1421"/>
      <c r="K386" s="1421"/>
      <c r="L386" s="1421"/>
      <c r="M386" s="1421"/>
      <c r="N386" s="1421"/>
      <c r="O386" s="1421"/>
      <c r="P386" s="1421"/>
      <c r="Q386" s="1414"/>
    </row>
    <row r="387" spans="1:32" ht="13.9" customHeight="1">
      <c r="A387" s="1428">
        <v>25</v>
      </c>
      <c r="B387" s="4" t="s">
        <v>2763</v>
      </c>
      <c r="C387" s="4"/>
      <c r="D387" s="4"/>
      <c r="E387" s="4"/>
      <c r="F387" s="4"/>
      <c r="G387" s="4"/>
      <c r="H387" s="1421"/>
      <c r="I387" s="1421"/>
      <c r="J387" s="1421"/>
      <c r="K387" s="1421"/>
      <c r="L387" s="1421"/>
      <c r="M387" s="1421"/>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5" t="s">
        <v>2058</v>
      </c>
      <c r="P388" s="3095" t="s">
        <v>3152</v>
      </c>
      <c r="Q388" s="630"/>
    </row>
    <row r="389" spans="1:32" ht="12" customHeight="1">
      <c r="A389" s="43"/>
      <c r="B389" s="48" t="s">
        <v>2061</v>
      </c>
      <c r="C389" s="37" t="s">
        <v>3739</v>
      </c>
      <c r="D389" s="43"/>
      <c r="E389" s="43"/>
      <c r="F389" s="43"/>
      <c r="G389" s="43"/>
      <c r="H389" s="43"/>
      <c r="I389" s="43"/>
      <c r="J389" s="43"/>
      <c r="K389" s="43"/>
      <c r="L389" s="43"/>
      <c r="M389" s="43"/>
      <c r="N389" s="43"/>
      <c r="O389" s="525" t="s">
        <v>1502</v>
      </c>
      <c r="P389" s="3096" t="s">
        <v>3155</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95" t="s">
        <v>3155</v>
      </c>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39" t="s">
        <v>3155</v>
      </c>
      <c r="Q392" s="628"/>
      <c r="AE392" s="529"/>
      <c r="AF392" s="529"/>
    </row>
    <row r="393" spans="1:32" ht="12" customHeight="1">
      <c r="A393" s="43"/>
      <c r="B393" s="48" t="s">
        <v>779</v>
      </c>
      <c r="C393" s="1719" t="s">
        <v>2280</v>
      </c>
      <c r="D393" s="1719"/>
      <c r="E393" s="1719"/>
      <c r="F393" s="1719"/>
      <c r="G393" s="1719"/>
      <c r="H393" s="1719"/>
      <c r="I393" s="1719"/>
      <c r="J393" s="1719"/>
      <c r="K393" s="1719"/>
      <c r="L393" s="1719"/>
      <c r="M393" s="1719"/>
      <c r="N393" s="1719"/>
      <c r="O393" s="525" t="s">
        <v>779</v>
      </c>
      <c r="P393" s="3096" t="s">
        <v>3152</v>
      </c>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4">
        <v>4</v>
      </c>
      <c r="H395" s="644"/>
      <c r="J395" s="145" t="s">
        <v>2284</v>
      </c>
      <c r="K395" s="1223"/>
      <c r="N395" s="3154"/>
      <c r="O395" s="644"/>
    </row>
    <row r="396" spans="1:32" ht="12" customHeight="1">
      <c r="A396" s="43"/>
      <c r="B396" s="48"/>
      <c r="C396" s="145" t="s">
        <v>2282</v>
      </c>
      <c r="D396" s="37"/>
      <c r="E396" s="43"/>
      <c r="F396" s="1223"/>
      <c r="G396" s="3155">
        <v>78</v>
      </c>
      <c r="H396" s="645"/>
      <c r="J396" s="145" t="s">
        <v>2285</v>
      </c>
      <c r="K396" s="1223"/>
      <c r="N396" s="3156"/>
      <c r="O396" s="646"/>
    </row>
    <row r="397" spans="1:32" ht="12" customHeight="1">
      <c r="A397" s="43"/>
      <c r="B397" s="48"/>
      <c r="C397" s="145" t="s">
        <v>2283</v>
      </c>
      <c r="D397" s="37"/>
      <c r="E397" s="43"/>
      <c r="F397" s="1223"/>
      <c r="G397" s="3156">
        <v>48</v>
      </c>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5" t="s">
        <v>3152</v>
      </c>
      <c r="H399" s="630"/>
      <c r="J399" s="484" t="s">
        <v>1225</v>
      </c>
      <c r="K399" s="1223"/>
      <c r="N399" s="3139" t="s">
        <v>3152</v>
      </c>
      <c r="O399" s="628"/>
    </row>
    <row r="400" spans="1:32" ht="12" customHeight="1">
      <c r="A400" s="43"/>
      <c r="B400" s="48"/>
      <c r="C400" s="484" t="s">
        <v>1224</v>
      </c>
      <c r="D400" s="1223"/>
      <c r="E400" s="1223"/>
      <c r="F400" s="1223"/>
      <c r="G400" s="3096" t="s">
        <v>3152</v>
      </c>
      <c r="H400" s="632"/>
      <c r="J400" s="484" t="s">
        <v>2333</v>
      </c>
      <c r="N400" s="3157"/>
      <c r="O400" s="3158"/>
      <c r="P400" s="3158"/>
      <c r="Q400" s="3159"/>
    </row>
    <row r="401" spans="1:32" ht="12" customHeight="1">
      <c r="B401" s="151" t="s">
        <v>1936</v>
      </c>
      <c r="D401" s="151"/>
      <c r="E401" s="151"/>
      <c r="F401" s="151"/>
      <c r="G401" s="151"/>
      <c r="H401" s="41"/>
      <c r="I401" s="1422"/>
      <c r="J401" s="1422"/>
      <c r="K401" s="1422"/>
      <c r="P401" s="1414"/>
      <c r="Q401" s="1222"/>
    </row>
    <row r="402" spans="1:32" ht="55.9" customHeight="1">
      <c r="A402" s="3060" t="s">
        <v>4355</v>
      </c>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4"/>
      <c r="B405" s="1422"/>
      <c r="C405" s="1421"/>
      <c r="D405" s="1421"/>
      <c r="E405" s="1421"/>
      <c r="F405" s="1421"/>
      <c r="G405" s="1421"/>
      <c r="H405" s="1421"/>
      <c r="I405" s="1421"/>
      <c r="J405" s="1421"/>
      <c r="K405" s="1421"/>
      <c r="L405" s="1421"/>
      <c r="M405" s="1421"/>
      <c r="Q405" s="1222"/>
    </row>
    <row r="406" spans="1:32" ht="13.9" customHeight="1">
      <c r="A406" s="1428">
        <v>26</v>
      </c>
      <c r="B406" s="4" t="s">
        <v>2939</v>
      </c>
      <c r="C406" s="4"/>
      <c r="D406" s="92"/>
      <c r="E406" s="1421"/>
      <c r="F406" s="1421"/>
      <c r="G406" s="1421"/>
      <c r="H406" s="1421"/>
      <c r="O406" s="142" t="s">
        <v>1938</v>
      </c>
      <c r="P406" s="1711"/>
      <c r="Q406" s="1712"/>
    </row>
    <row r="407" spans="1:32" ht="13.9" customHeight="1">
      <c r="A407" s="1428"/>
      <c r="B407" s="92" t="s">
        <v>3560</v>
      </c>
      <c r="C407" s="4"/>
      <c r="D407" s="92"/>
      <c r="E407" s="1421"/>
      <c r="F407" s="1421"/>
      <c r="G407" s="1421"/>
      <c r="H407" s="1421"/>
    </row>
    <row r="408" spans="1:32" s="143" customFormat="1" ht="21.75" customHeight="1">
      <c r="B408" s="152" t="s">
        <v>2058</v>
      </c>
      <c r="C408" s="1749" t="s">
        <v>3561</v>
      </c>
      <c r="D408" s="1749"/>
      <c r="E408" s="1749"/>
      <c r="F408" s="1749"/>
      <c r="G408" s="1749"/>
      <c r="H408" s="1749"/>
      <c r="I408" s="1749"/>
      <c r="J408" s="1749"/>
      <c r="K408" s="1749"/>
      <c r="L408" s="1749"/>
      <c r="M408" s="1749"/>
      <c r="N408" s="1749"/>
      <c r="O408" s="174" t="s">
        <v>2058</v>
      </c>
      <c r="P408" s="3137" t="s">
        <v>4299</v>
      </c>
      <c r="Q408" s="633"/>
      <c r="AE408" s="528"/>
      <c r="AF408" s="528"/>
    </row>
    <row r="409" spans="1:32" s="143" customFormat="1">
      <c r="B409" s="152" t="s">
        <v>2061</v>
      </c>
      <c r="C409" s="1749" t="s">
        <v>3737</v>
      </c>
      <c r="D409" s="1749"/>
      <c r="E409" s="1749"/>
      <c r="F409" s="1749"/>
      <c r="G409" s="1749"/>
      <c r="H409" s="1749"/>
      <c r="I409" s="1749"/>
      <c r="J409" s="1749"/>
      <c r="K409" s="1749"/>
      <c r="L409" s="1749"/>
      <c r="M409" s="1749"/>
      <c r="N409" s="1749"/>
      <c r="O409" s="174" t="s">
        <v>2061</v>
      </c>
      <c r="P409" s="3099" t="s">
        <v>4299</v>
      </c>
      <c r="Q409" s="634"/>
      <c r="AE409" s="528"/>
      <c r="AF409" s="528"/>
    </row>
    <row r="410" spans="1:32" s="143" customFormat="1">
      <c r="B410" s="152" t="s">
        <v>779</v>
      </c>
      <c r="C410" s="1749" t="s">
        <v>3738</v>
      </c>
      <c r="D410" s="1749"/>
      <c r="E410" s="1749"/>
      <c r="F410" s="1749"/>
      <c r="G410" s="1749"/>
      <c r="H410" s="1749"/>
      <c r="I410" s="1749"/>
      <c r="J410" s="1749"/>
      <c r="K410" s="1749"/>
      <c r="L410" s="1749"/>
      <c r="M410" s="1749"/>
      <c r="N410" s="1749"/>
      <c r="O410" s="174" t="s">
        <v>779</v>
      </c>
      <c r="P410" s="3099" t="s">
        <v>4299</v>
      </c>
      <c r="Q410" s="634"/>
      <c r="AE410" s="528"/>
      <c r="AF410" s="528"/>
    </row>
    <row r="411" spans="1:32" s="143" customFormat="1" ht="22.5" customHeight="1">
      <c r="B411" s="152" t="s">
        <v>2193</v>
      </c>
      <c r="C411" s="1749" t="s">
        <v>3562</v>
      </c>
      <c r="D411" s="1749"/>
      <c r="E411" s="1749"/>
      <c r="F411" s="1749"/>
      <c r="G411" s="1749"/>
      <c r="H411" s="1749"/>
      <c r="I411" s="1749"/>
      <c r="J411" s="1749"/>
      <c r="K411" s="1749"/>
      <c r="L411" s="1749"/>
      <c r="M411" s="1749"/>
      <c r="N411" s="1749"/>
      <c r="O411" s="174" t="s">
        <v>2193</v>
      </c>
      <c r="P411" s="3099" t="s">
        <v>4299</v>
      </c>
      <c r="Q411" s="634"/>
      <c r="AE411" s="528"/>
      <c r="AF411" s="528"/>
    </row>
    <row r="412" spans="1:32" s="143" customFormat="1">
      <c r="B412" s="152" t="s">
        <v>1801</v>
      </c>
      <c r="C412" s="1749" t="s">
        <v>3563</v>
      </c>
      <c r="D412" s="1749"/>
      <c r="E412" s="1749"/>
      <c r="F412" s="1749"/>
      <c r="G412" s="1749"/>
      <c r="H412" s="1749"/>
      <c r="I412" s="1749"/>
      <c r="J412" s="1749"/>
      <c r="K412" s="1749"/>
      <c r="L412" s="1749"/>
      <c r="M412" s="1749"/>
      <c r="N412" s="1749"/>
      <c r="O412" s="174" t="s">
        <v>1801</v>
      </c>
      <c r="P412" s="3099" t="s">
        <v>4299</v>
      </c>
      <c r="Q412" s="634"/>
      <c r="AE412" s="528"/>
      <c r="AF412" s="528"/>
    </row>
    <row r="413" spans="1:32" s="143" customFormat="1">
      <c r="B413" s="152" t="s">
        <v>1802</v>
      </c>
      <c r="C413" s="1749" t="s">
        <v>3564</v>
      </c>
      <c r="D413" s="1749"/>
      <c r="E413" s="1749"/>
      <c r="F413" s="1749"/>
      <c r="G413" s="1749"/>
      <c r="H413" s="1749"/>
      <c r="I413" s="1749"/>
      <c r="J413" s="1749"/>
      <c r="K413" s="1749"/>
      <c r="L413" s="1749"/>
      <c r="M413" s="1749"/>
      <c r="N413" s="1749"/>
      <c r="O413" s="174" t="s">
        <v>1802</v>
      </c>
      <c r="P413" s="3099" t="s">
        <v>4299</v>
      </c>
      <c r="Q413" s="634"/>
      <c r="AE413" s="528"/>
      <c r="AF413" s="528"/>
    </row>
    <row r="414" spans="1:32" s="143" customFormat="1" ht="21.75" customHeight="1">
      <c r="B414" s="152" t="s">
        <v>2021</v>
      </c>
      <c r="C414" s="1749" t="s">
        <v>3740</v>
      </c>
      <c r="D414" s="1749"/>
      <c r="E414" s="1749"/>
      <c r="F414" s="1749"/>
      <c r="G414" s="1749"/>
      <c r="H414" s="1749"/>
      <c r="I414" s="1749"/>
      <c r="J414" s="1749"/>
      <c r="K414" s="1749"/>
      <c r="L414" s="1749"/>
      <c r="M414" s="1749"/>
      <c r="N414" s="1749"/>
      <c r="O414" s="174" t="s">
        <v>2021</v>
      </c>
      <c r="P414" s="3140" t="s">
        <v>4299</v>
      </c>
      <c r="Q414" s="635"/>
      <c r="AE414" s="528"/>
      <c r="AF414" s="528"/>
    </row>
    <row r="415" spans="1:32" ht="11.25" customHeight="1">
      <c r="B415" s="151" t="s">
        <v>1936</v>
      </c>
      <c r="D415" s="151"/>
      <c r="E415" s="151"/>
      <c r="F415" s="151"/>
      <c r="G415" s="151"/>
      <c r="H415" s="41"/>
      <c r="I415" s="1422"/>
      <c r="J415" s="1422"/>
      <c r="K415" s="1422"/>
      <c r="L415" s="1414"/>
      <c r="M415" s="1414"/>
      <c r="N415" s="1414"/>
      <c r="O415" s="1414"/>
      <c r="P415" s="1414"/>
      <c r="Q415" s="1222"/>
    </row>
    <row r="416" spans="1:32" ht="11.45" customHeight="1">
      <c r="A416" s="3060" t="s">
        <v>4356</v>
      </c>
      <c r="B416" s="3061"/>
      <c r="C416" s="3061"/>
      <c r="D416" s="3061"/>
      <c r="E416" s="3061"/>
      <c r="F416" s="3061"/>
      <c r="G416" s="3061"/>
      <c r="H416" s="3061"/>
      <c r="I416" s="3061"/>
      <c r="J416" s="3061"/>
      <c r="K416" s="3061"/>
      <c r="L416" s="3061"/>
      <c r="M416" s="3061"/>
      <c r="N416" s="3061"/>
      <c r="O416" s="3061"/>
      <c r="P416" s="3061"/>
      <c r="Q416" s="3062"/>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4"/>
      <c r="B419" s="1422"/>
      <c r="C419" s="1421"/>
      <c r="D419" s="1421"/>
      <c r="E419" s="1421"/>
      <c r="F419" s="1421"/>
      <c r="G419" s="1421"/>
      <c r="H419" s="1421"/>
      <c r="I419" s="1421"/>
      <c r="J419" s="1421"/>
      <c r="K419" s="1421"/>
      <c r="L419" s="1421"/>
      <c r="M419" s="1421"/>
      <c r="Q419" s="1222"/>
    </row>
    <row r="420" spans="1:32" ht="13.9" customHeight="1">
      <c r="A420" s="1428">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8"/>
      <c r="B421" s="151" t="s">
        <v>1936</v>
      </c>
      <c r="D421" s="151"/>
      <c r="E421" s="151"/>
      <c r="F421" s="151"/>
      <c r="G421" s="151"/>
      <c r="H421" s="41"/>
      <c r="I421" s="1422"/>
      <c r="J421" s="1422"/>
      <c r="K421" s="1422"/>
      <c r="L421" s="1414"/>
      <c r="M421" s="1414"/>
      <c r="N421" s="1414"/>
      <c r="O421" s="1414"/>
      <c r="P421" s="1414"/>
      <c r="Q421" s="1222"/>
    </row>
    <row r="422" spans="1:32" ht="27" customHeight="1">
      <c r="A422" s="3060" t="s">
        <v>4357</v>
      </c>
      <c r="B422" s="3061"/>
      <c r="C422" s="3061"/>
      <c r="D422" s="3061"/>
      <c r="E422" s="3061"/>
      <c r="F422" s="3061"/>
      <c r="G422" s="3061"/>
      <c r="H422" s="3061"/>
      <c r="I422" s="3061"/>
      <c r="J422" s="3061"/>
      <c r="K422" s="3061"/>
      <c r="L422" s="3061"/>
      <c r="M422" s="3061"/>
      <c r="N422" s="3061"/>
      <c r="O422" s="3061"/>
      <c r="P422" s="3061"/>
      <c r="Q422" s="3062"/>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4"/>
      <c r="B425" s="1422"/>
      <c r="C425" s="1421"/>
      <c r="D425" s="1421"/>
      <c r="E425" s="1421"/>
      <c r="F425" s="1421"/>
      <c r="G425" s="1421"/>
      <c r="H425" s="1421"/>
      <c r="I425" s="1421"/>
      <c r="J425" s="1421"/>
      <c r="K425" s="1421"/>
      <c r="L425" s="1421"/>
      <c r="M425" s="1421"/>
      <c r="N425" s="1421"/>
      <c r="O425" s="1421"/>
      <c r="P425" s="1421"/>
      <c r="Q425" s="1414"/>
    </row>
    <row r="426" spans="1:32" s="158" customFormat="1" ht="8.4499999999999993" customHeight="1">
      <c r="A426" s="1414"/>
      <c r="B426" s="1422"/>
      <c r="C426" s="1421"/>
      <c r="D426" s="1421"/>
      <c r="E426" s="1421"/>
      <c r="F426" s="1421"/>
      <c r="G426" s="1421"/>
      <c r="H426" s="1421"/>
      <c r="I426" s="1421"/>
      <c r="J426" s="1421"/>
      <c r="K426" s="1421"/>
      <c r="L426" s="1421"/>
      <c r="M426" s="1421"/>
      <c r="AE426" s="529"/>
      <c r="AF426" s="529"/>
    </row>
    <row r="427" spans="1:32" s="158" customFormat="1" ht="3" customHeight="1">
      <c r="A427" s="1414"/>
      <c r="B427" s="1422"/>
      <c r="C427" s="1421"/>
      <c r="D427" s="1421"/>
      <c r="E427" s="1421"/>
      <c r="F427" s="1421"/>
      <c r="G427" s="1421"/>
      <c r="H427" s="1421"/>
      <c r="I427" s="1421"/>
      <c r="J427" s="1421"/>
      <c r="K427" s="1421"/>
      <c r="L427" s="1421"/>
      <c r="M427" s="1421"/>
      <c r="N427" s="1421"/>
      <c r="O427" s="1421"/>
      <c r="P427" s="1421"/>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xfa+6s0WlDgZ8o6qC+NbEmdqT74pchlIyjHFMhfRmkqUzoQpVXQL8nJovksgTrIKfjXFvFNMHYXEZ1ICvc/d1A==" saltValue="GEz/qQOU83mvW1q4EJiZWQ=="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8" zoomScaleNormal="118"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2016-032 240 Atlanta Street Development Phase 2, Gainesville, Hall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72" t="s">
        <v>4043</v>
      </c>
      <c r="B3" s="1872"/>
      <c r="C3" s="1872"/>
      <c r="D3" s="1872"/>
      <c r="E3" s="1872"/>
      <c r="F3" s="1872"/>
      <c r="G3" s="1872"/>
      <c r="H3" s="1872"/>
      <c r="I3" s="1872"/>
      <c r="J3" s="1872"/>
      <c r="K3" s="1872"/>
      <c r="L3" s="1872"/>
      <c r="M3" s="97" t="s">
        <v>2298</v>
      </c>
      <c r="N3" s="78"/>
      <c r="O3" s="88" t="s">
        <v>2297</v>
      </c>
      <c r="P3" s="189" t="s">
        <v>268</v>
      </c>
    </row>
    <row r="4" spans="1:19" s="45" customFormat="1" ht="12.6" customHeight="1">
      <c r="A4" s="1872"/>
      <c r="B4" s="1872"/>
      <c r="C4" s="1872"/>
      <c r="D4" s="1872"/>
      <c r="E4" s="1872"/>
      <c r="F4" s="1872"/>
      <c r="G4" s="1872"/>
      <c r="H4" s="1872"/>
      <c r="I4" s="1872"/>
      <c r="J4" s="1872"/>
      <c r="K4" s="1872"/>
      <c r="L4" s="1872"/>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4388</v>
      </c>
      <c r="G6" s="1466"/>
      <c r="H6" s="1467"/>
      <c r="I6" s="43"/>
      <c r="J6" s="43"/>
      <c r="L6" s="74" t="s">
        <v>1272</v>
      </c>
      <c r="M6" s="295">
        <f>M408</f>
        <v>103</v>
      </c>
      <c r="N6" s="9"/>
      <c r="O6" s="68">
        <f>O408</f>
        <v>63</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3741</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4" t="s">
        <v>2671</v>
      </c>
      <c r="G10" s="1223">
        <f>F15</f>
        <v>0</v>
      </c>
      <c r="H10" s="188" t="s">
        <v>4065</v>
      </c>
      <c r="M10" s="6"/>
      <c r="N10" s="69" t="s">
        <v>2058</v>
      </c>
      <c r="O10" s="3160"/>
      <c r="P10" s="3161">
        <f>F15</f>
        <v>0</v>
      </c>
    </row>
    <row r="11" spans="1:19" s="44" customFormat="1" ht="11.25" customHeight="1">
      <c r="A11" s="196"/>
      <c r="B11" s="116" t="s">
        <v>2191</v>
      </c>
      <c r="D11" s="49"/>
      <c r="E11" s="49"/>
      <c r="F11" s="1434" t="s">
        <v>2671</v>
      </c>
      <c r="G11" s="1223">
        <f>J15</f>
        <v>0</v>
      </c>
      <c r="H11" s="188" t="s">
        <v>2881</v>
      </c>
      <c r="J11" s="50"/>
      <c r="M11" s="6">
        <v>1</v>
      </c>
      <c r="N11" s="69"/>
      <c r="O11" s="3162"/>
      <c r="P11" s="3163">
        <f>J15</f>
        <v>0</v>
      </c>
    </row>
    <row r="12" spans="1:19" s="43" customFormat="1" ht="11.25" customHeight="1">
      <c r="A12" s="196" t="s">
        <v>2061</v>
      </c>
      <c r="B12" s="180" t="s">
        <v>756</v>
      </c>
      <c r="D12" s="49"/>
      <c r="E12" s="49"/>
      <c r="F12" s="1434" t="s">
        <v>2671</v>
      </c>
      <c r="G12" s="1223">
        <f>O15</f>
        <v>0</v>
      </c>
      <c r="H12" s="188" t="s">
        <v>2836</v>
      </c>
      <c r="J12" s="50"/>
      <c r="M12" s="6"/>
      <c r="N12" s="69" t="s">
        <v>2061</v>
      </c>
      <c r="O12" s="3164"/>
      <c r="P12" s="3165">
        <f>O15</f>
        <v>0</v>
      </c>
      <c r="Q12" s="115"/>
    </row>
    <row r="13" spans="1:19" s="43" customFormat="1" ht="10.9" customHeight="1">
      <c r="A13" s="71" t="s">
        <v>1937</v>
      </c>
      <c r="C13" s="100"/>
      <c r="D13" s="100"/>
      <c r="F13" s="1422" t="s">
        <v>1780</v>
      </c>
      <c r="K13" s="1422" t="s">
        <v>1780</v>
      </c>
      <c r="P13" s="525" t="s">
        <v>1780</v>
      </c>
      <c r="R13" s="502"/>
      <c r="S13" s="171"/>
    </row>
    <row r="14" spans="1:19" s="43" customFormat="1" ht="10.9" customHeight="1">
      <c r="A14" s="234" t="s">
        <v>3905</v>
      </c>
      <c r="B14" s="234"/>
      <c r="C14" s="234"/>
      <c r="D14" s="234"/>
      <c r="E14" s="234"/>
      <c r="K14" s="1422"/>
      <c r="P14" s="525"/>
      <c r="R14" s="502"/>
      <c r="S14" s="171"/>
    </row>
    <row r="15" spans="1:19" s="43" customFormat="1" ht="12" customHeight="1">
      <c r="A15" s="1180" t="s">
        <v>3904</v>
      </c>
      <c r="B15" s="1180"/>
      <c r="C15" s="1180"/>
      <c r="D15" s="1180"/>
      <c r="E15" s="70" t="s">
        <v>527</v>
      </c>
      <c r="F15" s="81">
        <f>SUM(F16:F27)</f>
        <v>0</v>
      </c>
      <c r="G15" s="1866" t="s">
        <v>3898</v>
      </c>
      <c r="H15" s="1867"/>
      <c r="I15" s="1181"/>
      <c r="J15" s="81">
        <f>SUM(J16:J27)</f>
        <v>0</v>
      </c>
      <c r="K15" s="1864" t="s">
        <v>3565</v>
      </c>
      <c r="L15" s="1865"/>
      <c r="M15" s="1865"/>
      <c r="N15" s="70" t="s">
        <v>527</v>
      </c>
      <c r="O15" s="1870">
        <f>SUM(O16:O27)</f>
        <v>0</v>
      </c>
      <c r="P15" s="1871"/>
      <c r="Q15" s="502"/>
      <c r="R15" s="171"/>
    </row>
    <row r="16" spans="1:19" s="43" customFormat="1" ht="37.5" customHeight="1">
      <c r="A16" s="1861">
        <v>1</v>
      </c>
      <c r="B16" s="1862"/>
      <c r="C16" s="1862"/>
      <c r="D16" s="1862"/>
      <c r="E16" s="1863"/>
      <c r="F16" s="1182"/>
      <c r="G16" s="1861">
        <v>1</v>
      </c>
      <c r="H16" s="1862"/>
      <c r="I16" s="1863"/>
      <c r="J16" s="1187" t="s">
        <v>1799</v>
      </c>
      <c r="K16" s="1859">
        <v>1</v>
      </c>
      <c r="L16" s="1860"/>
      <c r="M16" s="1860"/>
      <c r="N16" s="1860"/>
      <c r="O16" s="1868" t="s">
        <v>1799</v>
      </c>
      <c r="P16" s="1869"/>
      <c r="Q16" s="500" t="s">
        <v>1301</v>
      </c>
      <c r="R16" s="171"/>
    </row>
    <row r="17" spans="1:18" s="43" customFormat="1" ht="37.5" customHeight="1">
      <c r="A17" s="1850">
        <v>2</v>
      </c>
      <c r="B17" s="1851"/>
      <c r="C17" s="1851"/>
      <c r="D17" s="1851"/>
      <c r="E17" s="1852"/>
      <c r="F17" s="1183"/>
      <c r="G17" s="1850">
        <v>2</v>
      </c>
      <c r="H17" s="1851"/>
      <c r="I17" s="1852"/>
      <c r="J17" s="1183"/>
      <c r="K17" s="1835">
        <v>2</v>
      </c>
      <c r="L17" s="1836"/>
      <c r="M17" s="1836"/>
      <c r="N17" s="1836"/>
      <c r="O17" s="1873"/>
      <c r="P17" s="1874"/>
      <c r="Q17" s="501"/>
      <c r="R17" s="171"/>
    </row>
    <row r="18" spans="1:18" s="43" customFormat="1" ht="37.5" customHeight="1">
      <c r="A18" s="1850">
        <v>3</v>
      </c>
      <c r="B18" s="1851"/>
      <c r="C18" s="1851"/>
      <c r="D18" s="1851"/>
      <c r="E18" s="1852"/>
      <c r="F18" s="1183"/>
      <c r="G18" s="1850">
        <v>3</v>
      </c>
      <c r="H18" s="1851"/>
      <c r="I18" s="1852"/>
      <c r="J18" s="1188" t="s">
        <v>3055</v>
      </c>
      <c r="K18" s="1835">
        <v>3</v>
      </c>
      <c r="L18" s="1836"/>
      <c r="M18" s="1836"/>
      <c r="N18" s="1836"/>
      <c r="O18" s="1833" t="s">
        <v>3055</v>
      </c>
      <c r="P18" s="1834"/>
      <c r="Q18" s="501"/>
      <c r="R18" s="171"/>
    </row>
    <row r="19" spans="1:18" s="43" customFormat="1" ht="37.5" customHeight="1">
      <c r="A19" s="1850">
        <v>4</v>
      </c>
      <c r="B19" s="1851"/>
      <c r="C19" s="1851"/>
      <c r="D19" s="1851"/>
      <c r="E19" s="1852"/>
      <c r="F19" s="1183"/>
      <c r="G19" s="1850">
        <v>4</v>
      </c>
      <c r="H19" s="1851"/>
      <c r="I19" s="1852"/>
      <c r="J19" s="1183"/>
      <c r="K19" s="1835">
        <v>4</v>
      </c>
      <c r="L19" s="1836"/>
      <c r="M19" s="1836"/>
      <c r="N19" s="1836"/>
      <c r="O19" s="1833" t="s">
        <v>3055</v>
      </c>
      <c r="P19" s="1834"/>
      <c r="Q19" s="501"/>
      <c r="R19" s="171"/>
    </row>
    <row r="20" spans="1:18" s="43" customFormat="1" ht="37.5" customHeight="1">
      <c r="A20" s="1850">
        <v>5</v>
      </c>
      <c r="B20" s="1851"/>
      <c r="C20" s="1851"/>
      <c r="D20" s="1851"/>
      <c r="E20" s="1852"/>
      <c r="F20" s="1183"/>
      <c r="G20" s="1850">
        <v>5</v>
      </c>
      <c r="H20" s="1851"/>
      <c r="I20" s="1852"/>
      <c r="J20" s="1188" t="s">
        <v>3900</v>
      </c>
      <c r="K20" s="1835">
        <v>5</v>
      </c>
      <c r="L20" s="1836"/>
      <c r="M20" s="1836"/>
      <c r="N20" s="1836"/>
      <c r="O20" s="1873"/>
      <c r="P20" s="1874"/>
      <c r="Q20" s="171"/>
      <c r="R20" s="171"/>
    </row>
    <row r="21" spans="1:18" s="43" customFormat="1" ht="37.5" customHeight="1">
      <c r="A21" s="1850">
        <v>6</v>
      </c>
      <c r="B21" s="1851"/>
      <c r="C21" s="1851"/>
      <c r="D21" s="1851"/>
      <c r="E21" s="1852"/>
      <c r="F21" s="1183"/>
      <c r="G21" s="1850">
        <v>6</v>
      </c>
      <c r="H21" s="1851"/>
      <c r="I21" s="1852"/>
      <c r="J21" s="1183"/>
      <c r="K21" s="1835">
        <v>6</v>
      </c>
      <c r="L21" s="1836"/>
      <c r="M21" s="1836"/>
      <c r="N21" s="1836"/>
      <c r="O21" s="1873"/>
      <c r="P21" s="1874"/>
      <c r="Q21" s="171"/>
      <c r="R21" s="171"/>
    </row>
    <row r="22" spans="1:18" s="43" customFormat="1" ht="37.5" customHeight="1">
      <c r="A22" s="1850">
        <v>7</v>
      </c>
      <c r="B22" s="1851"/>
      <c r="C22" s="1851"/>
      <c r="D22" s="1851"/>
      <c r="E22" s="1852"/>
      <c r="F22" s="1183"/>
      <c r="G22" s="1850">
        <v>7</v>
      </c>
      <c r="H22" s="1851"/>
      <c r="I22" s="1852"/>
      <c r="J22" s="1188" t="s">
        <v>3901</v>
      </c>
      <c r="K22" s="1835">
        <v>7</v>
      </c>
      <c r="L22" s="1836"/>
      <c r="M22" s="1836"/>
      <c r="N22" s="1836"/>
      <c r="O22" s="1873"/>
      <c r="P22" s="1874"/>
      <c r="Q22" s="171"/>
      <c r="R22" s="171"/>
    </row>
    <row r="23" spans="1:18" s="43" customFormat="1" ht="37.5" customHeight="1">
      <c r="A23" s="1850">
        <v>8</v>
      </c>
      <c r="B23" s="1851"/>
      <c r="C23" s="1851"/>
      <c r="D23" s="1851"/>
      <c r="E23" s="1852"/>
      <c r="F23" s="1183"/>
      <c r="G23" s="1850">
        <v>8</v>
      </c>
      <c r="H23" s="1851"/>
      <c r="I23" s="1852"/>
      <c r="J23" s="1183"/>
      <c r="K23" s="1835">
        <v>8</v>
      </c>
      <c r="L23" s="1836"/>
      <c r="M23" s="1836"/>
      <c r="N23" s="1836"/>
      <c r="O23" s="1873"/>
      <c r="P23" s="1874"/>
      <c r="Q23" s="171"/>
      <c r="R23" s="171"/>
    </row>
    <row r="24" spans="1:18" s="43" customFormat="1" ht="24" customHeight="1">
      <c r="A24" s="1850">
        <v>9</v>
      </c>
      <c r="B24" s="1851"/>
      <c r="C24" s="1851"/>
      <c r="D24" s="1851"/>
      <c r="E24" s="1852"/>
      <c r="F24" s="1183"/>
      <c r="G24" s="1850">
        <v>9</v>
      </c>
      <c r="H24" s="1851"/>
      <c r="I24" s="1852"/>
      <c r="J24" s="1188" t="s">
        <v>3902</v>
      </c>
      <c r="K24" s="1835">
        <v>9</v>
      </c>
      <c r="L24" s="1836"/>
      <c r="M24" s="1836"/>
      <c r="N24" s="1836"/>
      <c r="O24" s="1873"/>
      <c r="P24" s="1874"/>
      <c r="Q24" s="171"/>
      <c r="R24" s="171"/>
    </row>
    <row r="25" spans="1:18" s="43" customFormat="1" ht="24" customHeight="1">
      <c r="A25" s="1850">
        <v>10</v>
      </c>
      <c r="B25" s="1851"/>
      <c r="C25" s="1851"/>
      <c r="D25" s="1851"/>
      <c r="E25" s="1852"/>
      <c r="F25" s="1183"/>
      <c r="G25" s="1850">
        <v>10</v>
      </c>
      <c r="H25" s="1851"/>
      <c r="I25" s="1852"/>
      <c r="J25" s="1183"/>
      <c r="K25" s="1835">
        <v>10</v>
      </c>
      <c r="L25" s="1836"/>
      <c r="M25" s="1836"/>
      <c r="N25" s="1836"/>
      <c r="O25" s="1873"/>
      <c r="P25" s="1874"/>
      <c r="Q25" s="171"/>
      <c r="R25" s="171"/>
    </row>
    <row r="26" spans="1:18" s="43" customFormat="1" ht="24" customHeight="1">
      <c r="A26" s="1850">
        <v>11</v>
      </c>
      <c r="B26" s="1851"/>
      <c r="C26" s="1851"/>
      <c r="D26" s="1851"/>
      <c r="E26" s="1852"/>
      <c r="F26" s="1183"/>
      <c r="G26" s="1850">
        <v>11</v>
      </c>
      <c r="H26" s="1851"/>
      <c r="I26" s="1852"/>
      <c r="J26" s="1188" t="s">
        <v>3903</v>
      </c>
      <c r="K26" s="1850">
        <v>11</v>
      </c>
      <c r="L26" s="1851"/>
      <c r="M26" s="1851"/>
      <c r="N26" s="1852"/>
      <c r="O26" s="1873"/>
      <c r="P26" s="1874"/>
      <c r="Q26" s="171"/>
      <c r="R26" s="171"/>
    </row>
    <row r="27" spans="1:18" s="43" customFormat="1" ht="24" customHeight="1">
      <c r="A27" s="1897">
        <v>12</v>
      </c>
      <c r="B27" s="1898"/>
      <c r="C27" s="1898"/>
      <c r="D27" s="1898"/>
      <c r="E27" s="1899"/>
      <c r="F27" s="1184"/>
      <c r="G27" s="1897">
        <v>12</v>
      </c>
      <c r="H27" s="1898"/>
      <c r="I27" s="1899"/>
      <c r="J27" s="1184"/>
      <c r="K27" s="1897">
        <v>12</v>
      </c>
      <c r="L27" s="1898"/>
      <c r="M27" s="1898"/>
      <c r="N27" s="1899"/>
      <c r="O27" s="1900"/>
      <c r="P27" s="1901"/>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3906</v>
      </c>
      <c r="E29" s="60"/>
      <c r="G29" s="93"/>
      <c r="H29" s="54"/>
      <c r="I29" s="46" t="s">
        <v>3765</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3" t="s">
        <v>3907</v>
      </c>
      <c r="I31" s="1903"/>
      <c r="J31" s="1269">
        <f>'Part VI-Revenues &amp; Expenses'!$O$60</f>
        <v>90</v>
      </c>
      <c r="K31" s="1268"/>
      <c r="M31" s="1193"/>
      <c r="N31" s="7"/>
      <c r="Q31" s="7"/>
      <c r="R31" s="417"/>
    </row>
    <row r="32" spans="1:18" s="108" customFormat="1" ht="13.5" customHeight="1">
      <c r="A32" s="149"/>
      <c r="B32" s="1719" t="s">
        <v>3908</v>
      </c>
      <c r="C32" s="1719"/>
      <c r="D32" s="1719"/>
      <c r="E32" s="1719"/>
      <c r="F32" s="1719"/>
      <c r="G32" s="1181"/>
      <c r="H32" s="1272" t="s">
        <v>3909</v>
      </c>
      <c r="I32" s="1272" t="s">
        <v>3910</v>
      </c>
      <c r="J32" s="1181"/>
      <c r="K32" s="1904" t="s">
        <v>3567</v>
      </c>
      <c r="L32" s="1904"/>
      <c r="M32" s="1193"/>
      <c r="N32" s="7"/>
      <c r="Q32" s="7"/>
      <c r="R32" s="417"/>
    </row>
    <row r="33" spans="1:18" s="108" customFormat="1" ht="13.5" customHeight="1">
      <c r="B33" s="1719"/>
      <c r="C33" s="1719"/>
      <c r="D33" s="1719"/>
      <c r="E33" s="1719"/>
      <c r="F33" s="1719"/>
      <c r="H33" s="1906" t="s">
        <v>4066</v>
      </c>
      <c r="I33" s="1906"/>
      <c r="J33" s="1192"/>
      <c r="K33" s="1272" t="s">
        <v>3909</v>
      </c>
      <c r="L33" s="1272" t="s">
        <v>3910</v>
      </c>
      <c r="M33" s="483"/>
      <c r="N33" s="434" t="s">
        <v>2058</v>
      </c>
      <c r="O33" s="1277">
        <f>SUM(O34:O35)</f>
        <v>2</v>
      </c>
      <c r="P33" s="1277">
        <f>SUM(P34:P35)</f>
        <v>0</v>
      </c>
    </row>
    <row r="34" spans="1:18" s="477" customFormat="1" ht="13.5" customHeight="1">
      <c r="A34" s="476"/>
      <c r="B34" s="763" t="s">
        <v>2062</v>
      </c>
      <c r="C34" s="764">
        <v>0.15</v>
      </c>
      <c r="D34" s="150" t="s">
        <v>3566</v>
      </c>
      <c r="H34" s="3166"/>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3528</v>
      </c>
      <c r="B35" s="763" t="s">
        <v>2064</v>
      </c>
      <c r="C35" s="764">
        <v>0.2</v>
      </c>
      <c r="D35" s="150" t="s">
        <v>3566</v>
      </c>
      <c r="H35" s="3167">
        <v>25</v>
      </c>
      <c r="I35" s="762"/>
      <c r="K35" s="1328">
        <f>IF(OR('Part VI-Revenues &amp; Expenses'!$O$60="", 'Part VI-Revenues &amp; Expenses'!$O$60=0),0,H35/'Part VI-Revenues &amp; Expenses'!$O$60)</f>
        <v>0.27777777777777779</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4069</v>
      </c>
      <c r="E37" s="478"/>
      <c r="H37" s="1906" t="s">
        <v>4071</v>
      </c>
      <c r="I37" s="1906"/>
      <c r="M37" s="483"/>
      <c r="N37" s="174" t="s">
        <v>2061</v>
      </c>
      <c r="O37" s="1277">
        <f>SUM(O38:O39)</f>
        <v>0</v>
      </c>
      <c r="P37" s="1277">
        <f>SUM(P38:P39)</f>
        <v>0</v>
      </c>
    </row>
    <row r="38" spans="1:18" s="477" customFormat="1" ht="13.5" customHeight="1">
      <c r="A38" s="476"/>
      <c r="B38" s="763" t="s">
        <v>2062</v>
      </c>
      <c r="C38" s="764">
        <v>0.15</v>
      </c>
      <c r="D38" s="150" t="s">
        <v>4070</v>
      </c>
      <c r="E38" s="478"/>
      <c r="F38" s="1185"/>
      <c r="H38" s="3168"/>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3528</v>
      </c>
      <c r="B39" s="763" t="s">
        <v>2064</v>
      </c>
      <c r="C39" s="1185" t="s">
        <v>4073</v>
      </c>
      <c r="E39" s="1353">
        <v>3</v>
      </c>
      <c r="F39" s="1185" t="s">
        <v>4072</v>
      </c>
      <c r="I39" s="1274" t="s">
        <v>4074</v>
      </c>
      <c r="K39" s="1273">
        <f>O113</f>
        <v>0</v>
      </c>
      <c r="L39" s="1273">
        <f>P113</f>
        <v>0</v>
      </c>
      <c r="M39" s="483">
        <v>1</v>
      </c>
      <c r="N39" s="434" t="s">
        <v>2064</v>
      </c>
      <c r="O39" s="3169"/>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2622</v>
      </c>
      <c r="B43" s="111" t="s">
        <v>1945</v>
      </c>
      <c r="D43" s="42"/>
      <c r="J43" s="1892" t="s">
        <v>619</v>
      </c>
      <c r="K43" s="1892"/>
      <c r="L43" s="1892"/>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2"/>
      <c r="K44" s="1892"/>
      <c r="L44" s="1892"/>
      <c r="M44" s="63"/>
      <c r="N44" s="1193"/>
      <c r="O44" s="1420"/>
      <c r="P44" s="3"/>
    </row>
    <row r="45" spans="1:18" s="44" customFormat="1" ht="12" customHeight="1">
      <c r="A45" s="149" t="s">
        <v>2058</v>
      </c>
      <c r="B45" s="180" t="s">
        <v>1946</v>
      </c>
      <c r="C45" s="4"/>
      <c r="D45" s="4"/>
      <c r="E45" s="188" t="s">
        <v>2824</v>
      </c>
      <c r="F45" s="331"/>
      <c r="G45" s="331"/>
      <c r="J45" s="1892"/>
      <c r="K45" s="1892"/>
      <c r="L45" s="1892"/>
      <c r="M45" s="77">
        <v>12</v>
      </c>
      <c r="N45" s="192" t="s">
        <v>2058</v>
      </c>
      <c r="O45" s="3170">
        <v>12</v>
      </c>
      <c r="P45" s="622"/>
      <c r="Q45" s="433" t="s">
        <v>2810</v>
      </c>
      <c r="R45" s="417"/>
    </row>
    <row r="46" spans="1:18" s="44" customFormat="1" ht="12" customHeight="1">
      <c r="A46" s="149" t="s">
        <v>2061</v>
      </c>
      <c r="B46" s="180" t="s">
        <v>3629</v>
      </c>
      <c r="C46" s="4"/>
      <c r="D46" s="4"/>
      <c r="F46" s="188" t="s">
        <v>3650</v>
      </c>
      <c r="H46" s="331"/>
      <c r="I46" s="188" t="s">
        <v>3651</v>
      </c>
      <c r="L46" s="1186" t="s">
        <v>3630</v>
      </c>
      <c r="M46" s="77">
        <v>1</v>
      </c>
      <c r="N46" s="525" t="s">
        <v>2061</v>
      </c>
      <c r="O46" s="3171">
        <v>1</v>
      </c>
      <c r="P46" s="624"/>
      <c r="Q46" s="433" t="s">
        <v>2810</v>
      </c>
      <c r="R46" s="417"/>
    </row>
    <row r="47" spans="1:18" s="44" customFormat="1" ht="12" customHeight="1">
      <c r="A47" s="149"/>
      <c r="B47" s="1905" t="s">
        <v>4075</v>
      </c>
      <c r="C47" s="1905"/>
      <c r="D47" s="1905"/>
      <c r="E47" s="1905"/>
      <c r="F47" s="3172" t="s">
        <v>3632</v>
      </c>
      <c r="G47" s="3173"/>
      <c r="H47" s="3174"/>
      <c r="I47" s="3172" t="s">
        <v>4362</v>
      </c>
      <c r="J47" s="3173"/>
      <c r="K47" s="3174"/>
      <c r="L47" s="3175">
        <v>0.8</v>
      </c>
      <c r="M47" s="77"/>
      <c r="N47" s="192"/>
      <c r="O47" s="192"/>
      <c r="P47" s="192"/>
      <c r="Q47" s="433"/>
      <c r="R47" s="417"/>
    </row>
    <row r="48" spans="1:18" s="44" customFormat="1" ht="12" customHeight="1">
      <c r="A48" s="149"/>
      <c r="B48" s="1905"/>
      <c r="C48" s="1905"/>
      <c r="D48" s="1905"/>
      <c r="E48" s="1905"/>
      <c r="F48" s="3176" t="s">
        <v>3633</v>
      </c>
      <c r="G48" s="3177"/>
      <c r="H48" s="3178"/>
      <c r="I48" s="3176" t="s">
        <v>4361</v>
      </c>
      <c r="J48" s="3177"/>
      <c r="K48" s="3178"/>
      <c r="L48" s="3179">
        <v>0.6</v>
      </c>
      <c r="M48" s="77"/>
      <c r="N48" s="192"/>
      <c r="O48" s="192"/>
      <c r="P48" s="192"/>
      <c r="Q48" s="433"/>
      <c r="R48" s="417"/>
    </row>
    <row r="49" spans="1:18" s="44" customFormat="1" ht="12" customHeight="1">
      <c r="A49" s="149"/>
      <c r="B49" s="1905"/>
      <c r="C49" s="1905"/>
      <c r="D49" s="1905"/>
      <c r="E49" s="1905"/>
      <c r="F49" s="3180" t="s">
        <v>3641</v>
      </c>
      <c r="G49" s="3181"/>
      <c r="H49" s="3182"/>
      <c r="I49" s="3180" t="s">
        <v>4292</v>
      </c>
      <c r="J49" s="3181"/>
      <c r="K49" s="3182"/>
      <c r="L49" s="3183">
        <v>0.2</v>
      </c>
      <c r="M49" s="77"/>
      <c r="N49" s="192"/>
      <c r="O49" s="192"/>
      <c r="P49" s="192"/>
      <c r="Q49" s="433"/>
      <c r="R49" s="417"/>
    </row>
    <row r="50" spans="1:18" s="44" customFormat="1" ht="12.6" customHeight="1">
      <c r="A50" s="149" t="s">
        <v>779</v>
      </c>
      <c r="B50" s="180" t="s">
        <v>1947</v>
      </c>
      <c r="D50" s="42"/>
      <c r="E50" s="188" t="s">
        <v>442</v>
      </c>
      <c r="F50" s="437"/>
      <c r="G50" s="437"/>
      <c r="H50" s="437"/>
      <c r="M50" s="1422" t="s">
        <v>1285</v>
      </c>
      <c r="N50" s="525" t="s">
        <v>779</v>
      </c>
      <c r="O50" s="3184"/>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78" customHeight="1">
      <c r="A52" s="3060" t="s">
        <v>4409</v>
      </c>
      <c r="B52" s="3061"/>
      <c r="C52" s="3061"/>
      <c r="D52" s="3061"/>
      <c r="E52" s="3061"/>
      <c r="F52" s="3061"/>
      <c r="G52" s="3061"/>
      <c r="H52" s="3061"/>
      <c r="I52" s="3061"/>
      <c r="J52" s="3061"/>
      <c r="K52" s="3061"/>
      <c r="L52" s="3061"/>
      <c r="M52" s="3061"/>
      <c r="N52" s="3061"/>
      <c r="O52" s="3061"/>
      <c r="P52" s="3062"/>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3911</v>
      </c>
      <c r="D57" s="42"/>
      <c r="H57" s="46"/>
      <c r="I57" s="50"/>
      <c r="J57" s="49"/>
      <c r="K57" s="49"/>
      <c r="M57" s="1416"/>
      <c r="N57" s="525"/>
      <c r="O57" s="1194" t="s">
        <v>3918</v>
      </c>
      <c r="P57" s="1194" t="s">
        <v>3919</v>
      </c>
      <c r="Q57" s="115"/>
    </row>
    <row r="58" spans="1:18" s="44" customFormat="1" ht="12.6" customHeight="1">
      <c r="A58" s="165"/>
      <c r="B58" s="541" t="s">
        <v>2062</v>
      </c>
      <c r="C58" s="57" t="s">
        <v>3912</v>
      </c>
      <c r="D58" s="42"/>
      <c r="H58" s="46"/>
      <c r="I58" s="50"/>
      <c r="J58" s="49"/>
      <c r="K58" s="49"/>
      <c r="M58" s="1416"/>
      <c r="N58" s="525"/>
      <c r="O58" s="3056" t="s">
        <v>3152</v>
      </c>
      <c r="P58" s="627"/>
      <c r="Q58" s="115"/>
    </row>
    <row r="59" spans="1:18" s="44" customFormat="1" ht="12.6" customHeight="1">
      <c r="A59" s="165"/>
      <c r="B59" s="541" t="s">
        <v>2064</v>
      </c>
      <c r="C59" s="57" t="s">
        <v>3913</v>
      </c>
      <c r="D59" s="42"/>
      <c r="H59" s="46"/>
      <c r="I59" s="50"/>
      <c r="J59" s="49"/>
      <c r="K59" s="49"/>
      <c r="M59" s="1416"/>
      <c r="N59" s="525"/>
      <c r="O59" s="525"/>
      <c r="P59" s="628"/>
      <c r="Q59" s="115"/>
    </row>
    <row r="60" spans="1:18" s="44" customFormat="1" ht="12.6" customHeight="1">
      <c r="A60" s="165"/>
      <c r="B60" s="541" t="s">
        <v>2622</v>
      </c>
      <c r="C60" s="57" t="s">
        <v>3914</v>
      </c>
      <c r="D60" s="42"/>
      <c r="H60" s="46"/>
      <c r="I60" s="50"/>
      <c r="J60" s="49"/>
      <c r="K60" s="49"/>
      <c r="M60" s="1416"/>
      <c r="N60" s="525"/>
      <c r="O60" s="3056" t="s">
        <v>3152</v>
      </c>
      <c r="P60" s="627"/>
      <c r="Q60" s="115"/>
    </row>
    <row r="61" spans="1:18" s="44" customFormat="1" ht="22.5" customHeight="1">
      <c r="A61" s="165"/>
      <c r="B61" s="541" t="s">
        <v>1270</v>
      </c>
      <c r="C61" s="1856" t="s">
        <v>3915</v>
      </c>
      <c r="D61" s="1856"/>
      <c r="E61" s="1856"/>
      <c r="F61" s="1856"/>
      <c r="G61" s="1856"/>
      <c r="H61" s="1856"/>
      <c r="I61" s="1856"/>
      <c r="J61" s="1856"/>
      <c r="K61" s="1856"/>
      <c r="L61" s="1856"/>
      <c r="M61" s="621"/>
      <c r="N61" s="525"/>
      <c r="O61" s="3141" t="s">
        <v>4298</v>
      </c>
      <c r="P61" s="639"/>
      <c r="Q61" s="115"/>
    </row>
    <row r="62" spans="1:18" s="44" customFormat="1" ht="12.6" customHeight="1">
      <c r="A62" s="165"/>
      <c r="B62" s="541" t="s">
        <v>1271</v>
      </c>
      <c r="C62" s="57" t="s">
        <v>3916</v>
      </c>
      <c r="D62" s="42"/>
      <c r="H62" s="46"/>
      <c r="I62" s="50"/>
      <c r="J62" s="49"/>
      <c r="K62" s="49"/>
      <c r="M62" s="1416"/>
      <c r="N62" s="525"/>
      <c r="O62" s="3056" t="s">
        <v>3152</v>
      </c>
      <c r="P62" s="627"/>
      <c r="Q62" s="115"/>
    </row>
    <row r="63" spans="1:18" s="44" customFormat="1" ht="12.6" customHeight="1">
      <c r="A63" s="165"/>
      <c r="B63" s="541" t="s">
        <v>1955</v>
      </c>
      <c r="C63" s="57" t="s">
        <v>3917</v>
      </c>
      <c r="D63" s="42"/>
      <c r="H63" s="46"/>
      <c r="I63" s="50"/>
      <c r="J63" s="49"/>
      <c r="K63" s="49"/>
      <c r="M63" s="1416"/>
      <c r="N63" s="525"/>
      <c r="O63" s="3056" t="s">
        <v>3152</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2903</v>
      </c>
      <c r="B65" s="111"/>
      <c r="D65" s="42"/>
      <c r="H65" s="180" t="s">
        <v>2912</v>
      </c>
      <c r="I65" s="594"/>
      <c r="J65" s="180" t="str">
        <f>'Part I-Project Information'!$H$90</f>
        <v>Flexible</v>
      </c>
      <c r="L65" s="28"/>
      <c r="M65" s="1416"/>
      <c r="N65" s="1416"/>
      <c r="O65" s="1416"/>
      <c r="P65" s="1416"/>
      <c r="Q65" s="115"/>
    </row>
    <row r="66" spans="1:18" s="462" customFormat="1" ht="23.25" customHeight="1">
      <c r="A66" s="154" t="s">
        <v>2058</v>
      </c>
      <c r="B66" s="1893" t="s">
        <v>3920</v>
      </c>
      <c r="C66" s="1893"/>
      <c r="D66" s="1893"/>
      <c r="E66" s="1893"/>
      <c r="F66" s="1893"/>
      <c r="G66" s="1893"/>
      <c r="H66" s="1893"/>
      <c r="I66" s="1894" t="s">
        <v>3759</v>
      </c>
      <c r="J66" s="1895"/>
      <c r="K66" s="1895"/>
      <c r="L66" s="1896"/>
      <c r="M66" s="589">
        <v>5</v>
      </c>
      <c r="N66" s="434" t="s">
        <v>2058</v>
      </c>
      <c r="O66" s="3185"/>
      <c r="P66" s="1436"/>
      <c r="Q66" s="590" t="str">
        <f>IF(OR($O66=$M66,$O66=0,$O66=""),"","* * Check Score! * *")</f>
        <v/>
      </c>
      <c r="R66" s="433" t="s">
        <v>2810</v>
      </c>
    </row>
    <row r="67" spans="1:18" s="462" customFormat="1" ht="12" customHeight="1">
      <c r="A67" s="154" t="s">
        <v>2061</v>
      </c>
      <c r="B67" s="867" t="s">
        <v>3755</v>
      </c>
      <c r="C67" s="867"/>
      <c r="D67" s="867"/>
      <c r="E67" s="867"/>
      <c r="F67" s="867"/>
      <c r="G67" s="867"/>
      <c r="H67" s="867"/>
      <c r="I67" s="3186" t="s">
        <v>4293</v>
      </c>
      <c r="J67" s="3187"/>
      <c r="K67" s="3187"/>
      <c r="L67" s="3188">
        <v>7705033333</v>
      </c>
      <c r="M67" s="589">
        <v>4</v>
      </c>
      <c r="N67" s="174" t="s">
        <v>2061</v>
      </c>
      <c r="O67" s="3189">
        <v>4</v>
      </c>
      <c r="P67" s="1149"/>
      <c r="Q67" s="590" t="str">
        <f>IF(OR($O67=$M67,$O67=0,$O67=""),"","* * Check Score! * *")</f>
        <v/>
      </c>
      <c r="R67" s="433" t="s">
        <v>2810</v>
      </c>
    </row>
    <row r="68" spans="1:18" s="462" customFormat="1" ht="12" customHeight="1">
      <c r="A68" s="149" t="s">
        <v>779</v>
      </c>
      <c r="B68" s="116" t="s">
        <v>3756</v>
      </c>
      <c r="C68" s="867"/>
      <c r="D68" s="867"/>
      <c r="E68" s="867"/>
      <c r="F68" s="867"/>
      <c r="G68" s="867"/>
      <c r="H68" s="867"/>
      <c r="I68" s="3190" t="s">
        <v>4294</v>
      </c>
      <c r="J68" s="3191"/>
      <c r="K68" s="3191"/>
      <c r="L68" s="3192"/>
      <c r="M68" s="589">
        <v>3</v>
      </c>
      <c r="N68" s="192" t="s">
        <v>779</v>
      </c>
      <c r="O68" s="3189"/>
      <c r="P68" s="1149"/>
      <c r="Q68" s="590" t="str">
        <f>IF(OR($O68=$M68,$O68=0,$O68=""),"","* * Check Score! * *")</f>
        <v/>
      </c>
      <c r="R68" s="433" t="s">
        <v>2810</v>
      </c>
    </row>
    <row r="69" spans="1:18" s="44" customFormat="1" ht="12.6" customHeight="1">
      <c r="A69" s="149" t="s">
        <v>2193</v>
      </c>
      <c r="B69" s="116" t="s">
        <v>3757</v>
      </c>
      <c r="E69" s="42"/>
      <c r="I69" s="3193"/>
      <c r="J69" s="3194"/>
      <c r="K69" s="3194"/>
      <c r="L69" s="3195"/>
      <c r="M69" s="77">
        <v>2</v>
      </c>
      <c r="N69" s="192" t="s">
        <v>2193</v>
      </c>
      <c r="O69" s="3196"/>
      <c r="P69" s="623"/>
      <c r="Q69" s="417" t="str">
        <f>IF(OR($O69=$M69,$O69=0,$O69=""),"","* * Check Score! * *")</f>
        <v/>
      </c>
      <c r="R69" s="433" t="s">
        <v>2810</v>
      </c>
    </row>
    <row r="70" spans="1:18" s="44" customFormat="1" ht="12.6" customHeight="1">
      <c r="A70" s="149" t="s">
        <v>1801</v>
      </c>
      <c r="B70" s="867" t="s">
        <v>3758</v>
      </c>
      <c r="E70" s="42"/>
      <c r="I70" s="3190" t="s">
        <v>4295</v>
      </c>
      <c r="J70" s="3191"/>
      <c r="K70" s="3191"/>
      <c r="L70" s="3192"/>
      <c r="M70" s="77">
        <v>1</v>
      </c>
      <c r="N70" s="192" t="s">
        <v>1801</v>
      </c>
      <c r="O70" s="3171"/>
      <c r="P70" s="624"/>
      <c r="Q70" s="417" t="str">
        <f>IF(OR($O70=$M70,$O70=0,$O70=""),"","* * Check Score! * *")</f>
        <v/>
      </c>
      <c r="R70" s="433" t="s">
        <v>2810</v>
      </c>
    </row>
    <row r="71" spans="1:18" s="44" customFormat="1" ht="12.6" customHeight="1">
      <c r="A71" s="593" t="s">
        <v>2905</v>
      </c>
      <c r="B71" s="180"/>
      <c r="E71" s="42"/>
      <c r="I71" s="3197"/>
      <c r="J71" s="3198"/>
      <c r="K71" s="3198"/>
      <c r="L71" s="3199"/>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84"/>
      <c r="P72" s="1147"/>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80.6" customHeight="1">
      <c r="A75" s="3060" t="s">
        <v>4410</v>
      </c>
      <c r="B75" s="3061"/>
      <c r="C75" s="3061"/>
      <c r="D75" s="3061"/>
      <c r="E75" s="3061"/>
      <c r="F75" s="3061"/>
      <c r="G75" s="3061"/>
      <c r="H75" s="3061"/>
      <c r="I75" s="3061"/>
      <c r="J75" s="3061"/>
      <c r="K75" s="3061"/>
      <c r="L75" s="3061"/>
      <c r="M75" s="3061"/>
      <c r="N75" s="3061"/>
      <c r="O75" s="3061"/>
      <c r="P75" s="3062"/>
      <c r="Q75" s="500" t="s">
        <v>1301</v>
      </c>
    </row>
    <row r="76" spans="1:18" s="108" customFormat="1" ht="11.45" customHeight="1">
      <c r="A76" s="43"/>
      <c r="B76" s="103" t="s">
        <v>1937</v>
      </c>
      <c r="C76" s="43"/>
      <c r="D76" s="103"/>
      <c r="E76" s="1426"/>
      <c r="F76" s="1426"/>
      <c r="G76" s="1426"/>
      <c r="H76" s="1426"/>
      <c r="I76" s="1426"/>
      <c r="J76" s="1426"/>
      <c r="K76" s="1426"/>
      <c r="L76" s="1426"/>
      <c r="M76" s="1426"/>
      <c r="N76" s="99"/>
      <c r="O76" s="1165"/>
      <c r="P76" s="1416"/>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200"/>
      <c r="P79" s="1147"/>
      <c r="Q79" s="115" t="s">
        <v>456</v>
      </c>
      <c r="R79" s="433" t="s">
        <v>2810</v>
      </c>
    </row>
    <row r="80" spans="1:18" s="44" customFormat="1" ht="12.6" customHeight="1">
      <c r="A80" s="154" t="s">
        <v>2058</v>
      </c>
      <c r="B80" s="438" t="s">
        <v>2714</v>
      </c>
      <c r="D80" s="42"/>
      <c r="E80" s="37"/>
      <c r="K80" s="3201"/>
      <c r="L80" s="3202"/>
      <c r="M80" s="3203"/>
      <c r="P80" s="525"/>
      <c r="Q80" s="115"/>
    </row>
    <row r="81" spans="1:18" s="44" customFormat="1" ht="12.6" customHeight="1">
      <c r="A81" s="154" t="s">
        <v>2061</v>
      </c>
      <c r="B81" s="438" t="s">
        <v>3652</v>
      </c>
      <c r="D81" s="42"/>
      <c r="E81" s="37"/>
      <c r="K81" s="3201"/>
      <c r="L81" s="3202"/>
      <c r="M81" s="3203"/>
      <c r="O81" s="127" t="s">
        <v>2597</v>
      </c>
      <c r="P81" s="127" t="s">
        <v>2597</v>
      </c>
      <c r="Q81" s="115"/>
    </row>
    <row r="82" spans="1:18" s="44" customFormat="1" ht="12.6" customHeight="1">
      <c r="A82" s="149" t="s">
        <v>779</v>
      </c>
      <c r="B82" s="438" t="s">
        <v>3743</v>
      </c>
      <c r="D82" s="42"/>
      <c r="E82" s="37"/>
      <c r="N82" s="192" t="s">
        <v>779</v>
      </c>
      <c r="O82" s="3056"/>
      <c r="P82" s="627"/>
      <c r="Q82" s="115"/>
    </row>
    <row r="83" spans="1:18" s="108" customFormat="1" ht="11.45" customHeight="1">
      <c r="A83" s="43"/>
      <c r="B83" s="103" t="s">
        <v>1937</v>
      </c>
      <c r="C83" s="43"/>
      <c r="D83" s="103"/>
      <c r="E83" s="1426"/>
      <c r="F83" s="1426"/>
      <c r="G83" s="1426"/>
      <c r="H83" s="1426"/>
      <c r="I83" s="1426"/>
      <c r="J83" s="1426"/>
      <c r="K83" s="1426"/>
      <c r="L83" s="1426"/>
      <c r="M83" s="1426"/>
      <c r="N83" s="99"/>
      <c r="O83" s="1165"/>
      <c r="P83" s="1416"/>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30" t="s">
        <v>4296</v>
      </c>
      <c r="J87" s="3204"/>
      <c r="K87" s="2631"/>
      <c r="M87" s="1416"/>
      <c r="N87" s="441"/>
      <c r="O87" s="483"/>
      <c r="P87" s="483"/>
      <c r="Q87" s="115"/>
    </row>
    <row r="88" spans="1:18" s="44" customFormat="1" ht="12.6" customHeight="1">
      <c r="A88" s="165"/>
      <c r="B88" s="92" t="s">
        <v>2912</v>
      </c>
      <c r="G88" s="42"/>
      <c r="H88" s="42"/>
      <c r="I88" s="826" t="str">
        <f>'Part I-Project Information'!$H$90</f>
        <v>Flexible</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907" t="s">
        <v>4076</v>
      </c>
      <c r="C90" s="1908"/>
      <c r="D90" s="1908"/>
      <c r="E90" s="1908"/>
      <c r="F90" s="1909"/>
      <c r="G90" s="481" t="s">
        <v>4077</v>
      </c>
      <c r="H90" s="3205">
        <v>42474</v>
      </c>
      <c r="I90" s="3206" t="s">
        <v>4303</v>
      </c>
      <c r="J90" s="3207"/>
      <c r="K90" s="3206" t="s">
        <v>4304</v>
      </c>
      <c r="L90" s="3208"/>
      <c r="M90" s="3207"/>
      <c r="N90" s="192"/>
      <c r="O90" s="3139" t="s">
        <v>3152</v>
      </c>
      <c r="P90" s="628"/>
      <c r="Q90" s="115"/>
    </row>
    <row r="91" spans="1:18" ht="11.45" customHeight="1">
      <c r="B91" s="1910"/>
      <c r="C91" s="1911"/>
      <c r="D91" s="1911"/>
      <c r="E91" s="1911"/>
      <c r="F91" s="1912"/>
      <c r="G91" s="481" t="s">
        <v>4077</v>
      </c>
      <c r="H91" s="3205"/>
      <c r="I91" s="3206"/>
      <c r="J91" s="3207"/>
      <c r="K91" s="3206"/>
      <c r="L91" s="3208"/>
      <c r="M91" s="3207"/>
      <c r="N91" s="28"/>
      <c r="O91" s="28"/>
      <c r="P91" s="28"/>
    </row>
    <row r="92" spans="1:18" s="44" customFormat="1" ht="12.6" customHeight="1">
      <c r="A92" s="165"/>
      <c r="B92" s="484" t="s">
        <v>4171</v>
      </c>
      <c r="G92" s="42"/>
      <c r="H92" s="42"/>
      <c r="I92" s="826"/>
      <c r="K92" s="28"/>
      <c r="M92" s="1416"/>
      <c r="N92" s="441"/>
      <c r="O92" s="3056" t="s">
        <v>3152</v>
      </c>
      <c r="P92" s="627"/>
      <c r="Q92" s="115"/>
    </row>
    <row r="93" spans="1:18" s="44" customFormat="1" ht="12.6" customHeight="1">
      <c r="A93" s="165"/>
      <c r="B93" s="92" t="s">
        <v>4177</v>
      </c>
      <c r="G93" s="42"/>
      <c r="H93" s="42"/>
      <c r="I93" s="314" t="s">
        <v>4178</v>
      </c>
      <c r="J93" s="3209"/>
      <c r="K93" s="314" t="s">
        <v>4176</v>
      </c>
      <c r="L93" s="3209"/>
      <c r="M93" s="1416"/>
      <c r="N93" s="441"/>
      <c r="O93" s="3056" t="s">
        <v>4298</v>
      </c>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4169</v>
      </c>
      <c r="D96" s="42"/>
      <c r="M96" s="1416"/>
      <c r="O96" s="3056" t="s">
        <v>3155</v>
      </c>
      <c r="P96" s="627"/>
      <c r="Q96" s="115"/>
    </row>
    <row r="97" spans="1:17" ht="11.45" customHeight="1">
      <c r="B97" s="415" t="s">
        <v>2062</v>
      </c>
      <c r="C97" s="426" t="s">
        <v>2715</v>
      </c>
      <c r="E97" s="125"/>
      <c r="N97" s="28"/>
      <c r="O97" s="28"/>
      <c r="P97" s="28"/>
    </row>
    <row r="98" spans="1:17" ht="11.25" customHeight="1">
      <c r="A98" s="461"/>
      <c r="B98" s="432"/>
      <c r="C98" s="1355" t="s">
        <v>4170</v>
      </c>
      <c r="D98" s="1354"/>
      <c r="E98" s="1354"/>
      <c r="F98" s="1354"/>
      <c r="G98" s="1354"/>
      <c r="H98" s="1354"/>
      <c r="I98" s="1354"/>
      <c r="J98" s="1354"/>
      <c r="K98" s="1354"/>
      <c r="L98" s="3209"/>
      <c r="M98" s="429"/>
      <c r="N98" s="28"/>
      <c r="O98" s="28"/>
      <c r="P98" s="28"/>
    </row>
    <row r="99" spans="1:17" ht="11.45" customHeight="1">
      <c r="B99" s="415" t="s">
        <v>2064</v>
      </c>
      <c r="C99" s="426" t="s">
        <v>3922</v>
      </c>
      <c r="E99" s="125"/>
      <c r="M99" s="430"/>
      <c r="N99" s="28"/>
      <c r="O99" s="28"/>
      <c r="P99" s="28"/>
    </row>
    <row r="100" spans="1:17" ht="11.25" customHeight="1">
      <c r="A100" s="461"/>
      <c r="B100" s="431" t="s">
        <v>2520</v>
      </c>
      <c r="C100" s="1355" t="s">
        <v>4175</v>
      </c>
      <c r="D100" s="1354"/>
      <c r="E100" s="1354"/>
      <c r="F100" s="1354"/>
      <c r="G100" s="1354"/>
      <c r="H100" s="1354"/>
      <c r="K100" s="1354"/>
      <c r="L100" s="3210"/>
      <c r="M100" s="429"/>
      <c r="N100" s="28"/>
      <c r="O100" s="28"/>
      <c r="P100" s="28"/>
    </row>
    <row r="101" spans="1:17" ht="11.25" customHeight="1">
      <c r="A101" s="461"/>
      <c r="B101" s="416" t="s">
        <v>2521</v>
      </c>
      <c r="C101" s="1355" t="s">
        <v>4172</v>
      </c>
      <c r="D101" s="1354"/>
      <c r="E101" s="1354"/>
      <c r="F101" s="1354"/>
      <c r="G101" s="1354"/>
      <c r="H101" s="1354"/>
      <c r="I101" s="3211" t="s">
        <v>4173</v>
      </c>
      <c r="J101" s="3212"/>
      <c r="K101" s="3211" t="s">
        <v>4174</v>
      </c>
      <c r="L101" s="3213"/>
      <c r="M101" s="3212"/>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6"/>
      <c r="N103" s="541" t="s">
        <v>2062</v>
      </c>
      <c r="O103" s="3095" t="s">
        <v>3152</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6"/>
      <c r="N104" s="541" t="s">
        <v>2064</v>
      </c>
      <c r="O104" s="3098" t="s">
        <v>3152</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6"/>
      <c r="N105" s="541" t="s">
        <v>2622</v>
      </c>
      <c r="O105" s="3098" t="s">
        <v>3152</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6"/>
      <c r="N106" s="541" t="s">
        <v>1270</v>
      </c>
      <c r="O106" s="3096" t="s">
        <v>3152</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4" t="s">
        <v>4363</v>
      </c>
      <c r="B109" s="3215"/>
      <c r="C109" s="3215"/>
      <c r="D109" s="3215"/>
      <c r="E109" s="3215"/>
      <c r="F109" s="3215"/>
      <c r="G109" s="3215"/>
      <c r="H109" s="3215"/>
      <c r="I109" s="3215"/>
      <c r="J109" s="3215"/>
      <c r="K109" s="3215"/>
      <c r="L109" s="3215"/>
      <c r="M109" s="3215"/>
      <c r="N109" s="3215"/>
      <c r="O109" s="3215"/>
      <c r="P109" s="3216"/>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21"/>
      <c r="B111" s="1822"/>
      <c r="C111" s="1822"/>
      <c r="D111" s="1822"/>
      <c r="E111" s="1822"/>
      <c r="F111" s="1822"/>
      <c r="G111" s="1822"/>
      <c r="H111" s="1822"/>
      <c r="I111" s="1822"/>
      <c r="J111" s="1822"/>
      <c r="K111" s="1822"/>
      <c r="L111" s="1822"/>
      <c r="M111" s="1822"/>
      <c r="N111" s="1822"/>
      <c r="O111" s="1822"/>
      <c r="P111" s="1823"/>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2904</v>
      </c>
      <c r="C113" s="98"/>
      <c r="D113" s="62"/>
      <c r="E113" s="62"/>
      <c r="H113" s="188" t="s">
        <v>3923</v>
      </c>
      <c r="M113" s="1416">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4" t="s">
        <v>3926</v>
      </c>
      <c r="B115" s="1161" t="s">
        <v>3924</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4"/>
      <c r="B116" s="116" t="s">
        <v>2912</v>
      </c>
      <c r="C116" s="591"/>
      <c r="D116" s="591"/>
      <c r="E116" s="592" t="str">
        <f>'Part I-Project Information'!$H$90</f>
        <v>Flexible</v>
      </c>
      <c r="N116" s="28"/>
      <c r="O116" s="127" t="s">
        <v>2597</v>
      </c>
      <c r="P116" s="127" t="s">
        <v>2597</v>
      </c>
    </row>
    <row r="117" spans="1:18" ht="11.45" customHeight="1">
      <c r="A117" s="1854"/>
      <c r="B117" s="415" t="s">
        <v>2062</v>
      </c>
      <c r="C117" s="492" t="s">
        <v>2785</v>
      </c>
      <c r="E117" s="125"/>
      <c r="M117" s="85"/>
      <c r="N117" s="28"/>
      <c r="O117" s="3139" t="s">
        <v>4298</v>
      </c>
      <c r="P117" s="628"/>
      <c r="Q117" s="1902" t="str">
        <f>IF(AND(O117="Yes",O120="Yes"),"Only 1 or 4 can be 'Yes'!","")</f>
        <v/>
      </c>
      <c r="R117" s="1902"/>
    </row>
    <row r="118" spans="1:18" ht="11.45" customHeight="1">
      <c r="B118" s="415" t="s">
        <v>2064</v>
      </c>
      <c r="C118" s="492" t="s">
        <v>2853</v>
      </c>
      <c r="D118" s="3217"/>
      <c r="E118" s="492" t="s">
        <v>2854</v>
      </c>
      <c r="G118" s="106" t="s">
        <v>2474</v>
      </c>
      <c r="K118" s="145" t="s">
        <v>2852</v>
      </c>
      <c r="L118" s="3218"/>
      <c r="M118" s="1197" t="str">
        <f>IF(L118&gt;D118,"CHECK ACTUAL PERCENT!!!","")</f>
        <v/>
      </c>
      <c r="N118" s="480"/>
      <c r="Q118" s="1902"/>
      <c r="R118" s="1902"/>
    </row>
    <row r="119" spans="1:18" ht="11.45" customHeight="1">
      <c r="B119" s="415" t="s">
        <v>2622</v>
      </c>
      <c r="C119" s="466" t="s">
        <v>2475</v>
      </c>
      <c r="E119" s="125"/>
      <c r="G119" s="106" t="s">
        <v>2476</v>
      </c>
      <c r="K119" s="537" t="s">
        <v>2844</v>
      </c>
      <c r="L119" s="3219"/>
      <c r="Q119" s="1902"/>
      <c r="R119" s="1902"/>
    </row>
    <row r="120" spans="1:18" ht="11.45" customHeight="1">
      <c r="B120" s="415" t="s">
        <v>1270</v>
      </c>
      <c r="C120" s="1853" t="s">
        <v>3930</v>
      </c>
      <c r="D120" s="1853"/>
      <c r="E120" s="1853"/>
      <c r="F120" s="1853"/>
      <c r="G120" s="1853"/>
      <c r="H120" s="1853"/>
      <c r="I120" s="1853"/>
      <c r="J120" s="1853"/>
      <c r="K120" s="1853"/>
      <c r="L120" s="1853"/>
      <c r="M120" s="1853"/>
      <c r="N120" s="28"/>
      <c r="O120" s="3139"/>
      <c r="P120" s="628"/>
      <c r="Q120" s="1902"/>
      <c r="R120" s="1902"/>
    </row>
    <row r="121" spans="1:18" ht="11.45" customHeight="1">
      <c r="B121" s="415"/>
      <c r="C121" s="1853"/>
      <c r="D121" s="1853"/>
      <c r="E121" s="1853"/>
      <c r="F121" s="1853"/>
      <c r="G121" s="1853"/>
      <c r="H121" s="1853"/>
      <c r="I121" s="1853"/>
      <c r="J121" s="1853"/>
      <c r="K121" s="1853"/>
      <c r="L121" s="1853"/>
      <c r="M121" s="1853"/>
    </row>
    <row r="122" spans="1:18" ht="11.45" customHeight="1">
      <c r="A122" s="594" t="s">
        <v>779</v>
      </c>
      <c r="B122" s="1195" t="s">
        <v>3925</v>
      </c>
      <c r="C122" s="466"/>
      <c r="E122" s="125"/>
      <c r="G122" s="106"/>
      <c r="K122" s="1443" t="s">
        <v>3909</v>
      </c>
      <c r="L122" s="1443" t="s">
        <v>3910</v>
      </c>
      <c r="M122" s="130">
        <v>3</v>
      </c>
      <c r="O122" s="1199">
        <f>IF(OR(K123="A2",K123="A3",K123="B1"),3,IF(OR(K123="A1",K123="B2",K123="C1"),2,IF(OR(K123="B3",K123="C2"),1,0)))</f>
        <v>0</v>
      </c>
      <c r="P122" s="81">
        <f>IF(OR(L123="A2",L123="A3",L123="B1"),3,IF(OR(L123="A1",L123="B2",L123="C1"),2,IF(OR(L123="B3",L123="C2"),1,0)))</f>
        <v>0</v>
      </c>
    </row>
    <row r="123" spans="1:18" ht="11.45" customHeight="1">
      <c r="A123" s="594"/>
      <c r="B123" s="1935" t="s">
        <v>3929</v>
      </c>
      <c r="C123" s="1935"/>
      <c r="D123" s="1935"/>
      <c r="E123" s="1935"/>
      <c r="F123" s="1935"/>
      <c r="G123" s="1935"/>
      <c r="H123" s="1935"/>
      <c r="I123" s="1935"/>
      <c r="J123" s="1935"/>
      <c r="K123" s="3220" t="s">
        <v>207</v>
      </c>
      <c r="L123" s="628" t="s">
        <v>207</v>
      </c>
      <c r="O123" s="1193"/>
      <c r="P123" s="1193"/>
    </row>
    <row r="124" spans="1:18" ht="11.45" customHeight="1">
      <c r="A124" s="594"/>
      <c r="B124" s="1935"/>
      <c r="C124" s="1935"/>
      <c r="D124" s="1935"/>
      <c r="E124" s="1935"/>
      <c r="F124" s="1935"/>
      <c r="G124" s="1935"/>
      <c r="H124" s="1935"/>
      <c r="I124" s="1935"/>
      <c r="J124" s="1935"/>
      <c r="O124" s="1193"/>
      <c r="P124" s="1193"/>
    </row>
    <row r="125" spans="1:18" ht="11.45" customHeight="1">
      <c r="A125" s="594" t="s">
        <v>2193</v>
      </c>
      <c r="B125" s="1195" t="s">
        <v>3927</v>
      </c>
      <c r="C125" s="466"/>
      <c r="E125" s="125"/>
      <c r="G125" s="537" t="s">
        <v>3928</v>
      </c>
      <c r="H125" s="1196">
        <f>'Part VI-Revenues &amp; Expenses'!$O$59</f>
        <v>20</v>
      </c>
      <c r="I125" s="1443" t="s">
        <v>3943</v>
      </c>
      <c r="J125" s="1196">
        <f>'Part VI-Revenues &amp; Expenses'!$O$62</f>
        <v>90</v>
      </c>
      <c r="K125" s="1443" t="s">
        <v>3944</v>
      </c>
      <c r="L125" s="1198">
        <f>IF(J125=0,0,H125/J125)</f>
        <v>0.22222222222222221</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21"/>
      <c r="B127" s="1822"/>
      <c r="C127" s="1822"/>
      <c r="D127" s="1822"/>
      <c r="E127" s="1822"/>
      <c r="F127" s="1822"/>
      <c r="G127" s="1822"/>
      <c r="H127" s="1822"/>
      <c r="I127" s="1822"/>
      <c r="J127" s="1822"/>
      <c r="K127" s="1822"/>
      <c r="L127" s="1822"/>
      <c r="M127" s="1822"/>
      <c r="N127" s="1822"/>
      <c r="O127" s="1822"/>
      <c r="P127" s="1823"/>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3568</v>
      </c>
      <c r="C129" s="98"/>
      <c r="D129" s="62"/>
      <c r="E129" s="62"/>
      <c r="H129" s="767"/>
      <c r="J129" s="3221" t="s">
        <v>3579</v>
      </c>
      <c r="K129" s="3222"/>
      <c r="L129" s="3223"/>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7</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1" t="s">
        <v>4078</v>
      </c>
      <c r="E131" s="34"/>
      <c r="G131" s="3224" t="s">
        <v>4310</v>
      </c>
      <c r="H131" s="3225"/>
      <c r="I131" s="3225"/>
      <c r="J131" s="3225"/>
      <c r="K131" s="3225"/>
      <c r="L131" s="3225"/>
      <c r="M131" s="3225"/>
      <c r="N131" s="3225"/>
      <c r="O131" s="3225"/>
      <c r="P131" s="3226"/>
    </row>
    <row r="132" spans="1:18" ht="6" customHeight="1">
      <c r="A132" s="587"/>
      <c r="B132" s="537"/>
      <c r="D132" s="766"/>
      <c r="E132" s="537"/>
      <c r="G132" s="777"/>
      <c r="H132" s="778"/>
      <c r="N132" s="28"/>
      <c r="O132" s="28"/>
      <c r="P132" s="28"/>
    </row>
    <row r="133" spans="1:18" s="44" customFormat="1" ht="12" customHeight="1">
      <c r="A133" s="149"/>
      <c r="B133" s="57" t="s">
        <v>3054</v>
      </c>
      <c r="D133" s="34"/>
      <c r="N133" s="525"/>
      <c r="O133" s="3139" t="s">
        <v>3152</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3708</v>
      </c>
      <c r="D136" s="108"/>
      <c r="E136" s="41"/>
      <c r="G136" s="57" t="s">
        <v>3709</v>
      </c>
      <c r="L136" s="3227">
        <v>39007</v>
      </c>
      <c r="M136" s="3227"/>
      <c r="N136" s="431" t="s">
        <v>2520</v>
      </c>
      <c r="O136" s="3095" t="s">
        <v>3152</v>
      </c>
      <c r="P136" s="630"/>
    </row>
    <row r="137" spans="1:18" s="44" customFormat="1" ht="11.45" customHeight="1">
      <c r="A137" s="414"/>
      <c r="B137" s="416" t="s">
        <v>2521</v>
      </c>
      <c r="C137" s="1824" t="s">
        <v>3931</v>
      </c>
      <c r="D137" s="1824"/>
      <c r="E137" s="1824"/>
      <c r="F137" s="1824"/>
      <c r="G137" s="57" t="s">
        <v>3574</v>
      </c>
      <c r="L137" s="3228" t="s">
        <v>4312</v>
      </c>
      <c r="M137" s="3228"/>
      <c r="N137" s="416" t="s">
        <v>2521</v>
      </c>
      <c r="O137" s="3096" t="s">
        <v>3152</v>
      </c>
      <c r="P137" s="632"/>
    </row>
    <row r="138" spans="1:18" s="44" customFormat="1" ht="11.45" customHeight="1">
      <c r="A138" s="414"/>
      <c r="B138" s="416"/>
      <c r="C138" s="1824"/>
      <c r="D138" s="1824"/>
      <c r="E138" s="1824"/>
      <c r="F138" s="1824"/>
      <c r="G138" s="57" t="s">
        <v>3052</v>
      </c>
      <c r="L138" s="3180" t="s">
        <v>4311</v>
      </c>
      <c r="M138" s="3182"/>
    </row>
    <row r="139" spans="1:18" s="44" customFormat="1" ht="11.45" customHeight="1">
      <c r="A139" s="414"/>
      <c r="B139" s="416"/>
      <c r="C139" s="1824"/>
      <c r="D139" s="1824"/>
      <c r="E139" s="1824"/>
      <c r="F139" s="1824"/>
      <c r="G139" s="57" t="s">
        <v>2948</v>
      </c>
      <c r="J139" s="3172" t="s">
        <v>4313</v>
      </c>
      <c r="K139" s="3174"/>
      <c r="L139" s="3229" t="s">
        <v>4313</v>
      </c>
      <c r="M139" s="3230"/>
    </row>
    <row r="140" spans="1:18" s="44" customFormat="1" ht="11.45" customHeight="1">
      <c r="A140" s="414"/>
      <c r="B140" s="416"/>
      <c r="C140" s="537"/>
      <c r="D140" s="108"/>
      <c r="E140" s="41"/>
      <c r="G140" s="57" t="s">
        <v>2949</v>
      </c>
      <c r="J140" s="3231">
        <v>38993</v>
      </c>
      <c r="K140" s="3232"/>
      <c r="L140" s="3231">
        <v>39007</v>
      </c>
      <c r="M140" s="3232"/>
    </row>
    <row r="141" spans="1:18" s="44" customFormat="1" ht="11.45" customHeight="1">
      <c r="A141" s="414"/>
      <c r="B141" s="416"/>
      <c r="C141" s="537"/>
      <c r="D141" s="108"/>
      <c r="E141" s="41"/>
      <c r="G141" s="1856" t="s">
        <v>4081</v>
      </c>
      <c r="H141" s="1856"/>
      <c r="I141" s="57" t="s">
        <v>1778</v>
      </c>
      <c r="J141" s="3233" t="s">
        <v>4314</v>
      </c>
      <c r="K141" s="3234"/>
      <c r="L141" s="3233" t="s">
        <v>4321</v>
      </c>
      <c r="M141" s="3234"/>
    </row>
    <row r="142" spans="1:18" s="44" customFormat="1" ht="11.45" customHeight="1">
      <c r="A142" s="414"/>
      <c r="B142" s="416"/>
      <c r="C142" s="537"/>
      <c r="D142" s="108"/>
      <c r="E142" s="41"/>
      <c r="G142" s="1856"/>
      <c r="H142" s="1856"/>
      <c r="I142" s="57" t="s">
        <v>4080</v>
      </c>
      <c r="J142" s="3180" t="s">
        <v>4315</v>
      </c>
      <c r="K142" s="3182"/>
      <c r="L142" s="3180" t="s">
        <v>4371</v>
      </c>
      <c r="M142" s="3182"/>
    </row>
    <row r="143" spans="1:18" ht="11.25" customHeight="1">
      <c r="B143" s="416" t="s">
        <v>2522</v>
      </c>
      <c r="C143" s="1824" t="s">
        <v>3932</v>
      </c>
      <c r="D143" s="1824"/>
      <c r="E143" s="1824"/>
      <c r="F143" s="1824"/>
      <c r="G143" s="484" t="s">
        <v>3053</v>
      </c>
      <c r="L143" s="3235" t="s">
        <v>4316</v>
      </c>
      <c r="M143" s="3236"/>
      <c r="N143" s="416" t="s">
        <v>2522</v>
      </c>
      <c r="O143" s="3139" t="s">
        <v>3152</v>
      </c>
      <c r="P143" s="628"/>
    </row>
    <row r="144" spans="1:18" ht="11.25" customHeight="1">
      <c r="B144" s="416"/>
      <c r="C144" s="1824"/>
      <c r="D144" s="1824"/>
      <c r="E144" s="1824"/>
      <c r="F144" s="1824"/>
      <c r="G144" s="57" t="s">
        <v>3719</v>
      </c>
      <c r="L144" s="3231">
        <v>40302</v>
      </c>
      <c r="M144" s="3232"/>
      <c r="N144" s="28"/>
      <c r="O144" s="28"/>
      <c r="P144" s="28"/>
    </row>
    <row r="145" spans="1:25" ht="11.25" customHeight="1">
      <c r="B145" s="416" t="s">
        <v>2523</v>
      </c>
      <c r="C145" s="569" t="s">
        <v>3933</v>
      </c>
      <c r="D145" s="106"/>
      <c r="G145" s="314"/>
      <c r="K145" s="41"/>
      <c r="L145" s="3237">
        <v>21</v>
      </c>
      <c r="M145" s="3238"/>
      <c r="N145" s="416" t="s">
        <v>2523</v>
      </c>
      <c r="O145" s="3095" t="s">
        <v>3152</v>
      </c>
      <c r="P145" s="630"/>
    </row>
    <row r="146" spans="1:25" ht="11.25" customHeight="1">
      <c r="B146" s="416" t="s">
        <v>2524</v>
      </c>
      <c r="C146" s="569" t="s">
        <v>2950</v>
      </c>
      <c r="K146" s="41"/>
      <c r="L146" s="3239">
        <v>21</v>
      </c>
      <c r="M146" s="3240"/>
      <c r="N146" s="416" t="s">
        <v>2524</v>
      </c>
      <c r="O146" s="3098" t="s">
        <v>3152</v>
      </c>
      <c r="P146" s="631"/>
    </row>
    <row r="147" spans="1:25" ht="11.25" customHeight="1">
      <c r="B147" s="431" t="s">
        <v>3577</v>
      </c>
      <c r="C147" s="54" t="s">
        <v>3571</v>
      </c>
      <c r="K147" s="41"/>
      <c r="L147" s="3239" t="s">
        <v>4317</v>
      </c>
      <c r="M147" s="3240"/>
      <c r="N147" s="431" t="s">
        <v>3577</v>
      </c>
      <c r="O147" s="3098" t="s">
        <v>3152</v>
      </c>
      <c r="P147" s="631"/>
    </row>
    <row r="148" spans="1:25" ht="11.25" customHeight="1">
      <c r="B148" s="431" t="s">
        <v>3578</v>
      </c>
      <c r="C148" s="54" t="s">
        <v>3569</v>
      </c>
      <c r="K148" s="41"/>
      <c r="L148" s="3239" t="s">
        <v>4318</v>
      </c>
      <c r="M148" s="3240"/>
      <c r="N148" s="431" t="s">
        <v>3578</v>
      </c>
      <c r="O148" s="3098" t="s">
        <v>3152</v>
      </c>
      <c r="P148" s="631"/>
    </row>
    <row r="149" spans="1:25" ht="11.25" customHeight="1">
      <c r="B149" s="416" t="s">
        <v>2541</v>
      </c>
      <c r="C149" s="569" t="s">
        <v>2951</v>
      </c>
      <c r="K149" s="41"/>
      <c r="L149" s="3239">
        <v>17</v>
      </c>
      <c r="M149" s="3240"/>
      <c r="N149" s="416" t="s">
        <v>2541</v>
      </c>
      <c r="O149" s="3098" t="s">
        <v>3152</v>
      </c>
      <c r="P149" s="631"/>
    </row>
    <row r="150" spans="1:25" ht="11.25" customHeight="1">
      <c r="B150" s="431" t="s">
        <v>2542</v>
      </c>
      <c r="C150" s="569" t="s">
        <v>2952</v>
      </c>
      <c r="D150" s="106"/>
      <c r="K150" s="41"/>
      <c r="L150" s="3241" t="s">
        <v>4319</v>
      </c>
      <c r="M150" s="3242"/>
      <c r="N150" s="431" t="s">
        <v>2542</v>
      </c>
      <c r="O150" s="3098" t="s">
        <v>3152</v>
      </c>
      <c r="P150" s="631"/>
    </row>
    <row r="151" spans="1:25" ht="11.25" customHeight="1">
      <c r="B151" s="431" t="s">
        <v>2543</v>
      </c>
      <c r="C151" s="569" t="s">
        <v>3934</v>
      </c>
      <c r="K151" s="41"/>
      <c r="M151" s="414"/>
      <c r="N151" s="431" t="s">
        <v>2543</v>
      </c>
      <c r="O151" s="3096" t="s">
        <v>3152</v>
      </c>
      <c r="P151" s="632"/>
    </row>
    <row r="152" spans="1:25" ht="10.9" customHeight="1">
      <c r="B152" s="431"/>
      <c r="C152" s="569"/>
      <c r="K152" s="41"/>
      <c r="M152" s="414"/>
      <c r="N152" s="414"/>
      <c r="O152" s="414"/>
      <c r="P152" s="414"/>
    </row>
    <row r="153" spans="1:25" ht="11.25" customHeight="1">
      <c r="A153" s="149" t="s">
        <v>2058</v>
      </c>
      <c r="B153" s="195" t="s">
        <v>3570</v>
      </c>
      <c r="G153" s="537" t="s">
        <v>3698</v>
      </c>
      <c r="H153" s="172"/>
      <c r="I153" s="172"/>
      <c r="K153" s="41"/>
      <c r="L153" s="3243" t="s">
        <v>4320</v>
      </c>
      <c r="M153" s="483">
        <v>3</v>
      </c>
      <c r="N153" s="431" t="s">
        <v>2058</v>
      </c>
      <c r="O153" s="3139" t="s">
        <v>3152</v>
      </c>
      <c r="P153" s="628"/>
      <c r="X153" s="414"/>
      <c r="Y153" s="416"/>
    </row>
    <row r="154" spans="1:25" ht="11.25" customHeight="1">
      <c r="A154" s="587"/>
      <c r="G154" s="537" t="s">
        <v>3861</v>
      </c>
      <c r="H154" s="172"/>
      <c r="L154" s="1800" t="str">
        <f>'Part I-Project Information'!$O$28</f>
        <v>12.01</v>
      </c>
      <c r="M154" s="1800"/>
      <c r="N154" s="28"/>
      <c r="O154" s="28"/>
      <c r="P154" s="28"/>
    </row>
    <row r="155" spans="1:25" ht="11.25" customHeight="1">
      <c r="A155" s="587"/>
      <c r="B155" s="537"/>
      <c r="D155" s="766"/>
      <c r="G155" s="537" t="s">
        <v>3576</v>
      </c>
      <c r="H155" s="172"/>
      <c r="K155" s="1145"/>
      <c r="L155" s="491" t="str">
        <f>'Part I-Project Information'!$N$29</f>
        <v>Yes</v>
      </c>
      <c r="N155" s="28"/>
      <c r="O155" s="28"/>
      <c r="P155" s="28"/>
    </row>
    <row r="156" spans="1:25" ht="11.25" customHeight="1">
      <c r="A156" s="587"/>
      <c r="B156" s="537"/>
      <c r="D156" s="766"/>
      <c r="E156" s="537"/>
      <c r="G156" s="486" t="s">
        <v>3572</v>
      </c>
      <c r="H156" s="172"/>
      <c r="K156" s="1145"/>
      <c r="L156" s="1145" t="str">
        <f>'Part IV-Uses of Funds'!$H$151</f>
        <v>DDA/QCT</v>
      </c>
      <c r="N156" s="28"/>
      <c r="O156" s="28"/>
      <c r="P156" s="28"/>
    </row>
    <row r="157" spans="1:25" ht="11.45" customHeight="1">
      <c r="A157" s="149" t="s">
        <v>2061</v>
      </c>
      <c r="B157" s="195" t="s">
        <v>3573</v>
      </c>
      <c r="D157" s="34"/>
      <c r="M157" s="85">
        <v>2</v>
      </c>
      <c r="N157" s="28"/>
      <c r="O157" s="28"/>
      <c r="P157" s="28"/>
    </row>
    <row r="158" spans="1:25" ht="11.45" customHeight="1">
      <c r="A158" s="587"/>
      <c r="B158" s="492" t="s">
        <v>3575</v>
      </c>
      <c r="E158" s="125"/>
      <c r="N158" s="69" t="s">
        <v>2061</v>
      </c>
      <c r="O158" s="3139" t="s">
        <v>3152</v>
      </c>
      <c r="P158" s="628"/>
      <c r="Q158" s="433"/>
    </row>
    <row r="159" spans="1:25" ht="11.45" customHeight="1">
      <c r="A159" s="149" t="s">
        <v>779</v>
      </c>
      <c r="B159" s="195" t="s">
        <v>2916</v>
      </c>
      <c r="C159" s="195"/>
      <c r="D159" s="34"/>
      <c r="M159" s="122"/>
      <c r="O159" s="595"/>
      <c r="P159" s="595"/>
    </row>
    <row r="160" spans="1:25" ht="22.5" customHeight="1">
      <c r="B160" s="494"/>
      <c r="C160" s="1824" t="s">
        <v>3936</v>
      </c>
      <c r="D160" s="1824"/>
      <c r="E160" s="1824"/>
      <c r="F160" s="1824"/>
      <c r="G160" s="1824"/>
      <c r="H160" s="1824"/>
      <c r="I160" s="1824"/>
      <c r="J160" s="1824"/>
      <c r="K160" s="1824"/>
      <c r="L160" s="1824"/>
      <c r="M160" s="829">
        <v>10</v>
      </c>
      <c r="N160" s="236" t="s">
        <v>779</v>
      </c>
      <c r="O160" s="3244"/>
      <c r="P160" s="629"/>
      <c r="R160" s="1798" t="s">
        <v>3941</v>
      </c>
      <c r="S160" s="1798"/>
      <c r="T160" s="1798" t="s">
        <v>3941</v>
      </c>
      <c r="U160" s="1798"/>
    </row>
    <row r="161" spans="1:21" ht="11.45" customHeight="1">
      <c r="A161" s="149" t="s">
        <v>2193</v>
      </c>
      <c r="B161" s="195" t="s">
        <v>3935</v>
      </c>
      <c r="C161" s="195"/>
      <c r="D161" s="34"/>
      <c r="I161" s="1200" t="s">
        <v>3940</v>
      </c>
      <c r="J161" s="1200" t="s">
        <v>4379</v>
      </c>
      <c r="K161" s="1831" t="s">
        <v>4079</v>
      </c>
      <c r="L161" s="1831"/>
      <c r="M161" s="122">
        <v>4</v>
      </c>
      <c r="N161" s="69" t="s">
        <v>2193</v>
      </c>
      <c r="O161" s="1201">
        <f>IF(O113&gt;=2,0,IF(AND(OR(J129="QCT &amp; Local Govt Adptd Revital Plan",$J$129="Local Govt Adopted Revitaliztn Plan"),SUM(R162:R166)&gt;=4),4,IF(AND(OR($J$129="QCT &amp; Local Govt Adptd Revital Plan",J129="Local Govt Adopted Revitaliztn Plan"),SUM(R162:R166)&gt;=3),3,0)))</f>
        <v>4</v>
      </c>
      <c r="P161" s="1201">
        <f>IF(P113&gt;=2,0,IF(AND(OR(K129="QCT &amp; Local Govt Adptd Revital Plan",$J$129="Local Govt Adopted Revitaliztn Plan"),SUM(S162:S166)&gt;=4),4,IF(AND(OR($J$129="QCT &amp; Local Govt Adptd Revital Plan",K129="Local Govt Adopted Revitaliztn Plan"),SUM(S162:S166)&gt;=3),3,0)))</f>
        <v>0</v>
      </c>
      <c r="R161" s="1210" t="s">
        <v>3420</v>
      </c>
      <c r="S161" s="1440" t="s">
        <v>268</v>
      </c>
      <c r="T161" s="1210" t="s">
        <v>3420</v>
      </c>
      <c r="U161" s="1440" t="s">
        <v>268</v>
      </c>
    </row>
    <row r="162" spans="1:21" ht="11.25" customHeight="1">
      <c r="B162" s="415" t="s">
        <v>2062</v>
      </c>
      <c r="C162" s="827" t="s">
        <v>3937</v>
      </c>
      <c r="D162" s="827"/>
      <c r="E162" s="827"/>
      <c r="F162" s="827"/>
      <c r="G162" s="827"/>
      <c r="H162" s="827"/>
      <c r="I162" s="1279">
        <f>$O$43</f>
        <v>13</v>
      </c>
      <c r="J162" s="1279">
        <f>$P$43</f>
        <v>0</v>
      </c>
      <c r="K162" s="3095"/>
      <c r="L162" s="630"/>
      <c r="M162" s="1832" t="str">
        <f>IF(OR(SUM(T162:T166)&gt;1,SUM(U162:U166)&gt;1),"Only one category can be met by other means!","")</f>
        <v/>
      </c>
      <c r="N162" s="488" t="s">
        <v>2062</v>
      </c>
      <c r="O162" s="1203" t="str">
        <f>IF(OR(I162&gt;=12,K162="Yes"),"Yes","No")</f>
        <v>Yes</v>
      </c>
      <c r="P162" s="630"/>
      <c r="R162" s="1440">
        <f>IF(O162="Yes",1,0)</f>
        <v>1</v>
      </c>
      <c r="S162" s="1440">
        <f>IF(P162="Yes",1,0)</f>
        <v>0</v>
      </c>
      <c r="T162" s="1440">
        <f>IF(K162="Yes",1,0)</f>
        <v>0</v>
      </c>
      <c r="U162" s="1440">
        <f>IF(L162="Yes",1,0)</f>
        <v>0</v>
      </c>
    </row>
    <row r="163" spans="1:21" ht="11.25" customHeight="1">
      <c r="B163" s="415" t="s">
        <v>2064</v>
      </c>
      <c r="C163" s="827" t="s">
        <v>4377</v>
      </c>
      <c r="D163" s="827"/>
      <c r="E163" s="827"/>
      <c r="F163" s="827"/>
      <c r="G163" s="827"/>
      <c r="H163" s="827"/>
      <c r="I163" s="1280" t="str">
        <f>IF(OR(M370="Yes",M371="Yes",M372="Yes",K162="Yes"),"Yes","No")</f>
        <v>Yes</v>
      </c>
      <c r="J163" s="1280" t="str">
        <f>IF(OR(O370="Yes",O371="Yes",O372="Yes",L162="Yes"),"Yes","No")</f>
        <v>No</v>
      </c>
      <c r="K163" s="3098"/>
      <c r="L163" s="631"/>
      <c r="M163" s="1832"/>
      <c r="N163" s="488" t="s">
        <v>2064</v>
      </c>
      <c r="O163" s="1204" t="str">
        <f>IF(OR(I163="Yes",K163="Yes"),"Yes","No")</f>
        <v>Yes</v>
      </c>
      <c r="P163" s="631"/>
      <c r="R163" s="1440">
        <f t="shared" ref="R163:S166" si="0">IF(O163="Yes",1,0)</f>
        <v>1</v>
      </c>
      <c r="S163" s="1440">
        <f t="shared" si="0"/>
        <v>0</v>
      </c>
      <c r="T163" s="1440">
        <f t="shared" ref="T163:U166" si="1">IF(K163="Yes",1,0)</f>
        <v>0</v>
      </c>
      <c r="U163" s="1440">
        <f t="shared" si="1"/>
        <v>0</v>
      </c>
    </row>
    <row r="164" spans="1:21" ht="11.25" customHeight="1">
      <c r="B164" s="415" t="s">
        <v>2622</v>
      </c>
      <c r="C164" s="827" t="s">
        <v>3939</v>
      </c>
      <c r="D164" s="827"/>
      <c r="E164" s="827"/>
      <c r="F164" s="827"/>
      <c r="G164" s="827"/>
      <c r="H164" s="827"/>
      <c r="I164" s="1279">
        <f>$O$275</f>
        <v>0</v>
      </c>
      <c r="J164" s="1279">
        <f>$P$275</f>
        <v>0</v>
      </c>
      <c r="K164" s="3098"/>
      <c r="L164" s="631"/>
      <c r="M164" s="1832"/>
      <c r="N164" s="488" t="s">
        <v>2622</v>
      </c>
      <c r="O164" s="1204" t="str">
        <f>IF(OR(I164&gt;=2,K164="Yes"),"Yes","No")</f>
        <v>No</v>
      </c>
      <c r="P164" s="631"/>
      <c r="R164" s="1440">
        <f t="shared" si="0"/>
        <v>0</v>
      </c>
      <c r="S164" s="1440">
        <f t="shared" si="0"/>
        <v>0</v>
      </c>
      <c r="T164" s="1440">
        <f t="shared" si="1"/>
        <v>0</v>
      </c>
      <c r="U164" s="1440">
        <f t="shared" si="1"/>
        <v>0</v>
      </c>
    </row>
    <row r="165" spans="1:21" ht="11.25" customHeight="1">
      <c r="B165" s="415" t="s">
        <v>1270</v>
      </c>
      <c r="C165" s="827" t="s">
        <v>3938</v>
      </c>
      <c r="D165" s="827"/>
      <c r="E165" s="827"/>
      <c r="F165" s="827"/>
      <c r="G165" s="827"/>
      <c r="H165" s="827"/>
      <c r="I165" s="1279">
        <f>$O$378</f>
        <v>2</v>
      </c>
      <c r="J165" s="1279">
        <f>$P$378</f>
        <v>0</v>
      </c>
      <c r="K165" s="3098"/>
      <c r="L165" s="631"/>
      <c r="M165" s="1832"/>
      <c r="N165" s="488" t="s">
        <v>1270</v>
      </c>
      <c r="O165" s="1204" t="str">
        <f>IF(OR(I165&gt;=2,K165="Yes"),"Yes","No")</f>
        <v>Yes</v>
      </c>
      <c r="P165" s="631"/>
      <c r="R165" s="1440">
        <f t="shared" si="0"/>
        <v>1</v>
      </c>
      <c r="S165" s="1440">
        <f t="shared" si="0"/>
        <v>0</v>
      </c>
      <c r="T165" s="1440">
        <f t="shared" si="1"/>
        <v>0</v>
      </c>
      <c r="U165" s="1440">
        <f t="shared" si="1"/>
        <v>0</v>
      </c>
    </row>
    <row r="166" spans="1:21" ht="11.25" customHeight="1">
      <c r="B166" s="415" t="s">
        <v>1271</v>
      </c>
      <c r="C166" s="827" t="s">
        <v>4378</v>
      </c>
      <c r="D166" s="827"/>
      <c r="E166" s="827"/>
      <c r="F166" s="827"/>
      <c r="G166" s="827"/>
      <c r="H166" s="827"/>
      <c r="I166" s="1202">
        <f>$L$125</f>
        <v>0.22222222222222221</v>
      </c>
      <c r="J166" s="1378"/>
      <c r="K166" s="3096"/>
      <c r="L166" s="632"/>
      <c r="M166" s="1832"/>
      <c r="N166" s="488" t="s">
        <v>1271</v>
      </c>
      <c r="O166" s="1205" t="str">
        <f>IF(OR(I166&gt;=15%,K166="Yes"),"Yes","No")</f>
        <v>Yes</v>
      </c>
      <c r="P166" s="632"/>
      <c r="R166" s="1440">
        <f t="shared" si="0"/>
        <v>1</v>
      </c>
      <c r="S166" s="1440">
        <f t="shared" si="0"/>
        <v>0</v>
      </c>
      <c r="T166" s="1440">
        <f t="shared" si="1"/>
        <v>0</v>
      </c>
      <c r="U166" s="1440">
        <f t="shared" si="1"/>
        <v>0</v>
      </c>
    </row>
    <row r="167" spans="1:21" s="44" customFormat="1" ht="13.9" customHeight="1">
      <c r="A167" s="43"/>
      <c r="B167" s="50" t="s">
        <v>267</v>
      </c>
      <c r="C167" s="43"/>
      <c r="D167" s="49"/>
      <c r="E167" s="49"/>
      <c r="F167" s="49"/>
      <c r="G167" s="49"/>
      <c r="H167" s="37"/>
      <c r="I167" s="145"/>
      <c r="M167" s="47"/>
      <c r="N167" s="65"/>
      <c r="O167" s="3"/>
      <c r="P167" s="1420"/>
    </row>
    <row r="168" spans="1:21" s="44" customFormat="1" ht="70.150000000000006" customHeight="1">
      <c r="A168" s="3214" t="s">
        <v>4372</v>
      </c>
      <c r="B168" s="3215"/>
      <c r="C168" s="3215"/>
      <c r="D168" s="3215"/>
      <c r="E168" s="3215"/>
      <c r="F168" s="3215"/>
      <c r="G168" s="3215"/>
      <c r="H168" s="3215"/>
      <c r="I168" s="3215"/>
      <c r="J168" s="3215"/>
      <c r="K168" s="3215"/>
      <c r="L168" s="3215"/>
      <c r="M168" s="3215"/>
      <c r="N168" s="3215"/>
      <c r="O168" s="3215"/>
      <c r="P168" s="3216"/>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21"/>
      <c r="B170" s="1822"/>
      <c r="C170" s="1822"/>
      <c r="D170" s="1822"/>
      <c r="E170" s="1822"/>
      <c r="F170" s="1822"/>
      <c r="G170" s="1822"/>
      <c r="H170" s="1822"/>
      <c r="I170" s="1822"/>
      <c r="J170" s="1822"/>
      <c r="K170" s="1822"/>
      <c r="L170" s="1822"/>
      <c r="M170" s="1822"/>
      <c r="N170" s="1822"/>
      <c r="O170" s="1822"/>
      <c r="P170" s="1823"/>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25" t="str">
        <f>'Part I-Project Information'!$H$90</f>
        <v>Flexible</v>
      </c>
      <c r="K173" s="1825"/>
      <c r="N173" s="28"/>
      <c r="O173" s="28"/>
      <c r="P173" s="28"/>
    </row>
    <row r="174" spans="1:21" ht="12" customHeight="1">
      <c r="A174" s="1414" t="s">
        <v>2058</v>
      </c>
      <c r="B174" s="195" t="s">
        <v>2312</v>
      </c>
      <c r="D174" s="34"/>
      <c r="E174" s="34"/>
      <c r="F174" s="34"/>
      <c r="H174" s="92" t="s">
        <v>4127</v>
      </c>
      <c r="I174" s="484"/>
      <c r="J174" s="1825" t="str">
        <f>'Part I-Project Information'!$O$24</f>
        <v>Yes- w/Master Plan</v>
      </c>
      <c r="K174" s="1825"/>
      <c r="L174" s="1333" t="str">
        <f>'Part I-Project Information'!$O$25</f>
        <v>2015-046</v>
      </c>
      <c r="M174" s="77">
        <v>3</v>
      </c>
      <c r="N174" s="525" t="s">
        <v>2058</v>
      </c>
      <c r="O174" s="3170">
        <v>3</v>
      </c>
      <c r="P174" s="622"/>
      <c r="Q174" s="433" t="s">
        <v>2810</v>
      </c>
    </row>
    <row r="175" spans="1:21" s="106" customFormat="1" ht="22.5" customHeight="1">
      <c r="B175" s="1158" t="s">
        <v>2062</v>
      </c>
      <c r="C175" s="1824" t="s">
        <v>3942</v>
      </c>
      <c r="D175" s="1771"/>
      <c r="E175" s="1771"/>
      <c r="F175" s="1771"/>
      <c r="G175" s="1771"/>
      <c r="H175" s="1771"/>
      <c r="I175" s="1771"/>
      <c r="J175" s="1771"/>
      <c r="K175" s="1771"/>
      <c r="L175" s="1771"/>
      <c r="M175" s="464"/>
      <c r="N175" s="434" t="s">
        <v>2062</v>
      </c>
      <c r="O175" s="3140" t="s">
        <v>3152</v>
      </c>
      <c r="P175" s="635"/>
    </row>
    <row r="176" spans="1:21" s="106" customFormat="1" ht="12" customHeight="1">
      <c r="B176" s="763"/>
      <c r="C176" s="126" t="s">
        <v>997</v>
      </c>
      <c r="H176" s="537" t="s">
        <v>2671</v>
      </c>
      <c r="J176" s="3245" t="s">
        <v>4209</v>
      </c>
      <c r="K176" s="3246"/>
    </row>
    <row r="177" spans="1:17" s="106" customFormat="1" ht="12" customHeight="1">
      <c r="B177" s="763"/>
      <c r="C177" s="126"/>
      <c r="H177" s="537" t="s">
        <v>2381</v>
      </c>
      <c r="J177" s="3247" t="s">
        <v>4297</v>
      </c>
      <c r="K177" s="3248"/>
      <c r="L177" s="3249"/>
    </row>
    <row r="178" spans="1:17" s="126" customFormat="1" ht="12" customHeight="1">
      <c r="B178" s="763" t="s">
        <v>2064</v>
      </c>
      <c r="C178" s="126" t="s">
        <v>998</v>
      </c>
      <c r="M178" s="7"/>
      <c r="N178" s="192" t="s">
        <v>2064</v>
      </c>
      <c r="O178" s="3095" t="s">
        <v>3152</v>
      </c>
      <c r="P178" s="630"/>
    </row>
    <row r="179" spans="1:17" s="126" customFormat="1" ht="12" customHeight="1">
      <c r="B179" s="763" t="s">
        <v>2622</v>
      </c>
      <c r="C179" s="126" t="s">
        <v>999</v>
      </c>
      <c r="M179" s="7"/>
      <c r="N179" s="192" t="s">
        <v>2622</v>
      </c>
      <c r="O179" s="3098" t="s">
        <v>3155</v>
      </c>
      <c r="P179" s="631"/>
    </row>
    <row r="180" spans="1:17" s="126" customFormat="1" ht="12" customHeight="1">
      <c r="A180" s="587"/>
      <c r="B180" s="763" t="s">
        <v>1270</v>
      </c>
      <c r="C180" s="126" t="s">
        <v>1000</v>
      </c>
      <c r="M180" s="7"/>
      <c r="N180" s="192" t="s">
        <v>1270</v>
      </c>
      <c r="O180" s="3096" t="s">
        <v>3152</v>
      </c>
      <c r="P180" s="632"/>
    </row>
    <row r="181" spans="1:17" s="34" customFormat="1" ht="12" customHeight="1">
      <c r="A181" s="1414" t="s">
        <v>2061</v>
      </c>
      <c r="B181" s="195" t="s">
        <v>3945</v>
      </c>
      <c r="D181" s="772"/>
      <c r="H181" s="64" t="s">
        <v>3601</v>
      </c>
      <c r="M181" s="768">
        <v>3</v>
      </c>
      <c r="N181" s="525" t="s">
        <v>2061</v>
      </c>
      <c r="O181" s="1209">
        <f>IF($J$173="Flexible", MIN($M$181, SUM(O183:O184)), 0)</f>
        <v>0</v>
      </c>
      <c r="P181" s="1209">
        <f>IF($J$173="Flexible", MIN($M$181, SUM(P183:P184)), 0)</f>
        <v>0</v>
      </c>
    </row>
    <row r="182" spans="1:17" s="34" customFormat="1" ht="12" customHeight="1">
      <c r="A182" s="1414"/>
      <c r="B182" s="1206" t="s">
        <v>3947</v>
      </c>
      <c r="D182" s="772"/>
      <c r="H182" s="64"/>
    </row>
    <row r="183" spans="1:17" s="34" customFormat="1" ht="12" customHeight="1">
      <c r="B183" s="415" t="s">
        <v>2062</v>
      </c>
      <c r="C183" s="770" t="s">
        <v>3950</v>
      </c>
      <c r="M183" s="77">
        <v>3</v>
      </c>
      <c r="N183" s="488" t="s">
        <v>2062</v>
      </c>
      <c r="O183" s="3170"/>
      <c r="P183" s="622"/>
      <c r="Q183" s="188" t="s">
        <v>2810</v>
      </c>
    </row>
    <row r="184" spans="1:17" ht="12" customHeight="1">
      <c r="A184" s="771" t="s">
        <v>1403</v>
      </c>
      <c r="B184" s="494" t="s">
        <v>2064</v>
      </c>
      <c r="C184" s="493" t="s">
        <v>3948</v>
      </c>
      <c r="D184" s="34"/>
      <c r="E184" s="34"/>
      <c r="F184" s="34"/>
      <c r="G184" s="41"/>
      <c r="H184" s="64"/>
      <c r="I184" s="41"/>
      <c r="M184" s="85">
        <v>2</v>
      </c>
      <c r="N184" s="1207" t="s">
        <v>2064</v>
      </c>
      <c r="O184" s="3171"/>
      <c r="P184" s="624"/>
      <c r="Q184" s="188" t="s">
        <v>2810</v>
      </c>
    </row>
    <row r="185" spans="1:17" s="34" customFormat="1" ht="12" customHeight="1">
      <c r="A185" s="1414" t="s">
        <v>779</v>
      </c>
      <c r="B185" s="195" t="s">
        <v>3946</v>
      </c>
      <c r="D185" s="772"/>
      <c r="H185" s="64" t="s">
        <v>3954</v>
      </c>
      <c r="M185" s="768">
        <v>4</v>
      </c>
      <c r="N185" s="525" t="s">
        <v>779</v>
      </c>
      <c r="O185" s="1209">
        <f>IF($J$173="Rural", MIN($M$185, SUM(O187:O189)), 0)</f>
        <v>0</v>
      </c>
      <c r="P185" s="1209">
        <f>IF($J$173="Rural", MIN($M$181, SUM(P187:P189)), 0)</f>
        <v>0</v>
      </c>
    </row>
    <row r="186" spans="1:17" s="34" customFormat="1" ht="12" customHeight="1">
      <c r="A186" s="1414"/>
      <c r="B186" s="1206" t="s">
        <v>3951</v>
      </c>
      <c r="D186" s="772"/>
      <c r="H186" s="64"/>
    </row>
    <row r="187" spans="1:17" s="34" customFormat="1" ht="12" customHeight="1">
      <c r="B187" s="415" t="s">
        <v>2062</v>
      </c>
      <c r="C187" s="770" t="s">
        <v>3953</v>
      </c>
      <c r="K187" s="1809" t="str">
        <f>IF(AND(O187&gt;0,O189&gt;0),"Choose either option 1 or option 3!!!","")</f>
        <v/>
      </c>
      <c r="L187" s="1809"/>
      <c r="M187" s="77">
        <v>3</v>
      </c>
      <c r="N187" s="488" t="s">
        <v>2062</v>
      </c>
      <c r="O187" s="3170"/>
      <c r="P187" s="622"/>
      <c r="Q187" s="188" t="s">
        <v>2810</v>
      </c>
    </row>
    <row r="188" spans="1:17" ht="12" customHeight="1">
      <c r="A188" s="771"/>
      <c r="B188" s="494" t="s">
        <v>2064</v>
      </c>
      <c r="C188" s="484" t="s">
        <v>3949</v>
      </c>
      <c r="D188" s="34"/>
      <c r="E188" s="34"/>
      <c r="F188" s="34"/>
      <c r="G188" s="41"/>
      <c r="H188" s="1208" t="s">
        <v>3955</v>
      </c>
      <c r="I188" s="41"/>
      <c r="K188" s="1809"/>
      <c r="L188" s="1809"/>
      <c r="M188" s="85">
        <v>1</v>
      </c>
      <c r="N188" s="1207" t="s">
        <v>2064</v>
      </c>
      <c r="O188" s="3196"/>
      <c r="P188" s="623"/>
      <c r="Q188" s="188" t="s">
        <v>2810</v>
      </c>
    </row>
    <row r="189" spans="1:17" ht="12" customHeight="1">
      <c r="A189" s="771" t="s">
        <v>1403</v>
      </c>
      <c r="B189" s="494" t="s">
        <v>2622</v>
      </c>
      <c r="C189" s="493" t="s">
        <v>3952</v>
      </c>
      <c r="D189" s="34"/>
      <c r="E189" s="34"/>
      <c r="F189" s="34"/>
      <c r="G189" s="41"/>
      <c r="H189" s="64"/>
      <c r="I189" s="41"/>
      <c r="K189" s="1809"/>
      <c r="L189" s="1809"/>
      <c r="M189" s="85">
        <v>2</v>
      </c>
      <c r="N189" s="1207" t="s">
        <v>2622</v>
      </c>
      <c r="O189" s="3171"/>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60" t="s">
        <v>4364</v>
      </c>
      <c r="B191" s="3061"/>
      <c r="C191" s="3061"/>
      <c r="D191" s="3061"/>
      <c r="E191" s="3061"/>
      <c r="F191" s="3061"/>
      <c r="G191" s="3061"/>
      <c r="H191" s="3061"/>
      <c r="I191" s="3061"/>
      <c r="J191" s="3061"/>
      <c r="K191" s="3061"/>
      <c r="L191" s="3061"/>
      <c r="M191" s="3061"/>
      <c r="N191" s="3061"/>
      <c r="O191" s="3061"/>
      <c r="P191" s="3062"/>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6">
        <v>2</v>
      </c>
      <c r="N195" s="441"/>
      <c r="O195" s="839">
        <f>IF(SUM(R197:R200)=0,2,IF(SUM(R197:R200)=1,1,0))</f>
        <v>2</v>
      </c>
      <c r="P195" s="839">
        <f>IF(SUM(S197:S200)=0,2,IF(SUM(S197:S200)=1,1,0))</f>
        <v>2</v>
      </c>
      <c r="Q195" s="115" t="s">
        <v>456</v>
      </c>
      <c r="R195" s="1798" t="s">
        <v>3941</v>
      </c>
      <c r="S195" s="1798"/>
    </row>
    <row r="196" spans="1:20" ht="11.45" customHeight="1">
      <c r="B196" s="178" t="s">
        <v>1729</v>
      </c>
      <c r="E196" s="125"/>
      <c r="M196" s="430"/>
      <c r="N196" s="28"/>
      <c r="O196" s="127" t="s">
        <v>2597</v>
      </c>
      <c r="P196" s="127" t="s">
        <v>2597</v>
      </c>
      <c r="R196" s="1210" t="s">
        <v>3420</v>
      </c>
      <c r="S196" s="1440" t="s">
        <v>268</v>
      </c>
    </row>
    <row r="197" spans="1:20" s="436" customFormat="1" ht="22.5" customHeight="1">
      <c r="A197" s="154" t="s">
        <v>2058</v>
      </c>
      <c r="B197" s="1828" t="s">
        <v>3956</v>
      </c>
      <c r="C197" s="1828"/>
      <c r="D197" s="1828"/>
      <c r="E197" s="1828"/>
      <c r="F197" s="1828"/>
      <c r="G197" s="1828"/>
      <c r="H197" s="1828"/>
      <c r="I197" s="1828"/>
      <c r="J197" s="1828"/>
      <c r="K197" s="1828"/>
      <c r="L197" s="1828"/>
      <c r="M197" s="110"/>
      <c r="N197" s="174" t="s">
        <v>2058</v>
      </c>
      <c r="O197" s="3137" t="s">
        <v>3155</v>
      </c>
      <c r="P197" s="633"/>
      <c r="R197" s="1211">
        <f t="shared" ref="R197:S200" si="2">IF(O197="Yes",1,0)</f>
        <v>0</v>
      </c>
      <c r="S197" s="1211">
        <f t="shared" si="2"/>
        <v>0</v>
      </c>
    </row>
    <row r="198" spans="1:20" s="436" customFormat="1" ht="22.5" customHeight="1">
      <c r="A198" s="154" t="s">
        <v>2061</v>
      </c>
      <c r="B198" s="1828" t="s">
        <v>2841</v>
      </c>
      <c r="C198" s="1828"/>
      <c r="D198" s="1828"/>
      <c r="E198" s="1828"/>
      <c r="F198" s="1828"/>
      <c r="G198" s="1828"/>
      <c r="H198" s="1828"/>
      <c r="I198" s="1828"/>
      <c r="J198" s="1828"/>
      <c r="K198" s="1828"/>
      <c r="L198" s="1828"/>
      <c r="M198" s="110"/>
      <c r="N198" s="174" t="s">
        <v>2061</v>
      </c>
      <c r="O198" s="3099" t="s">
        <v>3155</v>
      </c>
      <c r="P198" s="634"/>
      <c r="R198" s="1211">
        <f t="shared" si="2"/>
        <v>0</v>
      </c>
      <c r="S198" s="1211">
        <f t="shared" si="2"/>
        <v>0</v>
      </c>
    </row>
    <row r="199" spans="1:20" s="436" customFormat="1" ht="11.25" customHeight="1">
      <c r="A199" s="154" t="s">
        <v>779</v>
      </c>
      <c r="B199" s="233" t="s">
        <v>1730</v>
      </c>
      <c r="M199" s="490"/>
      <c r="N199" s="69" t="s">
        <v>779</v>
      </c>
      <c r="O199" s="3098" t="s">
        <v>3155</v>
      </c>
      <c r="P199" s="634"/>
      <c r="R199" s="1440">
        <f t="shared" si="2"/>
        <v>0</v>
      </c>
      <c r="S199" s="1440">
        <f t="shared" si="2"/>
        <v>0</v>
      </c>
    </row>
    <row r="200" spans="1:20" s="436" customFormat="1" ht="11.25" customHeight="1">
      <c r="A200" s="154" t="s">
        <v>2193</v>
      </c>
      <c r="B200" s="150" t="s">
        <v>3957</v>
      </c>
      <c r="M200" s="490"/>
      <c r="N200" s="69" t="s">
        <v>2193</v>
      </c>
      <c r="O200" s="3096" t="s">
        <v>3155</v>
      </c>
      <c r="P200" s="635"/>
      <c r="R200" s="1440">
        <f t="shared" si="2"/>
        <v>0</v>
      </c>
      <c r="S200" s="144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88.15" customHeight="1">
      <c r="A202" s="3060" t="s">
        <v>4365</v>
      </c>
      <c r="B202" s="3061"/>
      <c r="C202" s="3061"/>
      <c r="D202" s="3061"/>
      <c r="E202" s="3061"/>
      <c r="F202" s="3061"/>
      <c r="G202" s="3061"/>
      <c r="H202" s="3061"/>
      <c r="I202" s="3061"/>
      <c r="J202" s="3061"/>
      <c r="K202" s="3061"/>
      <c r="L202" s="3061"/>
      <c r="M202" s="3061"/>
      <c r="N202" s="3061"/>
      <c r="O202" s="3061"/>
      <c r="P202" s="3062"/>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0">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6" t="s">
        <v>3152</v>
      </c>
      <c r="P208" s="632"/>
      <c r="Q208" s="433"/>
      <c r="R208" s="417"/>
    </row>
    <row r="209" spans="1:20" s="44" customFormat="1" ht="12" customHeight="1">
      <c r="A209" s="149" t="s">
        <v>2061</v>
      </c>
      <c r="B209" s="180" t="s">
        <v>2314</v>
      </c>
      <c r="D209" s="60"/>
      <c r="K209" s="54"/>
      <c r="L209" s="108"/>
      <c r="M209" s="7">
        <v>1</v>
      </c>
      <c r="N209" s="525" t="s">
        <v>2061</v>
      </c>
      <c r="O209" s="3170"/>
      <c r="P209" s="622"/>
      <c r="Q209" s="433" t="s">
        <v>2810</v>
      </c>
      <c r="T209" s="417" t="str">
        <f>IF(OR($O209=$M209,$O209=0,$O209=""),"","* * Check Score! * *")</f>
        <v/>
      </c>
    </row>
    <row r="210" spans="1:20" s="44" customFormat="1" ht="12" customHeight="1">
      <c r="A210" s="149"/>
      <c r="B210" s="1223" t="s">
        <v>3958</v>
      </c>
      <c r="D210" s="60"/>
      <c r="H210" s="1434"/>
      <c r="K210" s="54"/>
      <c r="L210" s="108"/>
      <c r="M210" s="7"/>
      <c r="N210" s="525"/>
      <c r="O210" s="3096"/>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3594</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3710</v>
      </c>
      <c r="D216" s="34"/>
      <c r="N216" s="525"/>
      <c r="O216" s="3095"/>
      <c r="P216" s="630"/>
      <c r="R216" s="417"/>
    </row>
    <row r="217" spans="1:20" s="44" customFormat="1" ht="12" customHeight="1">
      <c r="A217" s="149"/>
      <c r="B217" s="57" t="s">
        <v>3711</v>
      </c>
      <c r="D217" s="34"/>
      <c r="N217" s="525"/>
      <c r="O217" s="3098"/>
      <c r="P217" s="631"/>
      <c r="R217" s="417"/>
    </row>
    <row r="218" spans="1:20" s="44" customFormat="1" ht="12" customHeight="1">
      <c r="A218" s="149"/>
      <c r="B218" s="57" t="s">
        <v>3959</v>
      </c>
      <c r="D218" s="34"/>
      <c r="N218" s="525"/>
      <c r="O218" s="3096"/>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2954</v>
      </c>
      <c r="E222" s="37" t="s">
        <v>3863</v>
      </c>
      <c r="G222" s="828" t="str">
        <f>'Part I-Project Information'!$H$90</f>
        <v>Flexible</v>
      </c>
      <c r="H222" s="596" t="str">
        <f>IF(G222="Flexible","(NOTE: Only Rural pool applicants are eligible for this section.)","")</f>
        <v>(NOTE: Only Rural pool applicants are eligible for this section.)</v>
      </c>
      <c r="K222" s="481" t="s">
        <v>3864</v>
      </c>
      <c r="L222" s="596" t="str">
        <f>'Part I-Project Information'!$K$30</f>
        <v>Urban</v>
      </c>
      <c r="M222" s="1416">
        <v>2</v>
      </c>
      <c r="N222" s="441"/>
      <c r="O222" s="3250">
        <v>0</v>
      </c>
      <c r="P222" s="626"/>
      <c r="Q222" s="115" t="s">
        <v>456</v>
      </c>
      <c r="R222" s="775" t="s">
        <v>2810</v>
      </c>
    </row>
    <row r="223" spans="1:20" s="66" customFormat="1" ht="3" customHeight="1">
      <c r="A223" s="165"/>
      <c r="M223" s="1416"/>
      <c r="N223" s="441"/>
      <c r="O223" s="441"/>
      <c r="P223" s="441"/>
    </row>
    <row r="224" spans="1:20" s="66" customFormat="1" ht="24.75" customHeight="1">
      <c r="A224" s="1718" t="s">
        <v>3960</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6" t="str">
        <f>'Part II-Development Team'!$H$14</f>
        <v>240 Atlanta Street Phase 2 GP, LLC</v>
      </c>
      <c r="D225" s="1826"/>
      <c r="F225" s="1281">
        <f>'Part II-Development Team'!$L$139</f>
        <v>1E-4</v>
      </c>
      <c r="G225" s="1827" t="str">
        <f>'Part II-Development Team'!$Q$14</f>
        <v>Beth Brown</v>
      </c>
      <c r="H225" s="1827"/>
      <c r="I225" s="1216" t="s">
        <v>4191</v>
      </c>
      <c r="J225" s="1368">
        <f>'Part VI-Revenues &amp; Expenses'!$O$62</f>
        <v>90</v>
      </c>
      <c r="K225" s="1829" t="s">
        <v>4192</v>
      </c>
      <c r="L225" s="1830"/>
      <c r="N225" s="441"/>
      <c r="O225" s="1933" t="s">
        <v>4198</v>
      </c>
      <c r="P225" s="1934"/>
      <c r="Q225" s="115"/>
      <c r="R225" s="28"/>
    </row>
    <row r="226" spans="1:18" s="66" customFormat="1" ht="10.5" customHeight="1">
      <c r="A226" s="1169" t="s">
        <v>3865</v>
      </c>
      <c r="C226" s="1826">
        <f>'Part II-Development Team'!$H$20</f>
        <v>0</v>
      </c>
      <c r="D226" s="1826"/>
      <c r="F226" s="1281">
        <f>'Part II-Development Team'!$L$140</f>
        <v>0</v>
      </c>
      <c r="G226" s="1827">
        <f>'Part II-Development Team'!$Q$20</f>
        <v>0</v>
      </c>
      <c r="H226" s="1827"/>
      <c r="I226" s="1217" t="s">
        <v>379</v>
      </c>
      <c r="J226" s="1369">
        <f>'Part VI-Revenues &amp; Expenses'!$O$81+'Part VI-Revenues &amp; Expenses'!$O$82</f>
        <v>0</v>
      </c>
      <c r="K226" s="1829"/>
      <c r="L226" s="1830"/>
      <c r="M226" s="3251"/>
      <c r="O226" s="1373" t="s">
        <v>1399</v>
      </c>
      <c r="P226" s="1374">
        <f>IF('Part VI-Revenues &amp; Expenses'!$O$62=0,0,'Part VI-Revenues &amp; Expenses'!$O$74/'Part VI-Revenues &amp; Expenses'!$O$62)</f>
        <v>1</v>
      </c>
      <c r="Q226" s="115"/>
      <c r="R226" s="28"/>
    </row>
    <row r="227" spans="1:18" s="66" customFormat="1" ht="10.5" customHeight="1">
      <c r="A227" s="1169" t="s">
        <v>3961</v>
      </c>
      <c r="C227" s="1826">
        <f>'Part II-Development Team'!$H$26</f>
        <v>0</v>
      </c>
      <c r="D227" s="1826"/>
      <c r="F227" s="1281">
        <f>'Part II-Development Team'!$L$141</f>
        <v>0</v>
      </c>
      <c r="G227" s="1827">
        <f>'Part II-Development Team'!$Q$26</f>
        <v>0</v>
      </c>
      <c r="H227" s="1827"/>
      <c r="I227" s="1218" t="s">
        <v>2375</v>
      </c>
      <c r="J227" s="1370">
        <f>'Part VI-Revenues &amp; Expenses'!$O$74</f>
        <v>90</v>
      </c>
      <c r="K227" s="1829"/>
      <c r="L227" s="1830"/>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3962</v>
      </c>
      <c r="C228" s="1826">
        <f>'Part II-Development Team'!$H$80</f>
        <v>0</v>
      </c>
      <c r="D228" s="1826"/>
      <c r="F228" s="1281">
        <f>'Part II-Development Team'!$L$148</f>
        <v>0</v>
      </c>
      <c r="G228" s="1827">
        <f>'Part II-Development Team'!$Q$80</f>
        <v>0</v>
      </c>
      <c r="H228" s="1827"/>
      <c r="I228" s="1170" t="s">
        <v>678</v>
      </c>
      <c r="J228" s="1826" t="str">
        <f>'Part II-Development Team'!$H$54</f>
        <v>Gainesville Housing Corporation</v>
      </c>
      <c r="K228" s="1826"/>
      <c r="L228" s="1281">
        <f>'Part II-Development Team'!$L$145</f>
        <v>0</v>
      </c>
      <c r="M228" s="1827" t="str">
        <f>'Part II-Development Team'!$Q$54</f>
        <v>Beth Brown</v>
      </c>
      <c r="N228" s="1827"/>
      <c r="Q228" s="115"/>
      <c r="R228" s="28"/>
    </row>
    <row r="229" spans="1:18" s="66" customFormat="1" ht="10.5" customHeight="1">
      <c r="A229" s="1170" t="s">
        <v>3965</v>
      </c>
      <c r="C229" s="1826" t="str">
        <f>'Part II-Development Team'!$H$33</f>
        <v>Wells Fargo Community Lending and Investment</v>
      </c>
      <c r="D229" s="1826"/>
      <c r="F229" s="1281">
        <f>'Part II-Development Team'!$L$142</f>
        <v>0.9899</v>
      </c>
      <c r="G229" s="1827" t="str">
        <f>'Part II-Development Team'!$Q$33</f>
        <v>J. Frederick Davis, III</v>
      </c>
      <c r="H229" s="1827"/>
      <c r="I229" s="1170" t="s">
        <v>3038</v>
      </c>
      <c r="J229" s="1826" t="str">
        <f>'Part II-Development Team'!$H$60</f>
        <v>KDTA Development, Inc.</v>
      </c>
      <c r="K229" s="1826"/>
      <c r="L229" s="1281">
        <f>'Part II-Development Team'!$L$146</f>
        <v>0</v>
      </c>
      <c r="M229" s="1827" t="str">
        <f>'Part II-Development Team'!$Q$60</f>
        <v>Keith A. Davidson</v>
      </c>
      <c r="N229" s="1827"/>
      <c r="O229" s="441"/>
      <c r="P229" s="441"/>
      <c r="Q229" s="115"/>
      <c r="R229" s="28"/>
    </row>
    <row r="230" spans="1:18" s="66" customFormat="1" ht="10.5" customHeight="1">
      <c r="A230" s="1170" t="s">
        <v>3966</v>
      </c>
      <c r="C230" s="1826" t="str">
        <f>'Part II-Development Team'!$H$39</f>
        <v>240 Atlanta Street Phase 2 Walton Limited, LLC</v>
      </c>
      <c r="D230" s="1826"/>
      <c r="F230" s="1281">
        <f>'Part II-Development Team'!$L$143</f>
        <v>0.01</v>
      </c>
      <c r="G230" s="1827" t="str">
        <f>'Part II-Development Team'!$Q$39</f>
        <v>Keith A. Davidson</v>
      </c>
      <c r="H230" s="1827"/>
      <c r="I230" s="1170" t="s">
        <v>3039</v>
      </c>
      <c r="J230" s="1826">
        <f>'Part II-Development Team'!$H$66</f>
        <v>0</v>
      </c>
      <c r="K230" s="1826"/>
      <c r="L230" s="1281">
        <f>'Part II-Development Team'!$L$147</f>
        <v>0</v>
      </c>
      <c r="M230" s="1827">
        <f>'Part II-Development Team'!$Q$66</f>
        <v>0</v>
      </c>
      <c r="N230" s="1827"/>
      <c r="O230" s="441"/>
      <c r="P230" s="441"/>
      <c r="Q230" s="115"/>
      <c r="R230" s="28"/>
    </row>
    <row r="231" spans="1:18" s="66" customFormat="1" ht="10.5" customHeight="1">
      <c r="A231" s="1212" t="s">
        <v>3964</v>
      </c>
      <c r="C231" s="1826" t="str">
        <f>'Part II-Development Team'!$H$46</f>
        <v>Gainesville Housing Corporation</v>
      </c>
      <c r="D231" s="1826"/>
      <c r="F231" s="1281">
        <f>'Part II-Development Team'!$L$144</f>
        <v>0</v>
      </c>
      <c r="G231" s="1827" t="str">
        <f>'Part II-Development Team'!$Q$46</f>
        <v>Beth Brown</v>
      </c>
      <c r="H231" s="1827"/>
      <c r="I231" s="1170" t="s">
        <v>3963</v>
      </c>
      <c r="J231" s="1826">
        <f>'Part II-Development Team'!$H$72</f>
        <v>0</v>
      </c>
      <c r="K231" s="1826"/>
      <c r="L231" s="1281">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60" t="s">
        <v>4366</v>
      </c>
      <c r="B233" s="3061"/>
      <c r="C233" s="3061"/>
      <c r="D233" s="3061"/>
      <c r="E233" s="3061"/>
      <c r="F233" s="3061"/>
      <c r="G233" s="3061"/>
      <c r="H233" s="3061"/>
      <c r="I233" s="3062"/>
      <c r="J233" s="1705"/>
      <c r="K233" s="1706"/>
      <c r="L233" s="1706"/>
      <c r="M233" s="1706"/>
      <c r="N233" s="1706"/>
      <c r="O233" s="1706"/>
      <c r="P233" s="1707"/>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4"/>
      <c r="L235" s="417"/>
      <c r="M235" s="1193">
        <v>2</v>
      </c>
      <c r="N235" s="441"/>
      <c r="O235" s="1214">
        <f>MIN($M$235,O236+O243)</f>
        <v>1</v>
      </c>
      <c r="P235" s="1214">
        <f>MIN($M$235,P236+P243)</f>
        <v>0</v>
      </c>
      <c r="Q235" s="115" t="s">
        <v>456</v>
      </c>
    </row>
    <row r="236" spans="1:18" s="44" customFormat="1" ht="13.5" customHeight="1">
      <c r="A236" s="149" t="s">
        <v>2058</v>
      </c>
      <c r="B236" s="121" t="s">
        <v>3969</v>
      </c>
      <c r="D236" s="94"/>
      <c r="E236" s="94"/>
      <c r="G236" s="54"/>
      <c r="H236" s="54"/>
      <c r="I236" s="54"/>
      <c r="J236" s="56"/>
      <c r="K236" s="1434"/>
      <c r="L236" s="417" t="str">
        <f>IF(OR($O236=$M236,$O236=0,$O236=""),"","* * Check Score! * *")</f>
        <v/>
      </c>
      <c r="M236" s="483">
        <v>1</v>
      </c>
      <c r="N236" s="441" t="str">
        <f>IF(OR($O236=$M236,$O236=0,$O236=""),"","***")</f>
        <v/>
      </c>
      <c r="O236" s="3184">
        <v>1</v>
      </c>
      <c r="P236" s="1148"/>
      <c r="Q236" s="115"/>
      <c r="R236" s="433" t="s">
        <v>2810</v>
      </c>
    </row>
    <row r="237" spans="1:18" s="44" customFormat="1" ht="12" customHeight="1">
      <c r="B237" s="41" t="s">
        <v>3967</v>
      </c>
      <c r="D237" s="108"/>
      <c r="E237" s="94"/>
      <c r="F237" s="54"/>
      <c r="G237" s="54"/>
      <c r="H237" s="54"/>
      <c r="I237" s="53"/>
      <c r="N237" s="525" t="s">
        <v>2058</v>
      </c>
      <c r="O237" s="127" t="s">
        <v>2597</v>
      </c>
      <c r="P237" s="127" t="s">
        <v>2597</v>
      </c>
    </row>
    <row r="238" spans="1:18" s="106" customFormat="1" ht="12" customHeight="1">
      <c r="B238" s="488" t="s">
        <v>2062</v>
      </c>
      <c r="C238" s="145" t="s">
        <v>3968</v>
      </c>
      <c r="D238" s="126"/>
      <c r="E238" s="126"/>
      <c r="F238" s="126"/>
      <c r="I238" s="3252" t="s">
        <v>1267</v>
      </c>
      <c r="J238" s="3253"/>
      <c r="K238" s="3254"/>
      <c r="N238" s="488" t="s">
        <v>2062</v>
      </c>
      <c r="O238" s="3095" t="s">
        <v>3152</v>
      </c>
      <c r="P238" s="630"/>
    </row>
    <row r="239" spans="1:18" s="106" customFormat="1" ht="12" customHeight="1">
      <c r="B239" s="488" t="s">
        <v>2064</v>
      </c>
      <c r="C239" s="145" t="s">
        <v>3020</v>
      </c>
      <c r="D239" s="126"/>
      <c r="E239" s="126"/>
      <c r="F239" s="126"/>
      <c r="G239" s="126"/>
      <c r="M239" s="126"/>
      <c r="N239" s="488" t="s">
        <v>2064</v>
      </c>
      <c r="O239" s="3098" t="s">
        <v>3152</v>
      </c>
      <c r="P239" s="631"/>
    </row>
    <row r="240" spans="1:18" s="106" customFormat="1" ht="12" customHeight="1">
      <c r="A240" s="149"/>
      <c r="B240" s="488" t="s">
        <v>2622</v>
      </c>
      <c r="C240" s="145" t="s">
        <v>3970</v>
      </c>
      <c r="D240" s="126"/>
      <c r="E240" s="126"/>
      <c r="F240" s="126"/>
      <c r="G240" s="126"/>
      <c r="H240" s="126"/>
      <c r="L240" s="126"/>
      <c r="M240" s="126"/>
      <c r="N240" s="488" t="s">
        <v>2622</v>
      </c>
      <c r="O240" s="3098" t="s">
        <v>3152</v>
      </c>
      <c r="P240" s="631"/>
    </row>
    <row r="241" spans="1:18" s="106" customFormat="1" ht="12" customHeight="1">
      <c r="A241" s="149"/>
      <c r="B241" s="488" t="s">
        <v>1270</v>
      </c>
      <c r="C241" s="145" t="s">
        <v>3971</v>
      </c>
      <c r="D241" s="126"/>
      <c r="E241" s="126"/>
      <c r="F241" s="126"/>
      <c r="G241" s="126"/>
      <c r="H241" s="126"/>
      <c r="I241" s="126"/>
      <c r="J241" s="126"/>
      <c r="K241" s="126"/>
      <c r="L241" s="126"/>
      <c r="M241" s="126"/>
      <c r="N241" s="488" t="s">
        <v>1270</v>
      </c>
      <c r="O241" s="3096" t="s">
        <v>3152</v>
      </c>
      <c r="P241" s="632"/>
    </row>
    <row r="242" spans="1:18" s="106" customFormat="1" ht="12" customHeight="1">
      <c r="B242" s="197" t="s">
        <v>3972</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0" t="s">
        <v>3760</v>
      </c>
      <c r="H243" s="1880"/>
      <c r="I243" s="1880"/>
      <c r="J243" s="1880"/>
      <c r="K243" s="1880"/>
      <c r="L243" s="417" t="str">
        <f>IF(OR($O243=$M243,$O243=0,$O243=""),"","* * Check Score! * *")</f>
        <v/>
      </c>
      <c r="M243" s="85">
        <v>1</v>
      </c>
      <c r="N243" s="441" t="str">
        <f>IF(OR($O243=$M243,$O243=0,$O243=""),"","***")</f>
        <v/>
      </c>
      <c r="O243" s="3184"/>
      <c r="P243" s="1148"/>
      <c r="Q243" s="115"/>
      <c r="R243" s="433" t="s">
        <v>2810</v>
      </c>
    </row>
    <row r="244" spans="1:18" ht="11.45" customHeight="1">
      <c r="B244" s="492" t="s">
        <v>2917</v>
      </c>
      <c r="E244" s="125"/>
      <c r="N244" s="69" t="s">
        <v>2061</v>
      </c>
      <c r="O244" s="3139"/>
      <c r="P244" s="628"/>
      <c r="Q244" s="433"/>
    </row>
    <row r="245" spans="1:18" ht="11.25" customHeight="1">
      <c r="A245" s="587"/>
      <c r="C245" s="145" t="s">
        <v>3974</v>
      </c>
      <c r="D245" s="1215" t="str">
        <f>'Part I-Project Information'!$F$28</f>
        <v>Gainesville</v>
      </c>
      <c r="F245" s="145" t="s">
        <v>3754</v>
      </c>
      <c r="G245" s="1215" t="str">
        <f>'Part I-Project Information'!$J$29</f>
        <v>Hall</v>
      </c>
      <c r="H245" s="480" t="s">
        <v>468</v>
      </c>
      <c r="I245" s="491" t="str">
        <f>'Part I-Project Information'!$N$29</f>
        <v>Yes</v>
      </c>
      <c r="K245" s="537" t="s">
        <v>3973</v>
      </c>
      <c r="L245" s="1800" t="str">
        <f>'Part I-Project Information'!$O$28</f>
        <v>12.01</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60" t="s">
        <v>4367</v>
      </c>
      <c r="B247" s="3061"/>
      <c r="C247" s="3061"/>
      <c r="D247" s="3061"/>
      <c r="E247" s="3061"/>
      <c r="F247" s="3061"/>
      <c r="G247" s="3061"/>
      <c r="H247" s="3061"/>
      <c r="I247" s="3062"/>
      <c r="J247" s="1705"/>
      <c r="K247" s="1706"/>
      <c r="L247" s="1706"/>
      <c r="M247" s="1706"/>
      <c r="N247" s="1706"/>
      <c r="O247" s="1706"/>
      <c r="P247" s="1707"/>
      <c r="Q247" s="500" t="s">
        <v>1301</v>
      </c>
    </row>
    <row r="248" spans="1:18" ht="4.5" customHeight="1"/>
    <row r="249" spans="1:18" s="44" customFormat="1" ht="15">
      <c r="A249" s="165" t="s">
        <v>1731</v>
      </c>
      <c r="B249" s="120" t="s">
        <v>2956</v>
      </c>
      <c r="D249" s="94"/>
      <c r="E249" s="94"/>
      <c r="F249" s="54"/>
      <c r="G249" s="54"/>
      <c r="H249" s="54"/>
      <c r="I249" s="180" t="s">
        <v>2912</v>
      </c>
      <c r="J249" s="591"/>
      <c r="K249" s="66"/>
      <c r="L249" s="592" t="str">
        <f>'Part I-Project Information'!$H$90</f>
        <v>Flexible</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84" t="str">
        <f>IF(OR(O251="No",O252="No",O253="No",O254="No",O256="No"),"Unmet criterion results in no points!","")</f>
        <v/>
      </c>
      <c r="N251" s="192" t="s">
        <v>2062</v>
      </c>
      <c r="O251" s="3095" t="s">
        <v>3152</v>
      </c>
      <c r="P251" s="630"/>
    </row>
    <row r="252" spans="1:18" s="106" customFormat="1" ht="11.25" customHeight="1">
      <c r="B252" s="488" t="s">
        <v>2064</v>
      </c>
      <c r="C252" s="106" t="s">
        <v>588</v>
      </c>
      <c r="L252" s="1884"/>
      <c r="N252" s="192" t="s">
        <v>2064</v>
      </c>
      <c r="O252" s="3098" t="s">
        <v>3152</v>
      </c>
      <c r="P252" s="631"/>
    </row>
    <row r="253" spans="1:18" s="106" customFormat="1" ht="11.25" customHeight="1">
      <c r="B253" s="488" t="s">
        <v>2622</v>
      </c>
      <c r="C253" s="106" t="s">
        <v>589</v>
      </c>
      <c r="L253" s="1881" t="str">
        <f>IF(OR(P251="No",P252="No",P253="No",P254="No",P256="No"),"Unmet criterion results in no points!","")</f>
        <v/>
      </c>
      <c r="N253" s="192" t="s">
        <v>2622</v>
      </c>
      <c r="O253" s="3096" t="s">
        <v>3152</v>
      </c>
      <c r="P253" s="632"/>
    </row>
    <row r="254" spans="1:18" s="106" customFormat="1" ht="11.25" customHeight="1">
      <c r="B254" s="488" t="s">
        <v>1270</v>
      </c>
      <c r="C254" s="484" t="s">
        <v>3977</v>
      </c>
      <c r="L254" s="1881"/>
      <c r="N254" s="192" t="s">
        <v>1270</v>
      </c>
      <c r="O254" s="3095" t="s">
        <v>3152</v>
      </c>
      <c r="P254" s="630"/>
    </row>
    <row r="255" spans="1:18" s="106" customFormat="1" ht="11.25" customHeight="1">
      <c r="B255" s="416" t="s">
        <v>2520</v>
      </c>
      <c r="C255" s="484" t="s">
        <v>3979</v>
      </c>
      <c r="N255" s="192" t="s">
        <v>2520</v>
      </c>
      <c r="O255" s="3098" t="s">
        <v>4298</v>
      </c>
      <c r="P255" s="631"/>
    </row>
    <row r="256" spans="1:18" s="489" customFormat="1" ht="22.5" customHeight="1">
      <c r="A256" s="1341" t="s">
        <v>3528</v>
      </c>
      <c r="B256" s="432" t="s">
        <v>2521</v>
      </c>
      <c r="C256" s="1824" t="s">
        <v>3978</v>
      </c>
      <c r="D256" s="1824"/>
      <c r="E256" s="1824"/>
      <c r="F256" s="1824"/>
      <c r="G256" s="1824"/>
      <c r="H256" s="1824"/>
      <c r="I256" s="1824"/>
      <c r="J256" s="1824"/>
      <c r="K256" s="1824"/>
      <c r="L256" s="1824"/>
      <c r="M256" s="1824"/>
      <c r="N256" s="434" t="s">
        <v>2521</v>
      </c>
      <c r="O256" s="3140" t="s">
        <v>3152</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2</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3980</v>
      </c>
      <c r="I258" s="1855" t="s">
        <v>2066</v>
      </c>
      <c r="J258" s="1855"/>
      <c r="L258" s="1855" t="s">
        <v>2066</v>
      </c>
      <c r="M258" s="1855"/>
      <c r="N258" s="192"/>
    </row>
    <row r="259" spans="1:18" s="44" customFormat="1" ht="11.25" customHeight="1">
      <c r="A259" s="193"/>
      <c r="B259" s="416" t="s">
        <v>2520</v>
      </c>
      <c r="C259" s="37" t="s">
        <v>1539</v>
      </c>
      <c r="H259" s="416" t="s">
        <v>2520</v>
      </c>
      <c r="I259" s="3255"/>
      <c r="J259" s="3256"/>
      <c r="K259" s="416" t="s">
        <v>2520</v>
      </c>
      <c r="L259" s="1857"/>
      <c r="M259" s="1858"/>
      <c r="N259" s="192"/>
      <c r="O259" s="1412"/>
      <c r="P259" s="1412"/>
      <c r="R259" s="417"/>
    </row>
    <row r="260" spans="1:18" ht="11.25" customHeight="1">
      <c r="A260" s="194"/>
      <c r="B260" s="432" t="s">
        <v>2521</v>
      </c>
      <c r="C260" s="37" t="s">
        <v>3983</v>
      </c>
      <c r="H260" s="432" t="s">
        <v>2521</v>
      </c>
      <c r="I260" s="3257">
        <v>700000</v>
      </c>
      <c r="J260" s="3258"/>
      <c r="K260" s="432" t="s">
        <v>2521</v>
      </c>
      <c r="L260" s="1810"/>
      <c r="M260" s="1811"/>
      <c r="N260" s="192"/>
      <c r="R260" s="417"/>
    </row>
    <row r="261" spans="1:18" ht="11.25" customHeight="1">
      <c r="B261" s="416" t="s">
        <v>2522</v>
      </c>
      <c r="C261" s="37" t="s">
        <v>2716</v>
      </c>
      <c r="H261" s="416" t="s">
        <v>2522</v>
      </c>
      <c r="I261" s="3257"/>
      <c r="J261" s="3258"/>
      <c r="K261" s="416" t="s">
        <v>2522</v>
      </c>
      <c r="L261" s="1810"/>
      <c r="M261" s="1811"/>
      <c r="N261" s="192"/>
      <c r="R261" s="417"/>
    </row>
    <row r="262" spans="1:18" ht="11.25" customHeight="1">
      <c r="A262" s="194"/>
      <c r="B262" s="416" t="s">
        <v>2523</v>
      </c>
      <c r="C262" s="37" t="s">
        <v>3712</v>
      </c>
      <c r="H262" s="416" t="s">
        <v>2523</v>
      </c>
      <c r="I262" s="3257"/>
      <c r="J262" s="3258"/>
      <c r="K262" s="416" t="s">
        <v>2523</v>
      </c>
      <c r="L262" s="1810"/>
      <c r="M262" s="1811"/>
      <c r="N262" s="192"/>
      <c r="R262" s="417"/>
    </row>
    <row r="263" spans="1:18" s="44" customFormat="1" ht="11.25" customHeight="1">
      <c r="A263" s="193"/>
      <c r="B263" s="432" t="s">
        <v>2524</v>
      </c>
      <c r="C263" s="37" t="s">
        <v>2842</v>
      </c>
      <c r="H263" s="432" t="s">
        <v>2524</v>
      </c>
      <c r="I263" s="3257"/>
      <c r="J263" s="3258"/>
      <c r="K263" s="432" t="s">
        <v>2524</v>
      </c>
      <c r="L263" s="1810"/>
      <c r="M263" s="1811"/>
      <c r="N263" s="192"/>
      <c r="O263" s="1412"/>
      <c r="P263" s="1412"/>
      <c r="R263" s="417"/>
    </row>
    <row r="264" spans="1:18" ht="11.25" customHeight="1">
      <c r="B264" s="416" t="s">
        <v>2540</v>
      </c>
      <c r="C264" s="37" t="s">
        <v>1538</v>
      </c>
      <c r="H264" s="416" t="s">
        <v>2540</v>
      </c>
      <c r="I264" s="3257"/>
      <c r="J264" s="3258"/>
      <c r="K264" s="416" t="s">
        <v>2540</v>
      </c>
      <c r="L264" s="1810"/>
      <c r="M264" s="1811"/>
      <c r="N264" s="192"/>
      <c r="R264" s="417"/>
    </row>
    <row r="265" spans="1:18" ht="11.25" customHeight="1">
      <c r="A265" s="194"/>
      <c r="B265" s="416" t="s">
        <v>2541</v>
      </c>
      <c r="C265" s="37" t="s">
        <v>3981</v>
      </c>
      <c r="H265" s="416" t="s">
        <v>2541</v>
      </c>
      <c r="I265" s="3257"/>
      <c r="J265" s="3258"/>
      <c r="K265" s="416" t="s">
        <v>2541</v>
      </c>
      <c r="L265" s="1810"/>
      <c r="M265" s="1811"/>
      <c r="N265" s="192"/>
      <c r="R265" s="417"/>
    </row>
    <row r="266" spans="1:18" ht="11.25" customHeight="1">
      <c r="B266" s="431" t="s">
        <v>2542</v>
      </c>
      <c r="C266" s="37" t="s">
        <v>3982</v>
      </c>
      <c r="H266" s="431" t="s">
        <v>2542</v>
      </c>
      <c r="I266" s="3257"/>
      <c r="J266" s="3258"/>
      <c r="K266" s="431" t="s">
        <v>2542</v>
      </c>
      <c r="L266" s="1810"/>
      <c r="M266" s="1811"/>
      <c r="N266" s="192"/>
      <c r="R266" s="417"/>
    </row>
    <row r="267" spans="1:18" ht="11.25" customHeight="1">
      <c r="B267" s="431" t="s">
        <v>2543</v>
      </c>
      <c r="C267" s="37" t="s">
        <v>3984</v>
      </c>
      <c r="H267" s="431" t="s">
        <v>2543</v>
      </c>
      <c r="I267" s="3257"/>
      <c r="J267" s="3258"/>
      <c r="K267" s="431" t="s">
        <v>2543</v>
      </c>
      <c r="L267" s="1810"/>
      <c r="M267" s="1811"/>
      <c r="N267" s="192"/>
      <c r="R267" s="417"/>
    </row>
    <row r="268" spans="1:18" ht="11.25" customHeight="1" thickBot="1">
      <c r="A268" s="194"/>
      <c r="B268" s="431" t="s">
        <v>3985</v>
      </c>
      <c r="C268" s="37" t="s">
        <v>3986</v>
      </c>
      <c r="H268" s="431" t="s">
        <v>3985</v>
      </c>
      <c r="I268" s="3257"/>
      <c r="J268" s="3258"/>
      <c r="K268" s="431" t="s">
        <v>3985</v>
      </c>
      <c r="L268" s="1810"/>
      <c r="M268" s="1811"/>
      <c r="N268" s="1220" t="s">
        <v>3987</v>
      </c>
      <c r="R268" s="417"/>
    </row>
    <row r="269" spans="1:18" ht="12" customHeight="1" thickBot="1">
      <c r="A269" s="194"/>
      <c r="B269" s="488"/>
      <c r="C269" s="486" t="s">
        <v>2718</v>
      </c>
      <c r="H269" s="57"/>
      <c r="I269" s="1812">
        <f>SUM(I259:J268)</f>
        <v>700000</v>
      </c>
      <c r="J269" s="1813"/>
      <c r="L269" s="1812">
        <f>SUM($L259:$L268)</f>
        <v>0</v>
      </c>
      <c r="M269" s="1813"/>
      <c r="N269" s="192"/>
      <c r="R269" s="417"/>
    </row>
    <row r="270" spans="1:18" s="44" customFormat="1" ht="3" customHeight="1">
      <c r="A270" s="43"/>
      <c r="B270" s="117"/>
      <c r="D270" s="40"/>
      <c r="E270" s="37"/>
      <c r="F270" s="1193"/>
      <c r="G270" s="1885" t="str">
        <f>IF(OR(I268=0,I268="",$I$271=0),"",IF(I268/$I$271&lt;10%,"Check amount of conventional loan in (j) - must be at least 10% of TDC!",""))</f>
        <v/>
      </c>
      <c r="H270" s="1885"/>
      <c r="I270" s="1885"/>
      <c r="J270" s="1885"/>
      <c r="K270" s="1885"/>
      <c r="L270" s="1929" t="str">
        <f>IF(OR(L268=0,L268="",$I$271=0),"",IF(L268/$I$271&lt;10%,"Check amount of conventional loan in (j) - must be at least 10% of TDC!",""))</f>
        <v/>
      </c>
      <c r="M270" s="1929"/>
      <c r="N270" s="1929"/>
      <c r="O270" s="1929"/>
      <c r="P270" s="1929"/>
    </row>
    <row r="271" spans="1:18" ht="12" customHeight="1">
      <c r="B271" s="415" t="s">
        <v>2064</v>
      </c>
      <c r="C271" s="493" t="s">
        <v>2717</v>
      </c>
      <c r="D271" s="486" t="s">
        <v>2719</v>
      </c>
      <c r="I271" s="1887">
        <f>'Part IV-Uses of Funds'!$G$131</f>
        <v>13380152</v>
      </c>
      <c r="J271" s="1888"/>
      <c r="L271" s="1929"/>
      <c r="M271" s="1929"/>
      <c r="N271" s="1929"/>
      <c r="O271" s="1929"/>
      <c r="P271" s="1929"/>
    </row>
    <row r="272" spans="1:18" ht="12" customHeight="1">
      <c r="B272" s="192"/>
      <c r="C272" s="485"/>
      <c r="D272" s="491" t="s">
        <v>2720</v>
      </c>
      <c r="G272" s="1171"/>
      <c r="H272" s="1171"/>
      <c r="I272" s="1814">
        <f>IF($I271=0,0,$I269/$I271)</f>
        <v>5.2316296556272304E-2</v>
      </c>
      <c r="J272" s="1815"/>
      <c r="L272" s="1882">
        <f>IF($I271=0,0,$L269/$I271)</f>
        <v>0</v>
      </c>
      <c r="M272" s="1883"/>
      <c r="N272" s="28"/>
      <c r="O272" s="28"/>
      <c r="P272" s="28"/>
    </row>
    <row r="273" spans="1:18" s="44" customFormat="1" ht="12.75" customHeight="1">
      <c r="A273" s="149" t="s">
        <v>2061</v>
      </c>
      <c r="B273" s="197" t="s">
        <v>3988</v>
      </c>
      <c r="D273" s="40"/>
      <c r="E273" s="37"/>
      <c r="F273" s="1193"/>
      <c r="H273" s="37"/>
      <c r="I273" s="1193"/>
      <c r="J273" s="1223"/>
      <c r="K273" s="1223"/>
      <c r="L273" s="1223"/>
      <c r="M273" s="77">
        <v>2</v>
      </c>
      <c r="N273" s="525" t="s">
        <v>2061</v>
      </c>
      <c r="O273" s="3259">
        <v>2</v>
      </c>
      <c r="P273" s="622"/>
      <c r="Q273" s="433" t="s">
        <v>2810</v>
      </c>
    </row>
    <row r="274" spans="1:18" s="44" customFormat="1" ht="11.25" customHeight="1">
      <c r="A274" s="149"/>
      <c r="B274" s="54" t="s">
        <v>3989</v>
      </c>
      <c r="C274" s="54"/>
      <c r="D274" s="54"/>
      <c r="E274" s="54"/>
      <c r="F274" s="54"/>
      <c r="G274" s="54"/>
      <c r="H274" s="54"/>
      <c r="I274" s="54"/>
      <c r="J274" s="54"/>
      <c r="K274" s="54"/>
      <c r="L274" s="54"/>
      <c r="M274" s="54"/>
      <c r="N274" s="54"/>
      <c r="O274" s="3096" t="s">
        <v>3152</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03"/>
      <c r="J276" s="3104"/>
      <c r="K276" s="3104"/>
      <c r="L276" s="3104"/>
      <c r="M276" s="3104"/>
      <c r="N276" s="3105"/>
    </row>
    <row r="277" spans="1:18" s="44" customFormat="1" ht="11.25" customHeight="1">
      <c r="A277" s="193"/>
      <c r="B277" s="537" t="s">
        <v>3991</v>
      </c>
      <c r="I277" s="3247" t="s">
        <v>2957</v>
      </c>
      <c r="J277" s="3248"/>
      <c r="K277" s="3249"/>
    </row>
    <row r="278" spans="1:18" ht="11.25" customHeight="1">
      <c r="A278" s="194"/>
      <c r="B278" s="537" t="s">
        <v>4193</v>
      </c>
      <c r="F278" s="3260"/>
      <c r="G278" s="3260"/>
      <c r="H278" s="3260"/>
      <c r="I278" s="3261"/>
      <c r="K278" s="3260"/>
      <c r="L278" s="3260"/>
      <c r="M278" s="3260"/>
      <c r="N278" s="3260"/>
      <c r="O278" s="3260"/>
      <c r="P278" s="3260"/>
    </row>
    <row r="279" spans="1:18" ht="11.25" customHeight="1">
      <c r="A279" s="194"/>
      <c r="B279" s="435" t="s">
        <v>3990</v>
      </c>
      <c r="G279" s="435"/>
      <c r="I279" s="3262"/>
      <c r="J279" s="3263"/>
      <c r="K279" s="3260"/>
      <c r="L279" s="3260"/>
      <c r="M279" s="3260"/>
      <c r="N279" s="3260"/>
      <c r="O279" s="3260"/>
      <c r="P279" s="3260"/>
    </row>
    <row r="280" spans="1:18" ht="22.5" customHeight="1">
      <c r="A280" s="194"/>
      <c r="B280" s="1751" t="s">
        <v>2438</v>
      </c>
      <c r="C280" s="1751"/>
      <c r="D280" s="3264"/>
      <c r="E280" s="3265"/>
      <c r="F280" s="3265"/>
      <c r="G280" s="3265"/>
      <c r="H280" s="3265"/>
      <c r="I280" s="3265"/>
      <c r="J280" s="3265"/>
      <c r="K280" s="3265"/>
      <c r="L280" s="3265"/>
      <c r="M280" s="3265"/>
      <c r="N280" s="3265"/>
      <c r="O280" s="3265"/>
      <c r="P280" s="3266"/>
      <c r="Q280" s="500" t="s">
        <v>1301</v>
      </c>
    </row>
    <row r="281" spans="1:18" ht="11.25" customHeight="1">
      <c r="B281" s="37" t="s">
        <v>3699</v>
      </c>
      <c r="E281" s="1443"/>
      <c r="I281" s="3267"/>
      <c r="J281" s="3268"/>
      <c r="L281" s="1922"/>
      <c r="M281" s="1923"/>
      <c r="N281" s="28"/>
      <c r="O281" s="28"/>
    </row>
    <row r="282" spans="1:18" s="44" customFormat="1" ht="11.25" customHeight="1">
      <c r="A282" s="43"/>
      <c r="C282" s="37" t="s">
        <v>3700</v>
      </c>
      <c r="D282" s="1421"/>
      <c r="E282" s="1421"/>
      <c r="F282" s="1421"/>
      <c r="G282" s="1421"/>
      <c r="H282" s="1421"/>
      <c r="I282" s="1882">
        <f>IF($I281=0,0,$I281/$I271)</f>
        <v>0</v>
      </c>
      <c r="J282" s="1883"/>
      <c r="K282" s="1421"/>
      <c r="L282" s="1882">
        <f>IF($L281=0,0,$L281/$I271)</f>
        <v>0</v>
      </c>
      <c r="M282" s="188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12" customHeight="1">
      <c r="A284" s="3060" t="s">
        <v>4368</v>
      </c>
      <c r="B284" s="3061"/>
      <c r="C284" s="3061"/>
      <c r="D284" s="3061"/>
      <c r="E284" s="3061"/>
      <c r="F284" s="3061"/>
      <c r="G284" s="3061"/>
      <c r="H284" s="3061"/>
      <c r="I284" s="3061"/>
      <c r="J284" s="3061"/>
      <c r="K284" s="3061"/>
      <c r="L284" s="3061"/>
      <c r="M284" s="3061"/>
      <c r="N284" s="3061"/>
      <c r="O284" s="3061"/>
      <c r="P284" s="3062"/>
      <c r="Q284" s="500" t="s">
        <v>1301</v>
      </c>
    </row>
    <row r="285" spans="1:18" s="108" customFormat="1" ht="12" customHeight="1">
      <c r="A285" s="43"/>
      <c r="B285" s="103" t="s">
        <v>1937</v>
      </c>
      <c r="C285" s="104"/>
      <c r="D285" s="103"/>
      <c r="E285" s="198"/>
      <c r="F285" s="1426"/>
      <c r="G285" s="1426"/>
      <c r="H285" s="1426"/>
      <c r="I285" s="1426"/>
      <c r="J285" s="1426"/>
      <c r="K285" s="1426"/>
      <c r="L285" s="1426"/>
      <c r="M285" s="1426"/>
      <c r="N285" s="99"/>
      <c r="O285" s="1165"/>
      <c r="P285" s="1416"/>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3603</v>
      </c>
      <c r="C288" s="70"/>
      <c r="E288" s="42"/>
      <c r="G288" s="180" t="s">
        <v>2912</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9"/>
      <c r="P289" s="628"/>
      <c r="R289" s="417"/>
    </row>
    <row r="290" spans="1:18" s="44" customFormat="1" ht="12" customHeight="1">
      <c r="A290" s="149" t="s">
        <v>2061</v>
      </c>
      <c r="B290" s="180" t="s">
        <v>3604</v>
      </c>
      <c r="D290" s="34"/>
      <c r="F290" s="431"/>
      <c r="G290" s="57" t="s">
        <v>4110</v>
      </c>
      <c r="I290" s="3269" t="s">
        <v>4003</v>
      </c>
      <c r="J290" s="3270"/>
      <c r="K290" s="3270"/>
      <c r="L290" s="3271"/>
      <c r="O290" s="1819" t="s">
        <v>4004</v>
      </c>
      <c r="P290" s="1819"/>
      <c r="R290" s="417"/>
    </row>
    <row r="291" spans="1:18" s="44" customFormat="1" ht="13.5" customHeight="1">
      <c r="A291" s="476" t="s">
        <v>779</v>
      </c>
      <c r="B291" s="850" t="s">
        <v>3992</v>
      </c>
      <c r="C291" s="477"/>
      <c r="D291" s="479"/>
      <c r="E291" s="479"/>
      <c r="F291" s="34"/>
      <c r="L291" s="1225" t="s">
        <v>3999</v>
      </c>
      <c r="O291" s="1820"/>
      <c r="P291" s="1820"/>
      <c r="R291" s="417"/>
    </row>
    <row r="292" spans="1:18" s="108" customFormat="1" ht="10.5" customHeight="1">
      <c r="A292" s="149"/>
      <c r="B292" s="415" t="s">
        <v>2062</v>
      </c>
      <c r="C292" s="37" t="s">
        <v>3993</v>
      </c>
      <c r="D292" s="34"/>
      <c r="F292" s="34"/>
      <c r="H292" s="37"/>
      <c r="L292" s="488" t="s">
        <v>4000</v>
      </c>
      <c r="N292" s="525" t="s">
        <v>779</v>
      </c>
      <c r="O292" s="192" t="s">
        <v>2062</v>
      </c>
      <c r="P292" s="630"/>
      <c r="R292" s="417"/>
    </row>
    <row r="293" spans="1:18" s="108" customFormat="1" ht="10.5" customHeight="1">
      <c r="A293" s="149"/>
      <c r="B293" s="415" t="s">
        <v>2064</v>
      </c>
      <c r="C293" s="37" t="s">
        <v>3994</v>
      </c>
      <c r="D293" s="34"/>
      <c r="F293" s="34"/>
      <c r="H293" s="37"/>
      <c r="L293" s="488" t="s">
        <v>4000</v>
      </c>
      <c r="O293" s="192" t="s">
        <v>2064</v>
      </c>
      <c r="P293" s="631"/>
      <c r="R293" s="417"/>
    </row>
    <row r="294" spans="1:18" s="108" customFormat="1" ht="10.5" customHeight="1">
      <c r="A294" s="149"/>
      <c r="B294" s="415" t="s">
        <v>2622</v>
      </c>
      <c r="C294" s="37" t="s">
        <v>3995</v>
      </c>
      <c r="D294" s="34"/>
      <c r="F294" s="34"/>
      <c r="H294" s="37"/>
      <c r="L294" s="488" t="s">
        <v>4001</v>
      </c>
      <c r="O294" s="192" t="s">
        <v>2622</v>
      </c>
      <c r="P294" s="631"/>
      <c r="R294" s="417"/>
    </row>
    <row r="295" spans="1:18" s="108" customFormat="1" ht="10.5" customHeight="1">
      <c r="A295" s="149"/>
      <c r="B295" s="415" t="s">
        <v>1270</v>
      </c>
      <c r="C295" s="37" t="s">
        <v>3996</v>
      </c>
      <c r="D295" s="34"/>
      <c r="F295" s="34"/>
      <c r="H295" s="37"/>
      <c r="L295" s="488" t="s">
        <v>4001</v>
      </c>
      <c r="O295" s="192" t="s">
        <v>1270</v>
      </c>
      <c r="P295" s="631"/>
      <c r="R295" s="417"/>
    </row>
    <row r="296" spans="1:18" s="108" customFormat="1" ht="10.5" customHeight="1">
      <c r="A296" s="149"/>
      <c r="B296" s="415" t="s">
        <v>1271</v>
      </c>
      <c r="C296" s="37" t="s">
        <v>3997</v>
      </c>
      <c r="D296" s="34"/>
      <c r="F296" s="34"/>
      <c r="H296" s="37"/>
      <c r="L296" s="488" t="s">
        <v>4001</v>
      </c>
      <c r="O296" s="192" t="s">
        <v>1271</v>
      </c>
      <c r="P296" s="631"/>
      <c r="R296" s="417"/>
    </row>
    <row r="297" spans="1:18" s="462" customFormat="1" ht="10.5" customHeight="1" thickBot="1">
      <c r="A297" s="154"/>
      <c r="B297" s="494" t="s">
        <v>1955</v>
      </c>
      <c r="C297" s="435" t="s">
        <v>3998</v>
      </c>
      <c r="D297" s="435"/>
      <c r="E297" s="435"/>
      <c r="F297" s="435"/>
      <c r="G297" s="435"/>
      <c r="H297" s="435"/>
      <c r="I297" s="435"/>
      <c r="J297" s="435"/>
      <c r="K297" s="435"/>
      <c r="L297" s="1226" t="s">
        <v>4001</v>
      </c>
      <c r="O297" s="434" t="s">
        <v>1955</v>
      </c>
      <c r="P297" s="634"/>
      <c r="R297" s="590"/>
    </row>
    <row r="298" spans="1:18" s="44" customFormat="1" ht="12" customHeight="1" thickBot="1">
      <c r="B298" s="103" t="s">
        <v>1937</v>
      </c>
      <c r="C298" s="57"/>
      <c r="D298" s="34"/>
      <c r="F298" s="34"/>
      <c r="H298" s="57"/>
      <c r="L298" s="488" t="s">
        <v>4002</v>
      </c>
      <c r="O298" s="773" t="s">
        <v>3605</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4068</v>
      </c>
      <c r="D302" s="34"/>
      <c r="E302" s="34"/>
      <c r="F302" s="34"/>
      <c r="H302" s="1136" t="s">
        <v>4383</v>
      </c>
      <c r="I302" s="866">
        <f>IF('Part VI-Revenues &amp; Expenses'!$O$62=0,0,L303/'Part VI-Revenues &amp; Expenses'!$O$62)</f>
        <v>0.1</v>
      </c>
      <c r="K302" s="525" t="s">
        <v>4067</v>
      </c>
      <c r="L302" s="866">
        <f>IF('Part VI-Revenues &amp; Expenses'!$O$58=0,0,'Part VI-Revenues &amp; Expenses'!$K$58/'Part VI-Revenues &amp; Expenses'!$O$58)</f>
        <v>0.77142857142857146</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1" t="s">
        <v>4380</v>
      </c>
      <c r="D303" s="1751"/>
      <c r="E303" s="1751"/>
      <c r="F303" s="1751"/>
      <c r="G303" s="1751"/>
      <c r="H303" s="1751"/>
      <c r="I303" s="1379" t="s">
        <v>4381</v>
      </c>
      <c r="J303" s="3184">
        <v>9</v>
      </c>
      <c r="K303" s="1379" t="s">
        <v>4382</v>
      </c>
      <c r="L303" s="3184">
        <v>9</v>
      </c>
      <c r="M303" s="1380" t="str">
        <f>IF(J303&lt;L303,"Check DCA RA units!","")</f>
        <v/>
      </c>
      <c r="N303" s="434" t="s">
        <v>2062</v>
      </c>
      <c r="O303" s="3137" t="s">
        <v>4299</v>
      </c>
      <c r="P303" s="633"/>
      <c r="Q303" s="597"/>
      <c r="R303" s="590"/>
    </row>
    <row r="304" spans="1:18" s="489" customFormat="1" ht="11.25" customHeight="1">
      <c r="A304" s="619"/>
      <c r="B304" s="494" t="s">
        <v>2064</v>
      </c>
      <c r="C304" s="1749" t="s">
        <v>3606</v>
      </c>
      <c r="D304" s="1749"/>
      <c r="E304" s="1749"/>
      <c r="F304" s="1749"/>
      <c r="G304" s="1749"/>
      <c r="H304" s="1749"/>
      <c r="I304" s="1749"/>
      <c r="J304" s="1749"/>
      <c r="K304" s="1749"/>
      <c r="L304" s="1749"/>
      <c r="M304" s="1749"/>
      <c r="N304" s="434" t="s">
        <v>2064</v>
      </c>
      <c r="O304" s="3098" t="s">
        <v>3152</v>
      </c>
      <c r="P304" s="631"/>
    </row>
    <row r="305" spans="1:18" s="489" customFormat="1" ht="11.25" customHeight="1">
      <c r="A305" s="619"/>
      <c r="B305" s="494" t="s">
        <v>2622</v>
      </c>
      <c r="C305" s="1749" t="s">
        <v>4005</v>
      </c>
      <c r="D305" s="1749"/>
      <c r="E305" s="1749"/>
      <c r="F305" s="1749"/>
      <c r="G305" s="1749"/>
      <c r="H305" s="1749"/>
      <c r="I305" s="1749"/>
      <c r="J305" s="1749"/>
      <c r="K305" s="1749"/>
      <c r="L305" s="1749"/>
      <c r="M305" s="1749"/>
      <c r="N305" s="434" t="s">
        <v>2622</v>
      </c>
      <c r="O305" s="3096" t="s">
        <v>3152</v>
      </c>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1" t="s">
        <v>3713</v>
      </c>
      <c r="D308" s="1751"/>
      <c r="E308" s="1751"/>
      <c r="F308" s="1751"/>
      <c r="G308" s="1751"/>
      <c r="H308" s="1751"/>
      <c r="I308" s="1751"/>
      <c r="J308" s="1751"/>
      <c r="K308" s="1751"/>
      <c r="L308" s="1751"/>
      <c r="M308" s="774"/>
      <c r="N308" s="434" t="s">
        <v>2062</v>
      </c>
      <c r="O308" s="3244"/>
      <c r="P308" s="629"/>
      <c r="Q308" s="597"/>
      <c r="R308" s="590"/>
    </row>
    <row r="309" spans="1:18" s="462" customFormat="1" ht="11.25" customHeight="1">
      <c r="A309" s="154"/>
      <c r="B309" s="494"/>
      <c r="C309" s="540" t="s">
        <v>4084</v>
      </c>
      <c r="D309" s="1425"/>
      <c r="E309" s="1425"/>
      <c r="F309" s="1425"/>
      <c r="G309" s="3272"/>
      <c r="H309" s="3273"/>
      <c r="I309" s="3273"/>
      <c r="J309" s="3274"/>
      <c r="K309" s="1371" t="s">
        <v>4085</v>
      </c>
      <c r="L309" s="3275"/>
      <c r="M309" s="774"/>
      <c r="N309" s="434"/>
      <c r="O309" s="434"/>
      <c r="P309" s="434"/>
      <c r="Q309" s="597"/>
      <c r="R309" s="590"/>
    </row>
    <row r="310" spans="1:18" s="489" customFormat="1" ht="11.25" customHeight="1">
      <c r="A310" s="619"/>
      <c r="B310" s="494" t="s">
        <v>2064</v>
      </c>
      <c r="C310" s="435" t="s">
        <v>3607</v>
      </c>
      <c r="D310" s="435"/>
      <c r="E310" s="435"/>
      <c r="F310" s="435"/>
      <c r="G310" s="435"/>
      <c r="H310" s="435"/>
      <c r="I310" s="435"/>
      <c r="J310" s="435" t="s">
        <v>4083</v>
      </c>
      <c r="K310" s="435"/>
      <c r="L310" s="3276">
        <v>0</v>
      </c>
      <c r="M310" s="1282">
        <f>IF('Part VI-Revenues &amp; Expenses'!$O$62=0,0,L310/'Part VI-Revenues &amp; Expenses'!$O$62)</f>
        <v>0</v>
      </c>
      <c r="N310" s="434" t="s">
        <v>2064</v>
      </c>
      <c r="O310" s="3244"/>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3600</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3714</v>
      </c>
      <c r="D316" s="3277" t="s">
        <v>3049</v>
      </c>
      <c r="E316" s="3278"/>
      <c r="F316" s="3278"/>
      <c r="G316" s="3278"/>
      <c r="H316" s="3278"/>
      <c r="I316" s="3279"/>
      <c r="J316" s="435" t="s">
        <v>2960</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4111</v>
      </c>
      <c r="C318" s="435"/>
      <c r="D318" s="435"/>
      <c r="E318" s="435"/>
      <c r="F318" s="435"/>
      <c r="G318" s="435"/>
      <c r="H318" s="435"/>
      <c r="I318" s="435"/>
      <c r="J318" s="435" t="s">
        <v>4006</v>
      </c>
      <c r="L318" s="790">
        <f>'Part VI-Revenues &amp; Expenses'!$O$82</f>
        <v>0</v>
      </c>
      <c r="M318" s="463">
        <v>2</v>
      </c>
      <c r="N318" s="174" t="s">
        <v>2058</v>
      </c>
      <c r="O318" s="3184"/>
      <c r="P318" s="1148"/>
      <c r="Q318" s="188" t="s">
        <v>2810</v>
      </c>
    </row>
    <row r="319" spans="1:18" s="462" customFormat="1" ht="11.25" customHeight="1">
      <c r="A319" s="461"/>
      <c r="B319" s="1751" t="s">
        <v>4007</v>
      </c>
      <c r="C319" s="1751"/>
      <c r="D319" s="1751"/>
      <c r="E319" s="1751"/>
      <c r="F319" s="1751"/>
      <c r="G319" s="1751"/>
      <c r="H319" s="1751"/>
      <c r="I319" s="435"/>
      <c r="J319" s="540" t="s">
        <v>2958</v>
      </c>
      <c r="L319" s="791">
        <f>'Part VI-Revenues &amp; Expenses'!$O$62</f>
        <v>90</v>
      </c>
      <c r="M319" s="463"/>
      <c r="N319" s="463"/>
      <c r="O319" s="463"/>
      <c r="P319" s="463"/>
      <c r="Q319" s="188"/>
    </row>
    <row r="320" spans="1:18" s="462" customFormat="1" ht="11.25" customHeight="1">
      <c r="B320" s="1751"/>
      <c r="C320" s="1751"/>
      <c r="D320" s="1751"/>
      <c r="E320" s="1751"/>
      <c r="F320" s="1751"/>
      <c r="G320" s="1751"/>
      <c r="H320" s="1751"/>
      <c r="J320" s="617" t="s">
        <v>2959</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0" t="s">
        <v>4008</v>
      </c>
      <c r="C322" s="3281"/>
      <c r="D322" s="3281"/>
      <c r="E322" s="3281"/>
      <c r="F322" s="3281"/>
      <c r="G322" s="3281"/>
      <c r="H322" s="3281"/>
      <c r="I322" s="3281"/>
      <c r="J322" s="3281"/>
      <c r="K322" s="3281"/>
      <c r="L322" s="3281"/>
      <c r="M322" s="3281"/>
      <c r="N322" s="3281"/>
      <c r="O322" s="3281"/>
      <c r="P322" s="3282"/>
      <c r="Q322" s="1838" t="s">
        <v>1301</v>
      </c>
      <c r="R322" s="1839"/>
      <c r="S322" s="1839"/>
    </row>
    <row r="323" spans="1:19" s="462" customFormat="1" ht="3" customHeight="1">
      <c r="B323" s="494"/>
      <c r="F323" s="487"/>
      <c r="G323" s="1222"/>
      <c r="M323" s="463"/>
      <c r="N323" s="463"/>
      <c r="O323" s="463"/>
      <c r="P323" s="463"/>
      <c r="Q323" s="188"/>
    </row>
    <row r="324" spans="1:19" s="462" customFormat="1" ht="11.25" customHeight="1">
      <c r="A324" s="620" t="s">
        <v>2061</v>
      </c>
      <c r="B324" s="1329" t="s">
        <v>3543</v>
      </c>
      <c r="C324" s="150"/>
      <c r="D324" s="1164"/>
      <c r="H324" s="435"/>
      <c r="J324" s="435" t="s">
        <v>3609</v>
      </c>
      <c r="L324" s="790">
        <f>'Part VI-Revenues &amp; Expenses'!$O$84</f>
        <v>0</v>
      </c>
      <c r="M324" s="463">
        <v>1</v>
      </c>
      <c r="N324" s="174" t="s">
        <v>2061</v>
      </c>
      <c r="O324" s="3184"/>
      <c r="P324" s="1148"/>
      <c r="Q324" s="188" t="s">
        <v>2810</v>
      </c>
    </row>
    <row r="325" spans="1:19" s="462" customFormat="1" ht="11.25" customHeight="1">
      <c r="A325" s="620"/>
      <c r="B325" s="1718" t="s">
        <v>4112</v>
      </c>
      <c r="C325" s="1718"/>
      <c r="D325" s="1718"/>
      <c r="E325" s="1718"/>
      <c r="F325" s="1718"/>
      <c r="G325" s="1718"/>
      <c r="H325" s="1718"/>
      <c r="I325" s="1718"/>
      <c r="J325" s="540" t="s">
        <v>2958</v>
      </c>
      <c r="L325" s="791">
        <f>'Part VI-Revenues &amp; Expenses'!$O$62</f>
        <v>90</v>
      </c>
      <c r="M325" s="463"/>
      <c r="N325" s="463"/>
      <c r="O325" s="463"/>
      <c r="P325" s="463"/>
      <c r="Q325" s="188"/>
    </row>
    <row r="326" spans="1:19" s="462" customFormat="1" ht="11.25" customHeight="1">
      <c r="A326" s="620"/>
      <c r="B326" s="1718"/>
      <c r="C326" s="1718"/>
      <c r="D326" s="1718"/>
      <c r="E326" s="1718"/>
      <c r="F326" s="1718"/>
      <c r="G326" s="1718"/>
      <c r="H326" s="1718"/>
      <c r="I326" s="1718"/>
      <c r="J326" s="617" t="s">
        <v>2959</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9" t="s">
        <v>3021</v>
      </c>
      <c r="J330" s="42"/>
      <c r="K330" s="42"/>
      <c r="M330" s="1420">
        <v>5</v>
      </c>
      <c r="P330" s="636"/>
      <c r="Q330" s="115" t="s">
        <v>456</v>
      </c>
    </row>
    <row r="331" spans="1:19" s="44" customFormat="1" ht="1.5" customHeight="1">
      <c r="A331" s="166"/>
      <c r="M331" s="604"/>
      <c r="Q331" s="115"/>
    </row>
    <row r="332" spans="1:19" s="44" customFormat="1" ht="12" customHeight="1">
      <c r="A332" s="166"/>
      <c r="B332" s="1926" t="s">
        <v>4113</v>
      </c>
      <c r="C332" s="1926"/>
      <c r="D332" s="1842">
        <f>IF('Part VI-Revenues &amp; Expenses'!$O$62=0,0,'Part IV-Uses of Funds'!$J$172/'Part VI-Revenues &amp; Expenses'!$O$62)</f>
        <v>10055.555555555555</v>
      </c>
      <c r="E332" s="1842"/>
      <c r="F332" s="116" t="s">
        <v>4114</v>
      </c>
      <c r="G332" s="1330"/>
      <c r="H332" s="1331">
        <f>IF('Part VI-Revenues &amp; Expenses'!$O$62=0,0,('Part VI-Revenues &amp; Expenses'!$O$77+'Part VI-Revenues &amp; Expenses'!$O$80+'Part VI-Revenues &amp; Expenses'!$O$84)/'Part VI-Revenues &amp; Expenses'!$O$62)</f>
        <v>0</v>
      </c>
      <c r="I332" s="1332" t="s">
        <v>4115</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4009</v>
      </c>
      <c r="E333" s="54"/>
      <c r="F333" s="1174"/>
      <c r="G333" s="1174"/>
      <c r="H333" s="56"/>
      <c r="I333" s="1175"/>
      <c r="J333" s="1175"/>
      <c r="M333" s="601">
        <v>6</v>
      </c>
      <c r="N333" s="616"/>
      <c r="O333" s="3283"/>
      <c r="P333" s="1816"/>
      <c r="Q333" s="651" t="s">
        <v>2810</v>
      </c>
    </row>
    <row r="334" spans="1:19" s="44" customFormat="1" ht="10.5" customHeight="1">
      <c r="A334" s="776"/>
      <c r="B334" s="1221"/>
      <c r="C334" s="1228" t="s">
        <v>3879</v>
      </c>
      <c r="D334" s="3284"/>
      <c r="E334" s="54"/>
      <c r="F334" s="1228" t="s">
        <v>3880</v>
      </c>
      <c r="G334" s="3285"/>
      <c r="H334" s="56"/>
      <c r="I334" s="466" t="s">
        <v>4010</v>
      </c>
      <c r="J334" s="466"/>
      <c r="K334" s="3286"/>
      <c r="L334" s="3287"/>
      <c r="M334" s="611"/>
      <c r="N334" s="1233"/>
      <c r="O334" s="3288"/>
      <c r="P334" s="1817"/>
      <c r="Q334" s="651"/>
    </row>
    <row r="335" spans="1:19" s="44" customFormat="1" ht="10.5" customHeight="1">
      <c r="A335" s="776" t="s">
        <v>1403</v>
      </c>
      <c r="B335" s="1221" t="s">
        <v>2064</v>
      </c>
      <c r="C335" s="54" t="s">
        <v>4011</v>
      </c>
      <c r="E335" s="54"/>
      <c r="F335" s="54"/>
      <c r="G335" s="1174"/>
      <c r="H335" s="56"/>
      <c r="I335" s="56"/>
      <c r="J335" s="56"/>
      <c r="M335" s="611">
        <v>2</v>
      </c>
      <c r="N335" s="1233"/>
      <c r="O335" s="3288"/>
      <c r="P335" s="1817"/>
      <c r="Q335" s="651"/>
    </row>
    <row r="336" spans="1:19" s="44" customFormat="1" ht="10.5" customHeight="1">
      <c r="A336" s="776"/>
      <c r="C336" s="1228" t="s">
        <v>3879</v>
      </c>
      <c r="D336" s="3284"/>
      <c r="E336" s="54"/>
      <c r="F336" s="1228" t="s">
        <v>3880</v>
      </c>
      <c r="G336" s="3285"/>
      <c r="H336" s="56"/>
      <c r="I336" s="466" t="s">
        <v>4010</v>
      </c>
      <c r="J336" s="466"/>
      <c r="K336" s="3286"/>
      <c r="L336" s="3287"/>
      <c r="M336" s="611"/>
      <c r="N336" s="124"/>
      <c r="O336" s="3288"/>
      <c r="P336" s="1817"/>
      <c r="Q336" s="651"/>
    </row>
    <row r="337" spans="1:18" s="462" customFormat="1" ht="34.5" customHeight="1">
      <c r="A337" s="776" t="s">
        <v>1403</v>
      </c>
      <c r="B337" s="1231" t="s">
        <v>2622</v>
      </c>
      <c r="C337" s="1744" t="s">
        <v>3610</v>
      </c>
      <c r="D337" s="1744"/>
      <c r="E337" s="1744"/>
      <c r="F337" s="1744"/>
      <c r="G337" s="1744"/>
      <c r="H337" s="1744"/>
      <c r="I337" s="1744"/>
      <c r="J337" s="1744"/>
      <c r="K337" s="1744"/>
      <c r="L337" s="1744"/>
      <c r="M337" s="589">
        <v>5</v>
      </c>
      <c r="N337" s="599"/>
      <c r="O337" s="3289"/>
      <c r="P337" s="1818"/>
      <c r="Q337" s="651"/>
    </row>
    <row r="338" spans="1:18" s="462" customFormat="1" ht="12.75" customHeight="1">
      <c r="A338" s="776"/>
      <c r="B338" s="154"/>
      <c r="C338" s="1178" t="s">
        <v>3867</v>
      </c>
      <c r="D338" s="1424"/>
      <c r="G338" s="3290"/>
      <c r="H338" s="1424"/>
      <c r="I338" s="1178" t="s">
        <v>3866</v>
      </c>
      <c r="K338" s="3290"/>
      <c r="M338" s="1424"/>
      <c r="N338" s="1424"/>
      <c r="O338" s="1424"/>
      <c r="P338" s="1424"/>
      <c r="Q338" s="1424"/>
      <c r="R338" s="1424"/>
    </row>
    <row r="339" spans="1:18" s="462" customFormat="1" ht="45" customHeight="1">
      <c r="A339" s="600" t="s">
        <v>2061</v>
      </c>
      <c r="B339" s="1284"/>
      <c r="C339" s="1886" t="s">
        <v>4012</v>
      </c>
      <c r="D339" s="1886"/>
      <c r="E339" s="1886"/>
      <c r="F339" s="1886"/>
      <c r="G339" s="1886"/>
      <c r="H339" s="1886"/>
      <c r="I339" s="1886"/>
      <c r="J339" s="1886"/>
      <c r="K339" s="1886"/>
      <c r="L339" s="1886"/>
      <c r="M339" s="601">
        <v>2</v>
      </c>
      <c r="N339" s="615"/>
      <c r="O339" s="3291"/>
      <c r="P339" s="1219"/>
      <c r="Q339" s="775" t="s">
        <v>2810</v>
      </c>
    </row>
    <row r="340" spans="1:18" s="462" customFormat="1" ht="11.25" customHeight="1">
      <c r="A340" s="1248"/>
      <c r="B340" s="1285"/>
      <c r="C340" s="1286" t="s">
        <v>4086</v>
      </c>
      <c r="D340" s="1438"/>
      <c r="E340" s="1438"/>
      <c r="F340" s="3292"/>
      <c r="G340" s="3293"/>
      <c r="H340" s="3293"/>
      <c r="I340" s="3294"/>
      <c r="J340" s="1352"/>
      <c r="K340" s="1438" t="s">
        <v>4085</v>
      </c>
      <c r="L340" s="3295"/>
      <c r="M340" s="1250"/>
      <c r="N340" s="1287"/>
      <c r="O340" s="434"/>
      <c r="P340" s="434"/>
      <c r="Q340" s="597"/>
      <c r="R340" s="590"/>
    </row>
    <row r="341" spans="1:18" s="462" customFormat="1" ht="12" customHeight="1">
      <c r="A341" s="779" t="s">
        <v>779</v>
      </c>
      <c r="C341" s="1718" t="s">
        <v>4013</v>
      </c>
      <c r="D341" s="1718"/>
      <c r="E341" s="1718"/>
      <c r="F341" s="1718"/>
      <c r="G341" s="1718"/>
      <c r="H341" s="1718"/>
      <c r="I341" s="1718"/>
      <c r="J341" s="1718" t="s">
        <v>4015</v>
      </c>
      <c r="K341" s="1718"/>
      <c r="L341" s="1239" t="str">
        <f>'Part I-Project Information'!$H$90</f>
        <v>Flexible</v>
      </c>
      <c r="M341" s="611">
        <v>3</v>
      </c>
      <c r="N341" s="788"/>
      <c r="O341" s="3296"/>
      <c r="P341" s="1840"/>
      <c r="Q341" s="188" t="s">
        <v>2810</v>
      </c>
    </row>
    <row r="342" spans="1:18" s="462" customFormat="1" ht="12" customHeight="1">
      <c r="A342" s="779"/>
      <c r="C342" s="1718"/>
      <c r="D342" s="1718"/>
      <c r="E342" s="1718"/>
      <c r="F342" s="1718"/>
      <c r="G342" s="1718"/>
      <c r="H342" s="1718"/>
      <c r="I342" s="1718"/>
      <c r="J342" s="1718" t="s">
        <v>4016</v>
      </c>
      <c r="K342" s="1718"/>
      <c r="L342" s="1238">
        <f>$O$113</f>
        <v>0</v>
      </c>
      <c r="M342" s="611"/>
      <c r="N342" s="788"/>
      <c r="O342" s="3297"/>
      <c r="P342" s="1841"/>
      <c r="Q342" s="188"/>
    </row>
    <row r="343" spans="1:18" s="462" customFormat="1" ht="24" customHeight="1">
      <c r="A343" s="1234" t="s">
        <v>2193</v>
      </c>
      <c r="B343" s="1235"/>
      <c r="C343" s="1875" t="s">
        <v>4014</v>
      </c>
      <c r="D343" s="1875"/>
      <c r="E343" s="1875"/>
      <c r="F343" s="1875"/>
      <c r="G343" s="1875"/>
      <c r="H343" s="1875"/>
      <c r="I343" s="1240"/>
      <c r="J343" s="1875" t="s">
        <v>4017</v>
      </c>
      <c r="K343" s="1875"/>
      <c r="L343" s="1241">
        <f>$O$129</f>
        <v>7</v>
      </c>
      <c r="M343" s="1236">
        <v>3</v>
      </c>
      <c r="N343" s="1237"/>
      <c r="O343" s="3298"/>
      <c r="P343" s="1437"/>
      <c r="Q343" s="188" t="s">
        <v>2810</v>
      </c>
    </row>
    <row r="344" spans="1:18" s="44" customFormat="1" ht="11.25" customHeight="1">
      <c r="A344" s="779" t="s">
        <v>1801</v>
      </c>
      <c r="B344" s="1232" t="s">
        <v>2062</v>
      </c>
      <c r="C344" s="1744" t="s">
        <v>3702</v>
      </c>
      <c r="D344" s="1744"/>
      <c r="E344" s="1744"/>
      <c r="F344" s="1744"/>
      <c r="G344" s="1744"/>
      <c r="H344" s="1744"/>
      <c r="I344" s="1744"/>
      <c r="J344" s="1744"/>
      <c r="K344" s="1744"/>
      <c r="L344" s="1744"/>
      <c r="M344" s="611">
        <v>2</v>
      </c>
      <c r="N344" s="124"/>
      <c r="O344" s="3283"/>
      <c r="P344" s="1816"/>
      <c r="Q344" s="188" t="s">
        <v>2810</v>
      </c>
    </row>
    <row r="345" spans="1:18" s="44" customFormat="1" ht="11.25" customHeight="1">
      <c r="A345" s="776" t="s">
        <v>1403</v>
      </c>
      <c r="B345" s="1221" t="s">
        <v>2064</v>
      </c>
      <c r="C345" s="1849" t="s">
        <v>3701</v>
      </c>
      <c r="D345" s="1849"/>
      <c r="E345" s="1849"/>
      <c r="F345" s="1849"/>
      <c r="G345" s="1849"/>
      <c r="H345" s="1849"/>
      <c r="I345" s="1849"/>
      <c r="J345" s="1849"/>
      <c r="K345" s="1849"/>
      <c r="L345" s="1849"/>
      <c r="M345" s="613">
        <v>1</v>
      </c>
      <c r="N345" s="124"/>
      <c r="O345" s="3289"/>
      <c r="P345" s="1818"/>
      <c r="Q345" s="106"/>
    </row>
    <row r="346" spans="1:18" s="44" customFormat="1" ht="11.25" customHeight="1">
      <c r="B346" s="776"/>
      <c r="C346" s="1173" t="s">
        <v>3877</v>
      </c>
      <c r="D346" s="1173"/>
      <c r="E346" s="1173"/>
      <c r="F346" s="1435" t="s">
        <v>3870</v>
      </c>
      <c r="G346" s="1435" t="s">
        <v>3871</v>
      </c>
      <c r="H346" s="1435" t="s">
        <v>3872</v>
      </c>
      <c r="I346" s="1435" t="s">
        <v>3873</v>
      </c>
      <c r="J346" s="1435" t="s">
        <v>3874</v>
      </c>
      <c r="K346" s="1435" t="s">
        <v>3875</v>
      </c>
      <c r="L346" s="1435" t="s">
        <v>3876</v>
      </c>
      <c r="M346" s="1439"/>
      <c r="N346" s="1439"/>
      <c r="O346" s="1439"/>
      <c r="P346" s="1439"/>
      <c r="Q346" s="106"/>
    </row>
    <row r="347" spans="1:18" s="44" customFormat="1" ht="11.25" customHeight="1">
      <c r="A347" s="1230"/>
      <c r="B347" s="776"/>
      <c r="C347" s="1848" t="s">
        <v>3878</v>
      </c>
      <c r="D347" s="1848"/>
      <c r="E347" s="1848"/>
      <c r="F347" s="3299"/>
      <c r="G347" s="3299"/>
      <c r="H347" s="3299"/>
      <c r="I347" s="3299"/>
      <c r="J347" s="3299"/>
      <c r="K347" s="3299"/>
      <c r="L347" s="1344" t="str">
        <f>IF(OR(F347=0,G347=0,H347=0,I347=0,J347=0,K347=0),"Missing Rent Roll",AVERAGE(F347,G347,H347,I347,J347,K347))</f>
        <v>Missing Rent Roll</v>
      </c>
      <c r="M347" s="1439"/>
      <c r="N347" s="1439"/>
      <c r="O347" s="1439"/>
      <c r="P347" s="1439"/>
      <c r="Q347" s="106"/>
    </row>
    <row r="348" spans="1:18" s="462" customFormat="1" ht="22.5" customHeight="1">
      <c r="A348" s="600" t="s">
        <v>1802</v>
      </c>
      <c r="B348" s="1242" t="s">
        <v>2062</v>
      </c>
      <c r="C348" s="1844" t="s">
        <v>3611</v>
      </c>
      <c r="D348" s="1844"/>
      <c r="E348" s="1844"/>
      <c r="F348" s="1844"/>
      <c r="G348" s="1844"/>
      <c r="H348" s="1844"/>
      <c r="I348" s="1844"/>
      <c r="K348" s="1845" t="s">
        <v>4116</v>
      </c>
      <c r="L348" s="1845"/>
      <c r="M348" s="601">
        <v>2</v>
      </c>
      <c r="N348" s="615"/>
      <c r="O348" s="3283"/>
      <c r="P348" s="1816"/>
      <c r="Q348" s="188" t="s">
        <v>2810</v>
      </c>
    </row>
    <row r="349" spans="1:18" s="462" customFormat="1" ht="21.75" customHeight="1">
      <c r="A349" s="776" t="s">
        <v>1403</v>
      </c>
      <c r="B349" s="1243" t="s">
        <v>2064</v>
      </c>
      <c r="C349" s="1843" t="s">
        <v>3612</v>
      </c>
      <c r="D349" s="1843"/>
      <c r="E349" s="1843"/>
      <c r="F349" s="1843"/>
      <c r="G349" s="1843"/>
      <c r="H349" s="1843"/>
      <c r="I349" s="1843"/>
      <c r="J349" s="1224"/>
      <c r="K349" s="3300"/>
      <c r="L349" s="3301"/>
      <c r="M349" s="611">
        <v>1</v>
      </c>
      <c r="N349" s="612"/>
      <c r="O349" s="3289"/>
      <c r="P349" s="1818"/>
      <c r="Q349" s="188"/>
    </row>
    <row r="350" spans="1:18" s="108" customFormat="1" ht="11.25" customHeight="1">
      <c r="A350" s="602" t="s">
        <v>2021</v>
      </c>
      <c r="C350" s="1925" t="s">
        <v>3613</v>
      </c>
      <c r="D350" s="1925"/>
      <c r="E350" s="1925"/>
      <c r="F350" s="1925"/>
      <c r="G350" s="1925"/>
      <c r="H350" s="1925"/>
      <c r="I350" s="1925"/>
      <c r="J350" s="1925"/>
      <c r="K350" s="1925"/>
      <c r="L350" s="1925"/>
      <c r="M350" s="1245">
        <v>2</v>
      </c>
      <c r="N350" s="1246"/>
      <c r="O350" s="3302"/>
      <c r="P350" s="1148"/>
      <c r="Q350" s="188" t="s">
        <v>2810</v>
      </c>
    </row>
    <row r="351" spans="1:18" s="44" customFormat="1" ht="11.25" customHeight="1">
      <c r="A351" s="196"/>
      <c r="C351" s="1223" t="s">
        <v>4018</v>
      </c>
      <c r="D351" s="1439"/>
      <c r="E351" s="1927">
        <f>'Part IV-Uses of Funds'!$B$44</f>
        <v>9718500</v>
      </c>
      <c r="F351" s="1927"/>
      <c r="G351" s="1928" t="s">
        <v>4019</v>
      </c>
      <c r="H351" s="1928"/>
      <c r="I351" s="1432">
        <f>'Part IV-Uses of Funds'!$G$131</f>
        <v>13380152</v>
      </c>
      <c r="J351" s="1876" t="s">
        <v>4020</v>
      </c>
      <c r="K351" s="1876"/>
      <c r="L351" s="1343">
        <f>IF(I351=0, 0,E351/I351)</f>
        <v>0.72633704011733202</v>
      </c>
      <c r="M351" s="849"/>
      <c r="N351" s="849"/>
      <c r="O351" s="849"/>
      <c r="P351" s="849"/>
      <c r="Q351" s="188"/>
    </row>
    <row r="352" spans="1:18" s="462" customFormat="1" ht="22.5" customHeight="1">
      <c r="A352" s="1234" t="s">
        <v>3558</v>
      </c>
      <c r="B352" s="1235"/>
      <c r="C352" s="1924" t="s">
        <v>3614</v>
      </c>
      <c r="D352" s="1924"/>
      <c r="E352" s="1924"/>
      <c r="F352" s="1924"/>
      <c r="G352" s="1924"/>
      <c r="H352" s="1924"/>
      <c r="I352" s="1924"/>
      <c r="J352" s="1924"/>
      <c r="K352" s="1924"/>
      <c r="L352" s="1924"/>
      <c r="M352" s="1244">
        <v>2</v>
      </c>
      <c r="N352" s="1237"/>
      <c r="O352" s="3291"/>
      <c r="P352" s="1219"/>
      <c r="Q352" s="775" t="s">
        <v>2810</v>
      </c>
    </row>
    <row r="353" spans="1:18" s="462" customFormat="1" ht="11.25" customHeight="1">
      <c r="A353" s="779" t="s">
        <v>640</v>
      </c>
      <c r="C353" s="1744" t="s">
        <v>3703</v>
      </c>
      <c r="D353" s="1744"/>
      <c r="E353" s="1744"/>
      <c r="F353" s="1744"/>
      <c r="G353" s="1744"/>
      <c r="H353" s="1744"/>
      <c r="I353" s="1744"/>
      <c r="J353" s="1744"/>
      <c r="K353" s="1744"/>
      <c r="L353" s="1744"/>
      <c r="M353" s="789">
        <v>2</v>
      </c>
      <c r="N353" s="788"/>
      <c r="O353" s="3303"/>
      <c r="P353" s="1442"/>
      <c r="Q353" s="775" t="s">
        <v>2810</v>
      </c>
    </row>
    <row r="354" spans="1:18" s="462" customFormat="1" ht="11.25" customHeight="1">
      <c r="A354" s="1234" t="s">
        <v>3559</v>
      </c>
      <c r="B354" s="1235"/>
      <c r="C354" s="1875" t="s">
        <v>3615</v>
      </c>
      <c r="D354" s="1875"/>
      <c r="E354" s="1875"/>
      <c r="F354" s="1875"/>
      <c r="G354" s="1875"/>
      <c r="H354" s="1875"/>
      <c r="I354" s="1875"/>
      <c r="J354" s="1875"/>
      <c r="K354" s="1247"/>
      <c r="L354" s="1247"/>
      <c r="M354" s="1244">
        <v>1</v>
      </c>
      <c r="N354" s="1237"/>
      <c r="O354" s="3291"/>
      <c r="P354" s="1219"/>
      <c r="Q354" s="775" t="s">
        <v>2810</v>
      </c>
    </row>
    <row r="355" spans="1:18" s="462" customFormat="1" ht="11.25" customHeight="1">
      <c r="A355" s="600" t="s">
        <v>4021</v>
      </c>
      <c r="B355" s="1164"/>
      <c r="C355" s="1844" t="s">
        <v>4022</v>
      </c>
      <c r="D355" s="1844"/>
      <c r="E355" s="1844"/>
      <c r="F355" s="1844"/>
      <c r="G355" s="1844"/>
      <c r="H355" s="1844"/>
      <c r="I355" s="1844"/>
      <c r="J355" s="1844"/>
      <c r="K355" s="1224" t="s">
        <v>4023</v>
      </c>
      <c r="L355" s="1342">
        <f>'Part IV-Uses of Funds'!$G$127</f>
        <v>0</v>
      </c>
      <c r="M355" s="789">
        <v>1</v>
      </c>
      <c r="N355" s="789"/>
      <c r="O355" s="3291"/>
      <c r="P355" s="1219"/>
      <c r="Q355" s="775" t="s">
        <v>2810</v>
      </c>
    </row>
    <row r="356" spans="1:18" s="462" customFormat="1" ht="11.25" customHeight="1">
      <c r="A356" s="1248"/>
      <c r="B356" s="1249"/>
      <c r="C356" s="1843"/>
      <c r="D356" s="1843"/>
      <c r="E356" s="1843"/>
      <c r="F356" s="1843"/>
      <c r="G356" s="1843"/>
      <c r="H356" s="1843"/>
      <c r="I356" s="1843"/>
      <c r="J356" s="1843"/>
      <c r="K356" s="1250" t="s">
        <v>4024</v>
      </c>
      <c r="L356" s="143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60" t="s">
        <v>4369</v>
      </c>
      <c r="B358" s="3061"/>
      <c r="C358" s="3061"/>
      <c r="D358" s="3061"/>
      <c r="E358" s="3061"/>
      <c r="F358" s="3061"/>
      <c r="G358" s="3061"/>
      <c r="H358" s="3061"/>
      <c r="I358" s="3061"/>
      <c r="J358" s="3061"/>
      <c r="K358" s="3061"/>
      <c r="L358" s="3061"/>
      <c r="M358" s="3061"/>
      <c r="N358" s="3061"/>
      <c r="O358" s="3061"/>
      <c r="P358" s="3062"/>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2961</v>
      </c>
      <c r="B362" s="112" t="s">
        <v>3626</v>
      </c>
      <c r="C362" s="56"/>
      <c r="D362" s="124"/>
      <c r="E362" s="124"/>
      <c r="F362" s="42"/>
      <c r="G362" s="42"/>
      <c r="H362" s="42"/>
      <c r="I362" s="42"/>
      <c r="J362" s="42"/>
      <c r="K362" s="42"/>
      <c r="L362" s="42"/>
      <c r="M362" s="1193">
        <v>2</v>
      </c>
      <c r="N362" s="192"/>
      <c r="O362" s="1381">
        <f>IF(AND($J$367="Family",M370="Yes",M371="Yes",M372="Yes"),2,IF(AND($J$367="Family",OR(M370="Yes",M371="Yes",M372="Yes")),1,0))</f>
        <v>0</v>
      </c>
      <c r="P362" s="1381">
        <f>IF(AND($J$367="Family",O370="Yes",O371="Yes",O372="Yes"),2,IF(AND($J$367="Family",OR(O370="Yes",O371="Yes",O372="Yes")),1,0))</f>
        <v>0</v>
      </c>
      <c r="Q362" s="115" t="s">
        <v>456</v>
      </c>
      <c r="R362" s="188"/>
    </row>
    <row r="363" spans="1:18" s="44" customFormat="1" ht="12" customHeight="1">
      <c r="B363" s="1856" t="s">
        <v>3628</v>
      </c>
      <c r="C363" s="1856"/>
      <c r="D363" s="1856"/>
      <c r="E363" s="1856"/>
      <c r="F363" s="1856"/>
      <c r="G363" s="1856"/>
      <c r="H363" s="1856"/>
      <c r="I363" s="1856"/>
      <c r="J363" s="1856"/>
      <c r="K363" s="1856"/>
      <c r="L363" s="1856"/>
      <c r="M363" s="1856"/>
      <c r="N363" s="1856"/>
      <c r="O363" s="3056"/>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3623</v>
      </c>
      <c r="G365" s="54"/>
      <c r="J365" s="3304" t="s">
        <v>4300</v>
      </c>
      <c r="K365" s="3305"/>
      <c r="L365" s="3305"/>
      <c r="M365" s="3305"/>
      <c r="N365" s="3306"/>
      <c r="O365" s="1837" t="s">
        <v>3720</v>
      </c>
    </row>
    <row r="366" spans="1:18" s="44" customFormat="1" ht="3" customHeight="1">
      <c r="A366" s="149"/>
      <c r="C366" s="1433"/>
      <c r="D366" s="1433"/>
      <c r="E366" s="1433"/>
      <c r="F366" s="417"/>
      <c r="H366" s="1433"/>
      <c r="I366" s="1433"/>
      <c r="J366" s="1433"/>
      <c r="K366" s="1433"/>
      <c r="L366" s="1433"/>
      <c r="N366" s="621"/>
      <c r="O366" s="1837"/>
      <c r="P366" s="621"/>
    </row>
    <row r="367" spans="1:18" s="44" customFormat="1" ht="11.25" customHeight="1">
      <c r="A367" s="149"/>
      <c r="C367" s="1433"/>
      <c r="D367" s="1433"/>
      <c r="E367" s="1433"/>
      <c r="F367" s="57" t="s">
        <v>3050</v>
      </c>
      <c r="G367" s="57"/>
      <c r="J367" s="1846" t="str">
        <f>'Part I-Project Information'!$H$67</f>
        <v>HFOP</v>
      </c>
      <c r="K367" s="1847"/>
      <c r="L367" s="1433"/>
      <c r="M367" s="1879" t="s">
        <v>3899</v>
      </c>
      <c r="N367" s="621"/>
      <c r="O367" s="1837"/>
      <c r="P367" s="621"/>
    </row>
    <row r="368" spans="1:18" s="44" customFormat="1" ht="11.25" customHeight="1">
      <c r="A368" s="149"/>
      <c r="B368" s="653" t="s">
        <v>3624</v>
      </c>
      <c r="C368" s="652"/>
      <c r="D368" s="652"/>
      <c r="E368" s="1433"/>
      <c r="F368" s="417"/>
      <c r="H368" s="1433"/>
      <c r="I368" s="1433"/>
      <c r="J368" s="1433"/>
      <c r="K368" s="1433"/>
      <c r="L368" s="1433"/>
      <c r="M368" s="1879"/>
      <c r="N368" s="621"/>
      <c r="O368" s="1837"/>
      <c r="P368" s="1877" t="s">
        <v>3620</v>
      </c>
    </row>
    <row r="369" spans="1:18" s="44" customFormat="1" ht="12.75" customHeight="1">
      <c r="A369" s="149"/>
      <c r="C369" s="1418"/>
      <c r="F369" s="486" t="s">
        <v>3625</v>
      </c>
      <c r="H369" s="1433"/>
      <c r="I369" s="781" t="s">
        <v>3619</v>
      </c>
      <c r="J369" s="607" t="s">
        <v>3621</v>
      </c>
      <c r="K369" s="1422" t="s">
        <v>3620</v>
      </c>
      <c r="L369" s="783" t="s">
        <v>3622</v>
      </c>
      <c r="M369" s="1879"/>
      <c r="N369" s="782"/>
      <c r="O369" s="1837"/>
      <c r="P369" s="1878"/>
    </row>
    <row r="370" spans="1:18" s="44" customFormat="1" ht="12" customHeight="1">
      <c r="A370" s="149"/>
      <c r="B370" s="416" t="s">
        <v>2520</v>
      </c>
      <c r="C370" s="780" t="s">
        <v>3618</v>
      </c>
      <c r="D370" s="652"/>
      <c r="E370" s="1433"/>
      <c r="F370" s="3307"/>
      <c r="G370" s="3308"/>
      <c r="H370" s="3309"/>
      <c r="I370" s="3310"/>
      <c r="J370" s="3310"/>
      <c r="K370" s="3311"/>
      <c r="L370" s="782">
        <v>78</v>
      </c>
      <c r="M370" s="840" t="str">
        <f>IF(K370="","",IF(K370&gt;=L370,"Yes",IF(K370&lt;L370,"No","")))</f>
        <v/>
      </c>
      <c r="N370" s="782"/>
      <c r="O370" s="843" t="str">
        <f>IF(P370="","",IF(P370&gt;=L370,"Yes",IF(P370&lt;L370,"No","")))</f>
        <v/>
      </c>
      <c r="P370" s="784"/>
      <c r="Q370" s="37" t="s">
        <v>4117</v>
      </c>
    </row>
    <row r="371" spans="1:18" s="44" customFormat="1" ht="12" customHeight="1">
      <c r="A371" s="149"/>
      <c r="B371" s="432" t="s">
        <v>2521</v>
      </c>
      <c r="C371" s="780" t="s">
        <v>3616</v>
      </c>
      <c r="D371" s="652"/>
      <c r="E371" s="1433"/>
      <c r="F371" s="3312"/>
      <c r="G371" s="3313"/>
      <c r="H371" s="3314"/>
      <c r="I371" s="3315"/>
      <c r="J371" s="3315"/>
      <c r="K371" s="3316"/>
      <c r="L371" s="782">
        <v>75</v>
      </c>
      <c r="M371" s="841" t="str">
        <f>IF(K371="","",IF(K371&gt;=L371,"Yes",IF(K371&lt;L371,"No","")))</f>
        <v/>
      </c>
      <c r="N371" s="782"/>
      <c r="O371" s="844" t="str">
        <f>IF(P371="","",IF(P371&gt;=L371,"Yes",IF(P371&lt;L371,"No","")))</f>
        <v/>
      </c>
      <c r="P371" s="785"/>
      <c r="Q371" s="37" t="s">
        <v>4117</v>
      </c>
    </row>
    <row r="372" spans="1:18" s="44" customFormat="1" ht="12" customHeight="1">
      <c r="A372" s="149"/>
      <c r="B372" s="416" t="s">
        <v>2522</v>
      </c>
      <c r="C372" s="780" t="s">
        <v>3617</v>
      </c>
      <c r="D372" s="652"/>
      <c r="E372" s="1433"/>
      <c r="F372" s="3317" t="s">
        <v>4301</v>
      </c>
      <c r="G372" s="3318"/>
      <c r="H372" s="3319"/>
      <c r="I372" s="3320" t="s">
        <v>4302</v>
      </c>
      <c r="J372" s="3320" t="s">
        <v>3155</v>
      </c>
      <c r="K372" s="3321">
        <v>72.5</v>
      </c>
      <c r="L372" s="782">
        <v>72</v>
      </c>
      <c r="M372" s="842" t="str">
        <f>IF(K372="","",IF(K372&gt;=L372,"Yes",IF(K372&lt;L372,"No","")))</f>
        <v>Yes</v>
      </c>
      <c r="N372" s="782"/>
      <c r="O372" s="845" t="str">
        <f>IF(P372="","",IF(P372&gt;=L372,"Yes",IF(P372&lt;L372,"No","")))</f>
        <v/>
      </c>
      <c r="P372" s="786"/>
      <c r="Q372" s="37" t="s">
        <v>4117</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25.9" customHeight="1">
      <c r="A374" s="3060" t="s">
        <v>4411</v>
      </c>
      <c r="B374" s="3061"/>
      <c r="C374" s="3061"/>
      <c r="D374" s="3061"/>
      <c r="E374" s="3061"/>
      <c r="F374" s="3061"/>
      <c r="G374" s="3061"/>
      <c r="H374" s="3061"/>
      <c r="I374" s="3061"/>
      <c r="J374" s="3061"/>
      <c r="K374" s="3061"/>
      <c r="L374" s="3061"/>
      <c r="M374" s="3061"/>
      <c r="N374" s="3061"/>
      <c r="O374" s="3061"/>
      <c r="P374" s="3062"/>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2964</v>
      </c>
      <c r="B378" s="112" t="s">
        <v>2963</v>
      </c>
      <c r="C378" s="56"/>
      <c r="D378" s="124"/>
      <c r="E378" s="124"/>
      <c r="F378" s="42"/>
      <c r="G378" s="1422" t="s">
        <v>4026</v>
      </c>
      <c r="H378" s="42"/>
      <c r="M378" s="1193">
        <v>2</v>
      </c>
      <c r="N378" s="192"/>
      <c r="O378" s="1227">
        <f>IF(AND($H$388="",$I$391&gt;=0.6),2,IF(AND($H$388="",$I$391&gt;=0.5),1,0))</f>
        <v>2</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7" t="s">
        <v>4027</v>
      </c>
      <c r="C383" s="1808"/>
      <c r="D383" s="1431" t="s">
        <v>2965</v>
      </c>
      <c r="E383" s="1921" t="s">
        <v>3627</v>
      </c>
      <c r="F383" s="1921"/>
      <c r="G383" s="1921"/>
      <c r="H383" s="1921"/>
      <c r="I383" s="1921"/>
      <c r="J383" s="1921"/>
      <c r="K383" s="1921"/>
      <c r="L383" s="1921"/>
      <c r="M383" s="1431" t="s">
        <v>1659</v>
      </c>
      <c r="N383" s="1805" t="s">
        <v>2687</v>
      </c>
      <c r="O383" s="1806"/>
    </row>
    <row r="384" spans="1:18" s="57" customFormat="1" ht="12" customHeight="1">
      <c r="A384" s="48"/>
      <c r="B384" s="1807"/>
      <c r="C384" s="1808"/>
      <c r="D384" s="787" t="s">
        <v>1251</v>
      </c>
      <c r="E384" s="1918" t="s">
        <v>2969</v>
      </c>
      <c r="F384" s="1919"/>
      <c r="G384" s="1919"/>
      <c r="H384" s="1919"/>
      <c r="I384" s="1919"/>
      <c r="J384" s="1919"/>
      <c r="K384" s="1919"/>
      <c r="L384" s="1920"/>
      <c r="M384" s="787" t="s">
        <v>2701</v>
      </c>
      <c r="N384" s="1803" t="s">
        <v>1326</v>
      </c>
      <c r="O384" s="1804"/>
    </row>
    <row r="385" spans="1:18" s="57" customFormat="1" ht="12.75" customHeight="1">
      <c r="A385" s="48"/>
      <c r="B385" s="1807"/>
      <c r="C385" s="1808"/>
      <c r="D385" s="1430">
        <v>20000</v>
      </c>
      <c r="E385" s="1917">
        <v>15000</v>
      </c>
      <c r="F385" s="1917"/>
      <c r="G385" s="1917"/>
      <c r="H385" s="1917"/>
      <c r="I385" s="1917"/>
      <c r="J385" s="1917"/>
      <c r="K385" s="1917"/>
      <c r="L385" s="1917"/>
      <c r="M385" s="1430">
        <v>6000</v>
      </c>
      <c r="N385" s="1801">
        <v>3000</v>
      </c>
      <c r="O385" s="1802"/>
    </row>
    <row r="386" spans="1:18" s="57" customFormat="1" ht="12" customHeight="1">
      <c r="A386" s="48"/>
      <c r="B386" s="48"/>
      <c r="C386" s="466"/>
      <c r="I386" s="607" t="s">
        <v>3909</v>
      </c>
      <c r="J386" s="607" t="s">
        <v>3910</v>
      </c>
      <c r="K386" s="1252"/>
      <c r="L386" s="1252"/>
      <c r="M386" s="1252"/>
      <c r="R386" s="603"/>
    </row>
    <row r="387" spans="1:18" s="57" customFormat="1" ht="12" customHeight="1">
      <c r="C387" s="1254" t="s">
        <v>4032</v>
      </c>
      <c r="D387" s="1252"/>
      <c r="E387" s="1252"/>
      <c r="F387" s="1252"/>
      <c r="G387" s="1252"/>
      <c r="H387" s="1252"/>
      <c r="I387" s="3322">
        <v>6000</v>
      </c>
      <c r="J387" s="3323"/>
      <c r="K387" s="1916" t="str">
        <f>IF(J388&lt;J387,"Threshold not met!","")</f>
        <v/>
      </c>
      <c r="L387" s="1253" t="s">
        <v>2966</v>
      </c>
      <c r="M387" s="1930" t="str">
        <f>'Part I-Project Information'!$F$28</f>
        <v>Gainesville</v>
      </c>
      <c r="N387" s="1931"/>
      <c r="O387" s="1931"/>
      <c r="P387" s="1932"/>
    </row>
    <row r="388" spans="1:18" s="57" customFormat="1" ht="12" customHeight="1">
      <c r="A388" s="1258"/>
      <c r="B388" s="1258"/>
      <c r="C388" s="481" t="s">
        <v>4028</v>
      </c>
      <c r="H388" s="1255" t="str">
        <f>IF(I388&lt;I387,"Threshold not met!","")</f>
        <v/>
      </c>
      <c r="I388" s="3324">
        <v>30000</v>
      </c>
      <c r="J388" s="3325"/>
      <c r="K388" s="1916"/>
      <c r="L388" s="61" t="s">
        <v>2967</v>
      </c>
      <c r="M388" s="1889" t="str">
        <f>'Part I-Project Information'!$J$29</f>
        <v>Hall</v>
      </c>
      <c r="N388" s="1890"/>
      <c r="O388" s="1890"/>
      <c r="P388" s="1891"/>
    </row>
    <row r="389" spans="1:18" s="57" customFormat="1" ht="12" customHeight="1">
      <c r="A389" s="1258"/>
      <c r="B389" s="1258"/>
      <c r="C389" s="481" t="s">
        <v>4030</v>
      </c>
      <c r="I389" s="3326">
        <v>18401</v>
      </c>
      <c r="J389" s="3327"/>
      <c r="L389" s="481" t="s">
        <v>2968</v>
      </c>
      <c r="M389" s="1889" t="str">
        <f>'Part I-Project Information'!$O$30</f>
        <v>Gainesville</v>
      </c>
      <c r="N389" s="1890"/>
      <c r="O389" s="1890"/>
      <c r="P389" s="1891"/>
    </row>
    <row r="390" spans="1:18" s="57" customFormat="1" ht="12" customHeight="1">
      <c r="L390" s="481" t="s">
        <v>3051</v>
      </c>
      <c r="M390" s="1889" t="str">
        <f>VLOOKUP('Part I-Project Information'!$J$29,'DCA Underwriting Assumptions'!$G$141:$J$300,4)</f>
        <v>MSA</v>
      </c>
      <c r="N390" s="1890"/>
      <c r="O390" s="1890"/>
      <c r="P390" s="1891"/>
    </row>
    <row r="391" spans="1:18" s="57" customFormat="1" ht="12" customHeight="1">
      <c r="C391" s="481" t="s">
        <v>4031</v>
      </c>
      <c r="I391" s="1256">
        <f>IF(I388=0,0,I389/I388)</f>
        <v>0.61336666666666662</v>
      </c>
      <c r="J391" s="1257">
        <f>IF(J388=0,0,J389/J388)</f>
        <v>0</v>
      </c>
      <c r="L391" s="57" t="s">
        <v>4029</v>
      </c>
      <c r="M391" s="1913" t="str">
        <f>'Part I-Project Information'!$K$30</f>
        <v>Urban</v>
      </c>
      <c r="N391" s="1914"/>
      <c r="O391" s="1914"/>
      <c r="P391" s="19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60" t="s">
        <v>4370</v>
      </c>
      <c r="B394" s="3061"/>
      <c r="C394" s="3061"/>
      <c r="D394" s="3061"/>
      <c r="E394" s="3061"/>
      <c r="F394" s="3061"/>
      <c r="G394" s="3061"/>
      <c r="H394" s="3061"/>
      <c r="I394" s="3061"/>
      <c r="J394" s="3061"/>
      <c r="K394" s="3061"/>
      <c r="L394" s="3061"/>
      <c r="M394" s="3061"/>
      <c r="N394" s="3061"/>
      <c r="O394" s="3061"/>
      <c r="P394" s="3062"/>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2962</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4089</v>
      </c>
      <c r="D400" s="46"/>
      <c r="E400" s="46"/>
      <c r="F400" s="40"/>
      <c r="G400" s="37"/>
      <c r="I400" s="37"/>
      <c r="J400" s="37"/>
      <c r="K400" s="37"/>
      <c r="L400" s="417"/>
      <c r="M400" s="1416"/>
      <c r="N400" s="6"/>
      <c r="O400" s="1288">
        <v>10</v>
      </c>
      <c r="P400" s="1288">
        <v>10</v>
      </c>
      <c r="Q400" s="115"/>
    </row>
    <row r="401" spans="1:18" s="108" customFormat="1" ht="11.25" customHeight="1">
      <c r="A401" s="166"/>
      <c r="B401" s="92" t="s">
        <v>4090</v>
      </c>
      <c r="D401" s="46"/>
      <c r="E401" s="46"/>
      <c r="F401" s="40"/>
      <c r="G401" s="37"/>
      <c r="I401" s="37"/>
      <c r="J401" s="37"/>
      <c r="K401" s="37"/>
      <c r="L401" s="417"/>
      <c r="M401" s="1416"/>
      <c r="N401" s="6"/>
      <c r="O401" s="3328"/>
      <c r="P401" s="623"/>
      <c r="Q401" s="115"/>
    </row>
    <row r="402" spans="1:18" s="108" customFormat="1" ht="11.25" customHeight="1">
      <c r="A402" s="166"/>
      <c r="B402" s="92" t="s">
        <v>4091</v>
      </c>
      <c r="D402" s="46"/>
      <c r="E402" s="46"/>
      <c r="F402" s="40"/>
      <c r="G402" s="37"/>
      <c r="I402" s="37"/>
      <c r="J402" s="37"/>
      <c r="K402" s="37"/>
      <c r="L402" s="417"/>
      <c r="M402" s="1416"/>
      <c r="N402" s="6"/>
      <c r="O402" s="3329"/>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4">
        <v>3</v>
      </c>
      <c r="P404" s="1148"/>
      <c r="Q404" s="188" t="s">
        <v>2810</v>
      </c>
    </row>
    <row r="405" spans="1:18" s="108" customFormat="1" ht="11.25" customHeight="1">
      <c r="A405" s="71"/>
      <c r="B405" s="71" t="s">
        <v>1937</v>
      </c>
      <c r="C405" s="51"/>
      <c r="D405" s="71"/>
      <c r="E405" s="1426"/>
      <c r="F405" s="1426"/>
      <c r="G405" s="1426"/>
      <c r="H405" s="1426"/>
      <c r="I405" s="1426"/>
      <c r="J405" s="1426"/>
      <c r="K405" s="1426"/>
      <c r="L405" s="1426"/>
      <c r="M405" s="1426"/>
      <c r="N405" s="99"/>
      <c r="O405" s="1165"/>
      <c r="P405" s="1416"/>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6"/>
      <c r="O409" s="523"/>
      <c r="P409" s="523">
        <f>P214</f>
        <v>0</v>
      </c>
    </row>
    <row r="410" spans="1:18" s="43" customFormat="1" ht="13.5" customHeight="1">
      <c r="A410" s="56"/>
      <c r="B410" s="72"/>
      <c r="C410" s="56"/>
      <c r="D410" s="36"/>
      <c r="E410" s="36"/>
      <c r="F410" s="74"/>
      <c r="G410" s="74"/>
      <c r="I410" s="180" t="s">
        <v>3057</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3058</v>
      </c>
      <c r="J411" s="1421"/>
      <c r="K411" s="1421"/>
      <c r="L411" s="1421"/>
      <c r="M411" s="1421"/>
      <c r="N411" s="79"/>
      <c r="O411" s="75"/>
      <c r="P411" s="523">
        <f>P330</f>
        <v>0</v>
      </c>
    </row>
    <row r="412" spans="1:18" s="44" customFormat="1" ht="13.5" customHeight="1">
      <c r="A412" s="43"/>
      <c r="D412" s="40"/>
      <c r="E412" s="37"/>
      <c r="F412" s="1193"/>
      <c r="G412" s="1193"/>
      <c r="H412" s="4" t="s">
        <v>3059</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799" t="s">
        <v>4137</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60" t="s">
        <v>4412</v>
      </c>
      <c r="B415" s="3061"/>
      <c r="C415" s="3061"/>
      <c r="D415" s="3061"/>
      <c r="E415" s="3061"/>
      <c r="F415" s="3061"/>
      <c r="G415" s="3061"/>
      <c r="H415" s="3061"/>
      <c r="I415" s="3061"/>
      <c r="J415" s="3061"/>
      <c r="K415" s="3061"/>
      <c r="L415" s="3061"/>
      <c r="M415" s="3061"/>
      <c r="N415" s="3061"/>
      <c r="O415" s="3061"/>
      <c r="P415" s="3062"/>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3648</v>
      </c>
      <c r="N438" s="1346"/>
      <c r="O438" s="1347"/>
      <c r="P438" s="1347"/>
    </row>
    <row r="439" spans="3:16" s="546" customFormat="1">
      <c r="C439" s="1291" t="s">
        <v>1441</v>
      </c>
      <c r="J439" s="1294" t="s">
        <v>3649</v>
      </c>
      <c r="N439" s="1346"/>
      <c r="O439" s="1347"/>
      <c r="P439" s="1347"/>
    </row>
    <row r="440" spans="3:16" s="546" customFormat="1">
      <c r="C440" s="1291" t="s">
        <v>2362</v>
      </c>
      <c r="J440" s="546" t="s">
        <v>3631</v>
      </c>
      <c r="N440" s="1346"/>
      <c r="O440" s="1347"/>
      <c r="P440" s="1347"/>
    </row>
    <row r="441" spans="3:16" s="546" customFormat="1">
      <c r="J441" s="546" t="s">
        <v>3632</v>
      </c>
      <c r="N441" s="1346"/>
      <c r="O441" s="1347"/>
      <c r="P441" s="1347"/>
    </row>
    <row r="442" spans="3:16" s="546" customFormat="1">
      <c r="J442" s="546" t="s">
        <v>3633</v>
      </c>
      <c r="N442" s="1346"/>
      <c r="O442" s="1347"/>
      <c r="P442" s="1347"/>
    </row>
    <row r="443" spans="3:16" s="546" customFormat="1">
      <c r="C443" s="1295" t="s">
        <v>2904</v>
      </c>
      <c r="G443" s="1296" t="s">
        <v>1560</v>
      </c>
      <c r="H443" s="1297"/>
      <c r="I443" s="1296"/>
      <c r="J443" s="546" t="s">
        <v>3634</v>
      </c>
      <c r="L443" s="1296"/>
      <c r="N443" s="1346"/>
      <c r="O443" s="1347"/>
      <c r="P443" s="1347"/>
    </row>
    <row r="444" spans="3:16" s="546" customFormat="1">
      <c r="C444" s="1298" t="s">
        <v>2906</v>
      </c>
      <c r="G444" s="1299" t="s">
        <v>2609</v>
      </c>
      <c r="H444" s="1297"/>
      <c r="I444" s="1299"/>
      <c r="J444" s="1297" t="s">
        <v>3635</v>
      </c>
      <c r="L444" s="1299"/>
      <c r="N444" s="1346"/>
      <c r="O444" s="1347"/>
      <c r="P444" s="1347"/>
    </row>
    <row r="445" spans="3:16" s="546" customFormat="1">
      <c r="C445" s="1298" t="s">
        <v>2907</v>
      </c>
      <c r="G445" s="1299" t="s">
        <v>1848</v>
      </c>
      <c r="H445" s="1297"/>
      <c r="I445" s="1300"/>
      <c r="J445" s="1297" t="s">
        <v>3636</v>
      </c>
      <c r="L445" s="1300"/>
      <c r="N445" s="1346"/>
      <c r="O445" s="1347"/>
      <c r="P445" s="1347"/>
    </row>
    <row r="446" spans="3:16" s="546" customFormat="1">
      <c r="C446" s="1298" t="s">
        <v>2908</v>
      </c>
      <c r="G446" s="1299" t="s">
        <v>1695</v>
      </c>
      <c r="H446" s="1297"/>
      <c r="I446" s="1300"/>
      <c r="J446" s="1297" t="s">
        <v>3637</v>
      </c>
      <c r="L446" s="1300"/>
      <c r="N446" s="1346"/>
      <c r="O446" s="1347"/>
      <c r="P446" s="1347"/>
    </row>
    <row r="447" spans="3:16" s="546" customFormat="1">
      <c r="C447" s="1298" t="s">
        <v>2909</v>
      </c>
      <c r="G447" s="1299" t="s">
        <v>3975</v>
      </c>
      <c r="H447" s="1297"/>
      <c r="I447" s="1300"/>
      <c r="J447" s="1297" t="s">
        <v>3638</v>
      </c>
      <c r="L447" s="1300"/>
      <c r="N447" s="1346"/>
      <c r="O447" s="1347"/>
      <c r="P447" s="1347"/>
    </row>
    <row r="448" spans="3:16" s="546" customFormat="1">
      <c r="C448" s="1298" t="s">
        <v>2910</v>
      </c>
      <c r="G448" s="1299" t="s">
        <v>2149</v>
      </c>
      <c r="H448" s="1297"/>
      <c r="I448" s="1300"/>
      <c r="J448" s="1297" t="s">
        <v>3639</v>
      </c>
      <c r="L448" s="1300"/>
      <c r="N448" s="1346"/>
      <c r="O448" s="1347"/>
      <c r="P448" s="1347"/>
    </row>
    <row r="449" spans="1:16" s="546" customFormat="1">
      <c r="C449" s="1298" t="s">
        <v>2911</v>
      </c>
      <c r="G449" s="1299" t="s">
        <v>12</v>
      </c>
      <c r="H449" s="1297"/>
      <c r="I449" s="1300"/>
      <c r="J449" s="1297" t="s">
        <v>3640</v>
      </c>
      <c r="L449" s="1300"/>
      <c r="N449" s="1346"/>
      <c r="O449" s="1347"/>
      <c r="P449" s="1347"/>
    </row>
    <row r="450" spans="1:16" s="546" customFormat="1">
      <c r="C450" s="1298"/>
      <c r="G450" s="1299" t="s">
        <v>1381</v>
      </c>
      <c r="H450" s="1297"/>
      <c r="I450" s="1300"/>
      <c r="J450" s="1297" t="s">
        <v>3641</v>
      </c>
      <c r="L450" s="1300"/>
      <c r="N450" s="1346"/>
      <c r="O450" s="1347"/>
      <c r="P450" s="1347"/>
    </row>
    <row r="451" spans="1:16" s="546" customFormat="1">
      <c r="C451" s="1298"/>
      <c r="G451" s="1299" t="s">
        <v>1561</v>
      </c>
      <c r="H451" s="1297"/>
      <c r="I451" s="1300"/>
      <c r="J451" s="1297" t="s">
        <v>3642</v>
      </c>
      <c r="L451" s="1300"/>
      <c r="N451" s="1346"/>
      <c r="O451" s="1347"/>
      <c r="P451" s="1347"/>
    </row>
    <row r="452" spans="1:16" s="546" customFormat="1">
      <c r="C452" s="1298"/>
      <c r="G452" s="1299" t="s">
        <v>1059</v>
      </c>
      <c r="H452" s="1297"/>
      <c r="I452" s="1300"/>
      <c r="J452" s="1297" t="s">
        <v>3643</v>
      </c>
      <c r="L452" s="1300"/>
      <c r="N452" s="1346"/>
      <c r="O452" s="1347"/>
      <c r="P452" s="1347"/>
    </row>
    <row r="453" spans="1:16" s="546" customFormat="1">
      <c r="G453" s="1299" t="s">
        <v>1824</v>
      </c>
      <c r="H453" s="1297"/>
      <c r="I453" s="1300"/>
      <c r="J453" s="1297" t="s">
        <v>3644</v>
      </c>
      <c r="L453" s="1300"/>
      <c r="N453" s="1346"/>
      <c r="O453" s="1347"/>
      <c r="P453" s="1347"/>
    </row>
    <row r="454" spans="1:16" s="546" customFormat="1">
      <c r="G454" s="1299" t="s">
        <v>2575</v>
      </c>
      <c r="H454" s="1297"/>
      <c r="I454" s="1300"/>
      <c r="J454" s="1297" t="s">
        <v>3645</v>
      </c>
      <c r="L454" s="1300"/>
      <c r="N454" s="1346"/>
      <c r="O454" s="1347"/>
      <c r="P454" s="1347"/>
    </row>
    <row r="455" spans="1:16" s="546" customFormat="1">
      <c r="A455" s="1295" t="s">
        <v>2913</v>
      </c>
      <c r="G455" s="1299" t="s">
        <v>2136</v>
      </c>
      <c r="H455" s="1297"/>
      <c r="I455" s="1300"/>
      <c r="J455" s="1297" t="s">
        <v>3646</v>
      </c>
      <c r="L455" s="1300"/>
      <c r="N455" s="1346"/>
      <c r="O455" s="1347"/>
      <c r="P455" s="1347"/>
    </row>
    <row r="456" spans="1:16" s="546" customFormat="1">
      <c r="A456" s="1295" t="s">
        <v>2946</v>
      </c>
      <c r="G456" s="1299" t="s">
        <v>625</v>
      </c>
      <c r="H456" s="1297"/>
      <c r="I456" s="1300"/>
      <c r="J456" s="1297" t="s">
        <v>3647</v>
      </c>
      <c r="L456" s="1300"/>
      <c r="N456" s="1346"/>
      <c r="O456" s="1347"/>
      <c r="P456" s="1347"/>
    </row>
    <row r="457" spans="1:16" s="546" customFormat="1">
      <c r="A457" s="1298" t="s">
        <v>3579</v>
      </c>
      <c r="D457" s="1301"/>
      <c r="E457" s="1302">
        <v>3</v>
      </c>
      <c r="G457" s="1299" t="s">
        <v>348</v>
      </c>
      <c r="H457" s="1297"/>
      <c r="I457" s="1300"/>
      <c r="J457" s="1297"/>
      <c r="L457" s="1300"/>
      <c r="N457" s="1346"/>
      <c r="O457" s="1347"/>
      <c r="P457" s="1347"/>
    </row>
    <row r="458" spans="1:16" s="546" customFormat="1">
      <c r="A458" s="1298" t="s">
        <v>3580</v>
      </c>
      <c r="D458" s="1301"/>
      <c r="E458" s="1302">
        <v>2</v>
      </c>
      <c r="G458" s="1299" t="s">
        <v>906</v>
      </c>
      <c r="H458" s="1297"/>
      <c r="I458" s="1300"/>
      <c r="J458" s="1297"/>
      <c r="L458" s="1300"/>
      <c r="N458" s="1346"/>
      <c r="O458" s="1347"/>
      <c r="P458" s="1347"/>
    </row>
    <row r="459" spans="1:16" s="546" customFormat="1">
      <c r="A459" s="1298" t="s">
        <v>3581</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3976</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3602</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GlzovrPZebXALD+Me9it8ROa2y0AWCkqu1QOmu7+PRCgqbparjmGFnrZxNi77gdMk8jSlgMCRniJ2rOxJrzacQ==" saltValue="Btdsdz8WGsn7zx0Njp9uXg=="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4168</v>
      </c>
    </row>
    <row r="2" spans="1:6" s="34" customFormat="1" ht="13.5" customHeight="1">
      <c r="A2" s="1155" t="str">
        <f>'Part I-Project Information'!$F$24</f>
        <v>240 Atlanta Street Development Phase 2</v>
      </c>
    </row>
    <row r="3" spans="1:6" s="34" customFormat="1" ht="13.5" customHeight="1">
      <c r="A3" s="1155" t="str">
        <f>CONCATENATE('Part I-Project Information'!$F$28,", ", 'Part I-Project Information'!$J$29," County")</f>
        <v>Gainesville, Hall County</v>
      </c>
    </row>
    <row r="4" spans="1:6" ht="6.75" customHeight="1"/>
    <row r="5" spans="1:6" ht="113.25" customHeight="1">
      <c r="A5" s="2621" t="s">
        <v>4374</v>
      </c>
      <c r="B5" s="1773" t="s">
        <v>2793</v>
      </c>
      <c r="C5" s="1444"/>
      <c r="D5" s="1444"/>
      <c r="E5" s="1444"/>
      <c r="F5" s="1444"/>
    </row>
    <row r="6" spans="1:6" ht="6.6" customHeight="1">
      <c r="A6" s="2621"/>
      <c r="B6" s="1773"/>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duDWWZtzLq+pscp9SlqdpJ0dzSScZb04rL55uXRunB1nJc4/b1+dSt2ptlxUuOhF5GOvVp+HHOTrY/GOVIzKFA==" saltValue="eDwtysC249jwydXBHGi5l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240 Atlanta Street Development Phase 2</v>
      </c>
    </row>
    <row r="3" spans="1:6" s="34" customFormat="1" ht="13.5" customHeight="1">
      <c r="A3" s="1155" t="str">
        <f>CONCATENATE('Part I-Project Information'!$F$28,", ", 'Part I-Project Information'!$J$29," County")</f>
        <v>Gainesville, Hall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1" t="s">
        <v>2792</v>
      </c>
      <c r="B6" s="1773" t="s">
        <v>2793</v>
      </c>
      <c r="C6" s="1444"/>
      <c r="D6" s="1444"/>
      <c r="E6" s="1444"/>
      <c r="F6" s="1444"/>
    </row>
    <row r="7" spans="1:6" ht="6.6" customHeight="1">
      <c r="A7" s="2621"/>
      <c r="B7" s="1773"/>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GUlYhUpo4oQmGcYZHUD2s+HI8QYbjtiGS7UIwPPgtCAdolaG8tP1voD+OCr25ppsdVhLyYckiKycl5n5oV3a5g==" saltValue="Bfg+lAJ1wtyi5rmmiW8fw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3070</v>
      </c>
      <c r="B1" s="1937"/>
      <c r="C1" s="1937"/>
      <c r="D1" s="1937"/>
      <c r="E1" s="1937"/>
      <c r="F1" s="1937"/>
      <c r="G1" s="1937"/>
      <c r="H1" s="1937"/>
      <c r="I1" s="1937"/>
      <c r="J1" s="1937"/>
    </row>
    <row r="2" spans="1:11" ht="15.75">
      <c r="A2" s="1937" t="str">
        <f>Overview!C8</f>
        <v>240 Atlanta Street Development Phase 2</v>
      </c>
      <c r="B2" s="1937"/>
      <c r="C2" s="1937"/>
      <c r="D2" s="1937"/>
      <c r="E2" s="1937"/>
      <c r="F2" s="1937"/>
      <c r="G2" s="1937"/>
      <c r="H2" s="1937"/>
      <c r="I2" s="1937"/>
      <c r="J2" s="1937"/>
    </row>
    <row r="3" spans="1:11" ht="15.75">
      <c r="A3" s="1937" t="str">
        <f>'Subsidy Layering Memo'!F14</f>
        <v>Gainesville, Hall</v>
      </c>
      <c r="B3" s="1937"/>
      <c r="C3" s="1937"/>
      <c r="D3" s="1937"/>
      <c r="E3" s="1937"/>
      <c r="F3" s="1937"/>
      <c r="G3" s="1937"/>
      <c r="H3" s="1937"/>
      <c r="I3" s="1937"/>
      <c r="J3" s="1937"/>
    </row>
    <row r="4" spans="1:11" ht="15.75">
      <c r="A4" s="1938" t="s">
        <v>3071</v>
      </c>
      <c r="B4" s="1937"/>
      <c r="C4" s="1937"/>
      <c r="D4" s="1937"/>
      <c r="E4" s="1937"/>
      <c r="F4" s="1937"/>
      <c r="G4" s="1937"/>
      <c r="H4" s="1937"/>
      <c r="I4" s="1937"/>
      <c r="J4" s="1937"/>
    </row>
    <row r="5" spans="1:11" ht="5.25" customHeight="1"/>
    <row r="6" spans="1:11" ht="5.25" customHeight="1"/>
    <row r="7" spans="1:11" ht="15.75">
      <c r="A7" s="1939" t="s">
        <v>3072</v>
      </c>
      <c r="B7" s="1939"/>
      <c r="C7" s="1940"/>
    </row>
    <row r="8" spans="1:11" ht="123" customHeight="1">
      <c r="A8" s="1936" t="s">
        <v>3595</v>
      </c>
      <c r="B8" s="1936"/>
      <c r="C8" s="1936"/>
      <c r="D8" s="1936"/>
      <c r="E8" s="1936"/>
      <c r="F8" s="1936"/>
      <c r="G8" s="1936"/>
      <c r="H8" s="1936"/>
      <c r="I8" s="1936"/>
      <c r="J8" s="1936"/>
      <c r="K8" s="887"/>
    </row>
    <row r="9" spans="1:11" ht="15.75">
      <c r="A9" s="888" t="s">
        <v>3073</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3074</v>
      </c>
      <c r="B13" s="889"/>
    </row>
    <row r="14" spans="1:11">
      <c r="A14" s="886" t="s">
        <v>3075</v>
      </c>
      <c r="E14" s="890" t="s">
        <v>3076</v>
      </c>
    </row>
    <row r="15" spans="1:11">
      <c r="A15" s="886" t="s">
        <v>3077</v>
      </c>
      <c r="D15" s="891">
        <f>Overview!C25</f>
        <v>700000</v>
      </c>
    </row>
    <row r="16" spans="1:11">
      <c r="A16" s="892" t="s">
        <v>3078</v>
      </c>
      <c r="D16" s="893" t="e">
        <f>Overview!C13</f>
        <v>#REF!</v>
      </c>
    </row>
    <row r="17" spans="1:11" ht="14.25" customHeight="1"/>
    <row r="18" spans="1:11" ht="15.75">
      <c r="A18" s="888" t="s">
        <v>3079</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3080</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3081</v>
      </c>
    </row>
    <row r="27" spans="1:11" ht="15.75" thickBot="1">
      <c r="A27" s="896"/>
      <c r="B27" s="896"/>
      <c r="C27" s="896"/>
      <c r="D27" s="896"/>
      <c r="F27" s="896"/>
      <c r="G27" s="896"/>
      <c r="H27" s="896"/>
      <c r="I27" s="896"/>
    </row>
    <row r="28" spans="1:11">
      <c r="A28" s="886" t="s">
        <v>3082</v>
      </c>
      <c r="D28" s="886" t="s">
        <v>958</v>
      </c>
      <c r="F28" s="886" t="s">
        <v>3083</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3084</v>
      </c>
      <c r="B2" s="898"/>
      <c r="C2" s="898"/>
      <c r="D2" s="898"/>
      <c r="E2" s="899"/>
      <c r="F2" s="898"/>
      <c r="G2" s="898"/>
      <c r="H2" s="898"/>
      <c r="I2" s="898"/>
      <c r="J2" s="898"/>
    </row>
    <row r="3" spans="1:10" ht="15">
      <c r="A3" s="901"/>
    </row>
    <row r="4" spans="1:10" ht="15">
      <c r="A4" s="901" t="s">
        <v>3085</v>
      </c>
      <c r="D4" s="900" t="s">
        <v>3086</v>
      </c>
    </row>
    <row r="5" spans="1:10" ht="15">
      <c r="A5" s="901"/>
    </row>
    <row r="6" spans="1:10" ht="15">
      <c r="A6" s="901" t="s">
        <v>3087</v>
      </c>
      <c r="D6" s="900" t="s">
        <v>3088</v>
      </c>
    </row>
    <row r="7" spans="1:10" ht="15">
      <c r="A7" s="901"/>
    </row>
    <row r="8" spans="1:10" ht="15">
      <c r="A8" s="901" t="s">
        <v>3089</v>
      </c>
      <c r="D8" s="902" t="s">
        <v>3090</v>
      </c>
    </row>
    <row r="9" spans="1:10" ht="15">
      <c r="A9" s="901"/>
    </row>
    <row r="10" spans="1:10" ht="15">
      <c r="A10" s="901" t="s">
        <v>3091</v>
      </c>
      <c r="D10" s="902" t="s">
        <v>3092</v>
      </c>
    </row>
    <row r="11" spans="1:10" ht="15">
      <c r="A11" s="901"/>
      <c r="D11" s="903"/>
    </row>
    <row r="12" spans="1:10" ht="15">
      <c r="A12" s="901" t="s">
        <v>3093</v>
      </c>
      <c r="D12" s="900" t="s">
        <v>641</v>
      </c>
      <c r="F12" s="903" t="str">
        <f>Overview!$C$8</f>
        <v>240 Atlanta Street Development Phase 2</v>
      </c>
    </row>
    <row r="13" spans="1:10" ht="15">
      <c r="A13" s="901"/>
      <c r="D13" s="900" t="s">
        <v>3094</v>
      </c>
      <c r="F13" s="903" t="str">
        <f>Overview!E8</f>
        <v>2016-032</v>
      </c>
    </row>
    <row r="14" spans="1:10" ht="15">
      <c r="A14" s="901"/>
      <c r="D14" s="900" t="s">
        <v>3095</v>
      </c>
      <c r="F14" s="903" t="str">
        <f>Overview!H8</f>
        <v>Gainesville, Hall</v>
      </c>
    </row>
    <row r="15" spans="1:10" ht="15">
      <c r="A15" s="901"/>
      <c r="D15" s="900" t="s">
        <v>3483</v>
      </c>
      <c r="F15" s="904">
        <f>Overview!$C$25</f>
        <v>700000</v>
      </c>
    </row>
    <row r="16" spans="1:10" ht="15">
      <c r="A16" s="901"/>
      <c r="D16" s="905" t="s">
        <v>3096</v>
      </c>
      <c r="F16" s="906" t="e">
        <f>Overview!C13</f>
        <v>#REF!</v>
      </c>
      <c r="G16" s="907" t="s">
        <v>3484</v>
      </c>
      <c r="H16" s="903" t="e">
        <f>Overview!D13</f>
        <v>#REF!</v>
      </c>
    </row>
    <row r="17" spans="1:18" ht="15">
      <c r="A17" s="901"/>
      <c r="D17" s="905" t="s">
        <v>3050</v>
      </c>
      <c r="F17" s="903" t="str">
        <f>Overview!C14</f>
        <v>HFOP</v>
      </c>
    </row>
    <row r="18" spans="1:18" ht="15">
      <c r="A18" s="901"/>
      <c r="D18" s="905" t="s">
        <v>3489</v>
      </c>
      <c r="F18" s="903" t="str">
        <f>Overview!H15</f>
        <v>Urban</v>
      </c>
    </row>
    <row r="19" spans="1:18" ht="15">
      <c r="A19" s="901"/>
      <c r="D19" s="905" t="s">
        <v>3485</v>
      </c>
      <c r="F19" s="903">
        <f>Overview!E16</f>
        <v>0</v>
      </c>
    </row>
    <row r="20" spans="1:18" ht="15">
      <c r="A20" s="901"/>
      <c r="D20" s="905"/>
    </row>
    <row r="21" spans="1:18" ht="15">
      <c r="A21" s="908" t="s">
        <v>3097</v>
      </c>
    </row>
    <row r="22" spans="1:18" ht="111.75" customHeight="1">
      <c r="A22" s="1945" t="s">
        <v>3774</v>
      </c>
      <c r="B22" s="1945"/>
      <c r="C22" s="1945"/>
      <c r="D22" s="1945"/>
      <c r="E22" s="1945"/>
      <c r="F22" s="1945"/>
      <c r="G22" s="1945"/>
      <c r="H22" s="1945"/>
      <c r="I22" s="1945"/>
      <c r="J22" s="1945"/>
      <c r="L22" s="1946" t="s">
        <v>3494</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3098</v>
      </c>
    </row>
    <row r="27" spans="1:18" ht="14.25" customHeight="1">
      <c r="A27" s="1949" t="s">
        <v>3099</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3100</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3101</v>
      </c>
    </row>
    <row r="41" spans="1:10" ht="135" customHeight="1">
      <c r="A41" s="1948" t="s">
        <v>3596</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3102</v>
      </c>
    </row>
    <row r="44" spans="1:10" ht="33" customHeight="1">
      <c r="A44" s="1944" t="s">
        <v>3103</v>
      </c>
      <c r="B44" s="1950"/>
      <c r="C44" s="1950"/>
      <c r="D44" s="1950"/>
      <c r="E44" s="1950"/>
      <c r="F44" s="1950"/>
      <c r="G44" s="1950"/>
      <c r="H44" s="1950"/>
      <c r="I44" s="1950"/>
      <c r="J44" s="1944"/>
    </row>
    <row r="45" spans="1:10" ht="3" customHeight="1"/>
    <row r="46" spans="1:10" ht="72.75" customHeight="1">
      <c r="A46" s="1944" t="s">
        <v>3104</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3105</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3106</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3495</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3107</v>
      </c>
      <c r="B54" s="1952"/>
      <c r="C54" s="1952"/>
      <c r="D54" s="1952"/>
      <c r="E54" s="1952"/>
      <c r="F54" s="1952"/>
      <c r="G54" s="1952"/>
      <c r="H54" s="1952"/>
      <c r="I54" s="1952"/>
      <c r="J54" s="1952"/>
    </row>
    <row r="55" spans="1:17" ht="3" customHeight="1"/>
    <row r="56" spans="1:17" ht="73.5" customHeight="1">
      <c r="A56" s="1944" t="s">
        <v>3108</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3109</v>
      </c>
      <c r="L58" s="912" t="s">
        <v>3766</v>
      </c>
    </row>
    <row r="59" spans="1:17" ht="73.5" customHeight="1">
      <c r="A59" s="1945" t="s">
        <v>3110</v>
      </c>
      <c r="B59" s="1945"/>
      <c r="C59" s="1945"/>
      <c r="D59" s="1945"/>
      <c r="E59" s="1945"/>
      <c r="F59" s="1945"/>
      <c r="G59" s="1945"/>
      <c r="H59" s="1945"/>
      <c r="I59" s="1945"/>
      <c r="J59" s="1945"/>
      <c r="L59" s="913">
        <f>'Closing term sheet'!C135</f>
        <v>832424</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3597</v>
      </c>
      <c r="B61" s="1952"/>
      <c r="C61" s="1952"/>
      <c r="D61" s="1952"/>
      <c r="E61" s="1952"/>
      <c r="F61" s="1952"/>
      <c r="G61" s="1952"/>
      <c r="H61" s="1952"/>
      <c r="I61" s="1952"/>
      <c r="J61" s="918"/>
      <c r="L61" s="919">
        <f>'Part III-Sources of Funds'!I45</f>
        <v>8597500</v>
      </c>
      <c r="M61" s="920">
        <f>'Part IV-Uses of Funds'!$J$174</f>
        <v>905000</v>
      </c>
      <c r="N61" s="921">
        <f>'Part IV-Uses of Funds'!N167</f>
        <v>0.95</v>
      </c>
      <c r="O61" s="919">
        <f>'Part III-Sources of Funds'!I46</f>
        <v>4072500</v>
      </c>
      <c r="P61" s="920">
        <f>M61</f>
        <v>905000</v>
      </c>
      <c r="Q61" s="921">
        <f>'Part IV-Uses of Funds'!Q167</f>
        <v>0.45</v>
      </c>
    </row>
    <row r="62" spans="1:17" ht="18.75" customHeight="1">
      <c r="A62" s="922" t="s">
        <v>3111</v>
      </c>
    </row>
    <row r="63" spans="1:17" ht="159.75" customHeight="1">
      <c r="A63" s="1952" t="s">
        <v>3598</v>
      </c>
      <c r="B63" s="1952"/>
      <c r="C63" s="1952"/>
      <c r="D63" s="1952"/>
      <c r="E63" s="1952"/>
      <c r="F63" s="1952"/>
      <c r="G63" s="1952"/>
      <c r="H63" s="1952"/>
      <c r="I63" s="1952"/>
      <c r="J63" s="1952"/>
      <c r="L63" s="923">
        <f>'Part VII-Pro Forma'!K67</f>
        <v>700000</v>
      </c>
      <c r="M63" s="1956" t="s">
        <v>3773</v>
      </c>
      <c r="N63" s="1957"/>
    </row>
    <row r="64" spans="1:17" ht="6" customHeight="1">
      <c r="A64" s="908"/>
    </row>
    <row r="65" spans="1:10" ht="15">
      <c r="A65" s="908" t="s">
        <v>3112</v>
      </c>
    </row>
    <row r="66" spans="1:10" ht="66.75" customHeight="1">
      <c r="A66" s="1952" t="s">
        <v>3113</v>
      </c>
      <c r="B66" s="1952"/>
      <c r="C66" s="1952"/>
      <c r="D66" s="1952"/>
      <c r="E66" s="1952"/>
      <c r="F66" s="1952"/>
      <c r="G66" s="1952"/>
      <c r="H66" s="1952"/>
      <c r="I66" s="1952"/>
      <c r="J66" s="1952"/>
    </row>
    <row r="67" spans="1:10" ht="36" customHeight="1">
      <c r="A67" s="1952" t="s">
        <v>3114</v>
      </c>
      <c r="B67" s="1952"/>
      <c r="C67" s="1952"/>
      <c r="D67" s="1952"/>
      <c r="E67" s="1952"/>
      <c r="F67" s="1952"/>
      <c r="G67" s="1952"/>
      <c r="H67" s="1952"/>
      <c r="I67" s="1952"/>
      <c r="J67" s="1952"/>
    </row>
    <row r="68" spans="1:10" ht="6" customHeight="1">
      <c r="A68" s="908"/>
    </row>
    <row r="69" spans="1:10" ht="15">
      <c r="A69" s="908" t="s">
        <v>3115</v>
      </c>
    </row>
    <row r="70" spans="1:10" ht="105.75" customHeight="1">
      <c r="A70" s="1944" t="s">
        <v>3116</v>
      </c>
      <c r="B70" s="1944"/>
      <c r="C70" s="1944"/>
      <c r="D70" s="1944"/>
      <c r="E70" s="1944"/>
      <c r="F70" s="1944"/>
      <c r="G70" s="1944"/>
      <c r="H70" s="1944"/>
      <c r="I70" s="1944"/>
      <c r="J70" s="1944"/>
    </row>
    <row r="71" spans="1:10" ht="6" customHeight="1">
      <c r="A71" s="908"/>
    </row>
    <row r="72" spans="1:10" ht="15">
      <c r="A72" s="908" t="s">
        <v>3117</v>
      </c>
    </row>
    <row r="73" spans="1:10" ht="66" customHeight="1">
      <c r="A73" s="1944" t="s">
        <v>3118</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3119</v>
      </c>
      <c r="B75" s="907"/>
      <c r="C75" s="907"/>
      <c r="D75" s="907"/>
      <c r="E75" s="907"/>
      <c r="F75" s="907"/>
      <c r="G75" s="907"/>
      <c r="H75" s="907"/>
      <c r="I75" s="907"/>
      <c r="J75" s="925"/>
    </row>
    <row r="76" spans="1:10" s="910" customFormat="1" ht="63" customHeight="1">
      <c r="A76" s="1944" t="s">
        <v>3120</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3121</v>
      </c>
      <c r="B78" s="1954"/>
      <c r="C78" s="1954"/>
      <c r="D78" s="907"/>
      <c r="E78" s="907"/>
      <c r="F78" s="907"/>
      <c r="G78" s="907"/>
      <c r="H78" s="907"/>
      <c r="I78" s="907"/>
      <c r="J78" s="925"/>
    </row>
    <row r="79" spans="1:10" ht="41.25" customHeight="1">
      <c r="A79" s="1952" t="s">
        <v>3599</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3122</v>
      </c>
    </row>
    <row r="82" spans="1:15" ht="139.5" customHeight="1">
      <c r="A82" s="1952" t="s">
        <v>3123</v>
      </c>
      <c r="B82" s="1952"/>
      <c r="C82" s="1952"/>
      <c r="D82" s="1952"/>
      <c r="E82" s="1952"/>
      <c r="F82" s="1952"/>
      <c r="G82" s="1952"/>
      <c r="H82" s="1952"/>
      <c r="I82" s="1952"/>
      <c r="J82" s="1952"/>
      <c r="L82" s="1960" t="s">
        <v>3124</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3125</v>
      </c>
    </row>
    <row r="85" spans="1:15" ht="111" customHeight="1">
      <c r="A85" s="1952" t="s">
        <v>3126</v>
      </c>
      <c r="B85" s="1952"/>
      <c r="C85" s="1952"/>
      <c r="D85" s="1952"/>
      <c r="E85" s="1952"/>
      <c r="F85" s="1952"/>
      <c r="G85" s="1952"/>
      <c r="H85" s="1952"/>
      <c r="I85" s="1952"/>
      <c r="J85" s="1952"/>
      <c r="L85" s="1960" t="s">
        <v>3127</v>
      </c>
      <c r="M85" s="1960"/>
      <c r="N85" s="929" t="e">
        <f>'After-Tax Analysis'!G66</f>
        <v>#VALUE!</v>
      </c>
      <c r="O85" s="930" t="s">
        <v>3128</v>
      </c>
    </row>
    <row r="86" spans="1:15" ht="6" customHeight="1">
      <c r="A86" s="908"/>
    </row>
    <row r="87" spans="1:15" ht="15">
      <c r="A87" s="908" t="s">
        <v>3129</v>
      </c>
    </row>
    <row r="88" spans="1:15" ht="118.5" customHeight="1">
      <c r="A88" s="1944" t="s">
        <v>3130</v>
      </c>
      <c r="B88" s="1944"/>
      <c r="C88" s="1944"/>
      <c r="D88" s="1944"/>
      <c r="E88" s="1944"/>
      <c r="F88" s="1944"/>
      <c r="G88" s="1944"/>
      <c r="H88" s="1944"/>
      <c r="I88" s="1944"/>
      <c r="J88" s="1944"/>
    </row>
    <row r="89" spans="1:15" ht="20.25" customHeight="1">
      <c r="A89" s="1950" t="s">
        <v>3131</v>
      </c>
      <c r="B89" s="1950"/>
      <c r="C89" s="1950"/>
      <c r="D89" s="1944"/>
      <c r="E89" s="909"/>
      <c r="F89" s="909"/>
      <c r="G89" s="909"/>
      <c r="H89" s="909"/>
      <c r="I89" s="909"/>
      <c r="J89" s="909"/>
    </row>
    <row r="90" spans="1:15" ht="109.5" customHeight="1">
      <c r="A90" s="1944" t="s">
        <v>3132</v>
      </c>
      <c r="B90" s="1950"/>
      <c r="C90" s="1950"/>
      <c r="D90" s="1950"/>
      <c r="E90" s="1950"/>
      <c r="F90" s="1950"/>
      <c r="G90" s="1950"/>
      <c r="H90" s="1950"/>
      <c r="I90" s="1950"/>
      <c r="J90" s="1950"/>
    </row>
    <row r="91" spans="1:15" ht="11.25" customHeight="1">
      <c r="A91" s="908"/>
    </row>
    <row r="92" spans="1:15" ht="15">
      <c r="A92" s="908" t="s">
        <v>3133</v>
      </c>
    </row>
    <row r="93" spans="1:15" ht="122.25" customHeight="1">
      <c r="A93" s="1945" t="s">
        <v>3134</v>
      </c>
      <c r="B93" s="1945"/>
      <c r="C93" s="1945"/>
      <c r="D93" s="1945"/>
      <c r="E93" s="1945"/>
      <c r="F93" s="1945"/>
      <c r="G93" s="1945"/>
      <c r="H93" s="1945"/>
      <c r="I93" s="1945"/>
      <c r="J93" s="1945"/>
      <c r="L93" s="929">
        <f>'Part VII-Pro Forma'!K67</f>
        <v>700000</v>
      </c>
      <c r="M93" s="1961" t="s">
        <v>3135</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3136</v>
      </c>
      <c r="B97" s="1950"/>
      <c r="C97" s="1950"/>
      <c r="D97" s="909"/>
      <c r="E97" s="909"/>
      <c r="F97" s="909"/>
      <c r="G97" s="909"/>
      <c r="H97" s="909"/>
      <c r="I97" s="909"/>
      <c r="J97" s="925"/>
    </row>
    <row r="98" spans="1:10" ht="37.5" customHeight="1">
      <c r="A98" s="1952" t="s">
        <v>3137</v>
      </c>
      <c r="B98" s="1952"/>
      <c r="C98" s="1952"/>
      <c r="D98" s="1952"/>
      <c r="E98" s="1952"/>
      <c r="F98" s="1952"/>
      <c r="G98" s="1952"/>
      <c r="H98" s="1952"/>
      <c r="I98" s="1952"/>
      <c r="J98" s="1952"/>
    </row>
    <row r="99" spans="1:10" ht="6" customHeight="1">
      <c r="A99" s="908"/>
    </row>
    <row r="100" spans="1:10" ht="15">
      <c r="A100" s="908" t="s">
        <v>3138</v>
      </c>
    </row>
    <row r="101" spans="1:10" ht="43.5" customHeight="1">
      <c r="A101" s="1944" t="s">
        <v>3139</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3140</v>
      </c>
    </row>
    <row r="105" spans="1:10">
      <c r="A105" s="1958" t="s">
        <v>3141</v>
      </c>
      <c r="B105" s="1958"/>
      <c r="C105" s="1958"/>
      <c r="D105" s="1958"/>
      <c r="E105" s="1958"/>
      <c r="F105" s="1958"/>
      <c r="G105" s="1958"/>
      <c r="H105" s="1958"/>
      <c r="I105" s="1958"/>
      <c r="J105" s="1958"/>
    </row>
    <row r="107" spans="1:10" ht="15" thickBot="1">
      <c r="A107" s="931"/>
      <c r="B107" s="900" t="s">
        <v>3142</v>
      </c>
    </row>
    <row r="110" spans="1:10" ht="15" thickBot="1">
      <c r="A110" s="931"/>
      <c r="B110" s="900" t="s">
        <v>3143</v>
      </c>
    </row>
    <row r="112" spans="1:10">
      <c r="A112" s="900" t="s">
        <v>3144</v>
      </c>
    </row>
    <row r="115" spans="1:10" ht="15" thickBot="1">
      <c r="A115" s="931"/>
      <c r="B115" s="931"/>
      <c r="C115" s="931"/>
      <c r="D115" s="931"/>
      <c r="E115" s="931"/>
      <c r="H115" s="931"/>
      <c r="I115" s="931"/>
      <c r="J115" s="931"/>
    </row>
    <row r="116" spans="1:10">
      <c r="A116" s="1959" t="s">
        <v>3145</v>
      </c>
      <c r="B116" s="1959"/>
      <c r="C116" s="1959"/>
      <c r="D116" s="1959"/>
      <c r="E116" s="1959"/>
      <c r="H116" s="1959" t="s">
        <v>3146</v>
      </c>
      <c r="I116" s="1959"/>
      <c r="J116" s="1959"/>
    </row>
    <row r="118" spans="1:10" ht="15" thickBot="1">
      <c r="A118" s="900" t="s">
        <v>3147</v>
      </c>
      <c r="B118" s="931"/>
      <c r="C118" s="931"/>
      <c r="H118" s="900" t="s">
        <v>3147</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3148</v>
      </c>
      <c r="B1" s="933"/>
      <c r="C1" s="933"/>
      <c r="D1" s="933"/>
      <c r="E1" s="933"/>
      <c r="F1" s="933"/>
      <c r="G1" s="933"/>
      <c r="H1" s="933"/>
      <c r="I1" s="933"/>
      <c r="J1" s="933"/>
      <c r="K1" s="933"/>
      <c r="L1" s="886"/>
      <c r="M1" s="886"/>
    </row>
    <row r="2" spans="1:13" ht="18">
      <c r="A2" s="932" t="str">
        <f>+"Financial Analysis for:  "&amp;C8</f>
        <v>Financial Analysis for:  240 Atlanta Street Development Phase 2</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3149</v>
      </c>
      <c r="B7" s="886"/>
      <c r="C7" s="937"/>
      <c r="D7" s="938"/>
      <c r="E7" s="938"/>
      <c r="F7" s="889" t="s">
        <v>3499</v>
      </c>
      <c r="G7" s="886"/>
      <c r="H7" s="1964"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4"/>
      <c r="J7" s="1964"/>
      <c r="K7" s="1964"/>
      <c r="L7" s="886"/>
      <c r="M7" s="886"/>
    </row>
    <row r="8" spans="1:13" ht="15.75">
      <c r="A8" s="889" t="s">
        <v>3150</v>
      </c>
      <c r="B8" s="889"/>
      <c r="C8" s="1964" t="str">
        <f>'Part I-Project Information'!F24</f>
        <v>240 Atlanta Street Development Phase 2</v>
      </c>
      <c r="D8" s="1964"/>
      <c r="E8" s="939" t="str">
        <f>'Part I-Project Information'!O4</f>
        <v>2016-032</v>
      </c>
      <c r="F8" s="940" t="s">
        <v>3151</v>
      </c>
      <c r="G8" s="938"/>
      <c r="H8" s="1964" t="str">
        <f>CONCATENATE('Part I-Project Information'!F28,", ",'Part I-Project Information'!J29)</f>
        <v>Gainesville, Hall</v>
      </c>
      <c r="I8" s="1964"/>
      <c r="J8" s="1964"/>
      <c r="K8" s="1964"/>
      <c r="L8" s="886"/>
      <c r="M8" s="941"/>
    </row>
    <row r="9" spans="1:13" ht="15.75">
      <c r="A9" s="889" t="s">
        <v>3153</v>
      </c>
      <c r="B9" s="889"/>
      <c r="C9" s="1964" t="s">
        <v>1837</v>
      </c>
      <c r="D9" s="1964"/>
      <c r="E9" s="938"/>
      <c r="F9" s="940" t="s">
        <v>3154</v>
      </c>
      <c r="G9" s="938"/>
      <c r="H9" s="1964" t="str">
        <f>'Part II-Development Team'!H5</f>
        <v>240 Atlanta Street Phase 2, L.P.</v>
      </c>
      <c r="I9" s="1964"/>
      <c r="J9" s="1964"/>
      <c r="K9" s="1964"/>
      <c r="L9" s="1964"/>
      <c r="M9" s="941"/>
    </row>
    <row r="10" spans="1:13" ht="15.75">
      <c r="A10" s="889" t="s">
        <v>3156</v>
      </c>
      <c r="B10" s="886"/>
      <c r="C10" s="881" t="str">
        <f>'Part II-Development Team'!H14</f>
        <v>240 Atlanta Street Phase 2 GP, LLC</v>
      </c>
      <c r="D10" s="938"/>
      <c r="E10" s="938"/>
      <c r="F10" s="940" t="s">
        <v>3843</v>
      </c>
      <c r="G10" s="938"/>
      <c r="H10" s="1964" t="str">
        <f>'Part II-Development Team'!H33</f>
        <v>Wells Fargo Community Lending and Investment</v>
      </c>
      <c r="I10" s="1964"/>
      <c r="J10" s="1964"/>
      <c r="K10" s="1964" t="str">
        <f>'Part II-Development Team'!H39</f>
        <v>240 Atlanta Street Phase 2 Walton Limited, LLC</v>
      </c>
      <c r="L10" s="1964"/>
    </row>
    <row r="11" spans="1:13" ht="15.75">
      <c r="A11" s="889" t="s">
        <v>3157</v>
      </c>
      <c r="B11" s="886"/>
      <c r="C11" s="938" t="str">
        <f>IF('Part II-Development Team'!H20="","",'Part II-Development Team'!H20)</f>
        <v/>
      </c>
      <c r="D11" s="938"/>
      <c r="E11" s="938"/>
      <c r="F11" s="940" t="s">
        <v>677</v>
      </c>
      <c r="G11" s="938"/>
      <c r="H11" s="1964" t="str">
        <f>'Part II-Development Team'!H54</f>
        <v>Gainesville Housing Corporation</v>
      </c>
      <c r="I11" s="1964"/>
      <c r="J11" s="1964"/>
      <c r="K11" s="1964" t="str">
        <f>'Part II-Development Team'!H60</f>
        <v>KDTA Development, Inc.</v>
      </c>
      <c r="L11" s="1964"/>
    </row>
    <row r="12" spans="1:13" ht="15.75">
      <c r="A12" s="889" t="s">
        <v>3158</v>
      </c>
      <c r="B12" s="886"/>
      <c r="C12" s="881" t="str">
        <f>'Part II-Development Team'!H86</f>
        <v>Walton Construction Services, LP</v>
      </c>
      <c r="D12" s="938"/>
      <c r="E12" s="938"/>
      <c r="F12" s="940" t="s">
        <v>3159</v>
      </c>
      <c r="G12" s="938"/>
      <c r="H12" s="1964" t="str">
        <f>'Part II-Development Team'!H92</f>
        <v>Walton Communities, LLC</v>
      </c>
      <c r="I12" s="1964"/>
      <c r="J12" s="1964"/>
      <c r="K12" s="1964"/>
      <c r="L12" s="886"/>
      <c r="M12" s="886"/>
    </row>
    <row r="13" spans="1:13" ht="15.75">
      <c r="A13" s="889" t="s">
        <v>3160</v>
      </c>
      <c r="B13" s="940"/>
      <c r="C13" s="879" t="e">
        <f>#REF!</f>
        <v>#REF!</v>
      </c>
      <c r="D13" s="880" t="e">
        <f>#REF!</f>
        <v>#REF!</v>
      </c>
      <c r="E13" s="939"/>
      <c r="F13" s="940" t="s">
        <v>3487</v>
      </c>
      <c r="G13" s="938"/>
      <c r="H13" s="1967">
        <f>'Part I-Project Information'!H61</f>
        <v>1</v>
      </c>
      <c r="I13" s="1967"/>
      <c r="J13" s="1967"/>
      <c r="K13" s="1967"/>
      <c r="L13" s="886"/>
      <c r="M13" s="886"/>
    </row>
    <row r="14" spans="1:13" ht="15.75">
      <c r="A14" s="889" t="s">
        <v>3486</v>
      </c>
      <c r="B14" s="886"/>
      <c r="C14" s="881" t="str">
        <f>'Part I-Project Information'!H67</f>
        <v>HFOP</v>
      </c>
      <c r="D14" s="1964" t="str">
        <f>IF('Part I-Project Information'!N67=0,"",'Part I-Project Information'!N67)</f>
        <v/>
      </c>
      <c r="E14" s="1964"/>
      <c r="F14" s="940" t="s">
        <v>3161</v>
      </c>
      <c r="G14" s="938"/>
      <c r="H14" s="1968" t="s">
        <v>3775</v>
      </c>
      <c r="I14" s="1968"/>
      <c r="J14" s="1968"/>
      <c r="K14" s="1968" t="s">
        <v>3775</v>
      </c>
      <c r="L14" s="1968"/>
      <c r="M14" s="886"/>
    </row>
    <row r="15" spans="1:13" ht="15.75">
      <c r="A15" s="889" t="s">
        <v>3162</v>
      </c>
      <c r="B15" s="886"/>
      <c r="C15" s="942"/>
      <c r="D15" s="938"/>
      <c r="E15" s="938"/>
      <c r="F15" s="940" t="s">
        <v>3488</v>
      </c>
      <c r="G15" s="938"/>
      <c r="H15" s="938" t="str">
        <f>'Part I-Project Information'!K30</f>
        <v>Urban</v>
      </c>
      <c r="I15" s="938"/>
      <c r="J15" s="938"/>
      <c r="K15" s="938"/>
      <c r="L15" s="886"/>
      <c r="M15" s="886"/>
    </row>
    <row r="16" spans="1:13" ht="15.75">
      <c r="A16" s="889" t="s">
        <v>3812</v>
      </c>
      <c r="B16" s="886"/>
      <c r="C16" s="881" t="str">
        <f>'Part I-Project Information'!H86</f>
        <v>Yes</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3490</v>
      </c>
      <c r="B18" s="886"/>
      <c r="C18" s="944">
        <f>'Part IV-Uses of Funds'!G131</f>
        <v>13380152</v>
      </c>
      <c r="D18" s="945">
        <f>IF(C18=0,"",$C$29/C18)</f>
        <v>5.2316296556272304E-2</v>
      </c>
      <c r="E18" s="938" t="s">
        <v>3491</v>
      </c>
      <c r="F18" s="940" t="s">
        <v>3492</v>
      </c>
      <c r="G18" s="938"/>
      <c r="H18" s="1966">
        <f>'Part IV-Uses of Funds'!B44</f>
        <v>9718500</v>
      </c>
      <c r="I18" s="1966"/>
      <c r="J18" s="946">
        <f>IF(H18=0,"",$C$29/H18)</f>
        <v>7.2027576272058441E-2</v>
      </c>
      <c r="K18" s="1964" t="s">
        <v>3493</v>
      </c>
      <c r="L18" s="1964"/>
      <c r="M18" s="886"/>
    </row>
    <row r="19" spans="1:13" ht="15.75">
      <c r="A19" s="889" t="s">
        <v>3163</v>
      </c>
      <c r="B19" s="886"/>
      <c r="C19" s="882" t="e">
        <f>C18/C13</f>
        <v>#REF!</v>
      </c>
      <c r="D19" s="938"/>
      <c r="E19" s="886"/>
      <c r="F19" s="889" t="s">
        <v>3163</v>
      </c>
      <c r="G19" s="886"/>
      <c r="H19" s="1965" t="e">
        <f>H18/C13</f>
        <v>#REF!</v>
      </c>
      <c r="I19" s="1965"/>
      <c r="J19" s="886"/>
      <c r="K19" s="886"/>
      <c r="L19" s="886"/>
      <c r="M19" s="886"/>
    </row>
    <row r="20" spans="1:13" ht="15.75">
      <c r="A20" s="889" t="s">
        <v>3164</v>
      </c>
      <c r="B20" s="886"/>
      <c r="C20" s="882" t="e">
        <f>C18/#REF!</f>
        <v>#REF!</v>
      </c>
      <c r="D20" s="947"/>
      <c r="E20" s="948"/>
      <c r="F20" s="889" t="s">
        <v>3164</v>
      </c>
      <c r="G20" s="886"/>
      <c r="H20" s="1965" t="e">
        <f>H18/#REF!</f>
        <v>#REF!</v>
      </c>
      <c r="I20" s="1965"/>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3165</v>
      </c>
      <c r="B23" s="951"/>
      <c r="C23" s="951"/>
      <c r="D23" s="951"/>
      <c r="E23" s="938"/>
      <c r="F23" s="938"/>
      <c r="G23" s="938"/>
      <c r="H23" s="938"/>
      <c r="I23" s="938"/>
      <c r="J23" s="938"/>
      <c r="K23" s="938"/>
      <c r="L23" s="886"/>
      <c r="M23" s="941"/>
    </row>
    <row r="24" spans="1:13" ht="27" customHeight="1">
      <c r="A24" s="886"/>
      <c r="B24" s="886"/>
      <c r="C24" s="886"/>
      <c r="D24" s="952" t="s">
        <v>3166</v>
      </c>
      <c r="E24" s="886"/>
      <c r="F24" s="886"/>
      <c r="G24" s="886"/>
      <c r="H24" s="886"/>
      <c r="I24" s="886"/>
      <c r="J24" s="886"/>
      <c r="K24" s="886"/>
      <c r="L24" s="886"/>
      <c r="M24" s="941"/>
    </row>
    <row r="25" spans="1:13" ht="15.75">
      <c r="A25" s="889" t="s">
        <v>3167</v>
      </c>
      <c r="B25" s="953" t="str">
        <f>'Part III-Sources of Funds'!E37</f>
        <v>Gainesville Housing Corporation RHF</v>
      </c>
      <c r="C25" s="954">
        <f>'Part III-Sources of Funds'!I37</f>
        <v>700000</v>
      </c>
      <c r="D25" s="955" t="s">
        <v>3168</v>
      </c>
      <c r="E25" s="886"/>
      <c r="F25" s="938"/>
      <c r="G25" s="886" t="s">
        <v>3169</v>
      </c>
      <c r="H25" s="886"/>
      <c r="I25" s="886"/>
      <c r="K25" s="954"/>
      <c r="L25" s="938"/>
      <c r="M25" s="941"/>
    </row>
    <row r="26" spans="1:13" ht="15">
      <c r="A26" s="886"/>
      <c r="B26" s="953"/>
      <c r="C26" s="954"/>
      <c r="D26" s="955"/>
      <c r="E26" s="886"/>
      <c r="F26" s="938"/>
      <c r="G26" s="886" t="s">
        <v>3170</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3171</v>
      </c>
      <c r="H28" s="886"/>
      <c r="I28" s="886"/>
      <c r="K28" s="954"/>
      <c r="L28" s="938"/>
      <c r="M28" s="886"/>
    </row>
    <row r="29" spans="1:13" ht="16.5" thickBot="1">
      <c r="A29" s="886"/>
      <c r="B29" s="957" t="s">
        <v>3172</v>
      </c>
      <c r="C29" s="958">
        <f>SUM(C25:C27)</f>
        <v>700000</v>
      </c>
      <c r="D29" s="886"/>
      <c r="E29" s="886"/>
      <c r="F29" s="938"/>
      <c r="G29" s="886" t="s">
        <v>3173</v>
      </c>
      <c r="H29" s="886"/>
      <c r="I29" s="886"/>
      <c r="K29" s="956" t="e">
        <f>C29/K28</f>
        <v>#DIV/0!</v>
      </c>
      <c r="L29" s="938"/>
      <c r="M29" s="886"/>
    </row>
    <row r="30" spans="1:13" ht="16.5" thickTop="1">
      <c r="A30" s="889" t="s">
        <v>3174</v>
      </c>
      <c r="B30" s="957"/>
      <c r="C30" s="959">
        <f>'Part III-Sources of Funds'!I45+'Part III-Sources of Funds'!I46</f>
        <v>12670000</v>
      </c>
      <c r="D30" s="886"/>
      <c r="E30" s="886"/>
      <c r="F30" s="938"/>
      <c r="G30" s="886"/>
      <c r="H30" s="886"/>
      <c r="I30" s="886"/>
      <c r="K30" s="960"/>
      <c r="L30" s="938"/>
      <c r="M30" s="886"/>
    </row>
    <row r="31" spans="1:13" ht="15">
      <c r="A31" s="961" t="s">
        <v>3175</v>
      </c>
      <c r="B31" s="953">
        <f>'Part III-Sources of Funds'!E38</f>
        <v>0</v>
      </c>
      <c r="C31" s="954">
        <f>'Part III-Sources of Funds'!I38</f>
        <v>0</v>
      </c>
      <c r="D31" s="955"/>
      <c r="E31" s="886"/>
      <c r="F31" s="938"/>
      <c r="G31" s="886"/>
      <c r="H31" s="886"/>
      <c r="I31" s="886"/>
      <c r="K31" s="886"/>
      <c r="L31" s="938"/>
      <c r="M31" s="886"/>
    </row>
    <row r="32" spans="1:13" ht="15">
      <c r="A32" s="961" t="s">
        <v>3175</v>
      </c>
      <c r="B32" s="953">
        <f>'Part III-Sources of Funds'!E39</f>
        <v>0</v>
      </c>
      <c r="C32" s="954">
        <f>'Part III-Sources of Funds'!I39</f>
        <v>0</v>
      </c>
      <c r="D32" s="955"/>
      <c r="E32" s="886" t="s">
        <v>254</v>
      </c>
      <c r="F32" s="938"/>
      <c r="G32" s="886" t="s">
        <v>3176</v>
      </c>
      <c r="H32" s="886"/>
      <c r="I32" s="886"/>
      <c r="K32" s="954"/>
      <c r="L32" s="938"/>
      <c r="M32" s="938"/>
    </row>
    <row r="33" spans="1:13" ht="15">
      <c r="A33" s="886"/>
      <c r="B33" s="938"/>
      <c r="C33" s="962"/>
      <c r="D33" s="886"/>
      <c r="E33" s="886"/>
      <c r="F33" s="938"/>
      <c r="G33" s="886" t="s">
        <v>3177</v>
      </c>
      <c r="H33" s="886"/>
      <c r="I33" s="886"/>
      <c r="K33" s="963"/>
      <c r="L33" s="938"/>
      <c r="M33" s="964"/>
    </row>
    <row r="34" spans="1:13" ht="15.75">
      <c r="A34" s="886"/>
      <c r="B34" s="957" t="s">
        <v>3178</v>
      </c>
      <c r="C34" s="962">
        <f>SUM(C31:C32)</f>
        <v>0</v>
      </c>
      <c r="D34" s="886"/>
      <c r="E34" s="886"/>
      <c r="F34" s="886"/>
      <c r="G34" s="886"/>
      <c r="H34" s="886"/>
      <c r="I34" s="886"/>
      <c r="K34" s="938"/>
      <c r="L34" s="886"/>
      <c r="M34" s="964"/>
    </row>
    <row r="35" spans="1:13" ht="15.75">
      <c r="A35" s="886"/>
      <c r="B35" s="957"/>
      <c r="C35" s="886"/>
      <c r="D35" s="886"/>
      <c r="E35" s="886"/>
      <c r="F35" s="886"/>
      <c r="G35" s="886" t="s">
        <v>3179</v>
      </c>
      <c r="H35" s="886"/>
      <c r="I35" s="886"/>
      <c r="K35" s="965" t="e">
        <f>(C36)/K25</f>
        <v>#DIV/0!</v>
      </c>
      <c r="L35" s="886"/>
      <c r="M35" s="938"/>
    </row>
    <row r="36" spans="1:13" ht="15.75">
      <c r="A36" s="886"/>
      <c r="B36" s="957" t="s">
        <v>3180</v>
      </c>
      <c r="C36" s="962">
        <f>C29+C34</f>
        <v>700000</v>
      </c>
      <c r="D36" s="886"/>
      <c r="E36" s="886"/>
      <c r="F36" s="886"/>
      <c r="G36" s="886"/>
      <c r="H36" s="886"/>
      <c r="I36" s="886"/>
      <c r="K36" s="938"/>
      <c r="L36" s="886"/>
      <c r="M36" s="938"/>
    </row>
    <row r="37" spans="1:13" ht="15.75">
      <c r="A37" s="886"/>
      <c r="B37" s="957"/>
      <c r="C37" s="966"/>
      <c r="D37" s="886"/>
      <c r="E37" s="886"/>
      <c r="F37" s="886"/>
      <c r="G37" s="886" t="s">
        <v>3181</v>
      </c>
      <c r="H37" s="886"/>
      <c r="I37" s="886"/>
      <c r="K37" s="965" t="e">
        <f>+(C36)/K32</f>
        <v>#DIV/0!</v>
      </c>
      <c r="L37" s="886"/>
      <c r="M37" s="964"/>
    </row>
    <row r="38" spans="1:13" ht="15.75">
      <c r="A38" s="886"/>
      <c r="B38" s="957" t="s">
        <v>3182</v>
      </c>
      <c r="C38" s="967">
        <f>C36/C18</f>
        <v>5.2316296556272304E-2</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3183</v>
      </c>
      <c r="C40" s="967">
        <f>C36/H18</f>
        <v>7.2027576272058441E-2</v>
      </c>
      <c r="D40" s="886"/>
      <c r="E40" s="886"/>
      <c r="F40" s="889"/>
      <c r="G40" s="889" t="s">
        <v>3184</v>
      </c>
      <c r="H40" s="886"/>
      <c r="I40" s="886"/>
      <c r="K40" s="965">
        <f>C30/C18</f>
        <v>0.94692496766852874</v>
      </c>
      <c r="L40" s="886"/>
      <c r="M40" s="886"/>
    </row>
    <row r="46" spans="1:13" ht="15.75">
      <c r="A46" s="968" t="s">
        <v>3185</v>
      </c>
      <c r="B46" s="933"/>
      <c r="C46" s="933"/>
      <c r="D46" s="933"/>
      <c r="E46" s="933"/>
      <c r="F46" s="933"/>
      <c r="G46" s="933"/>
      <c r="H46" s="933"/>
      <c r="I46" s="933"/>
      <c r="J46" s="933"/>
      <c r="K46" s="933"/>
      <c r="L46" s="933"/>
      <c r="M46" s="886"/>
    </row>
    <row r="47" spans="1:13" ht="15.75">
      <c r="A47" s="968" t="str">
        <f>C8</f>
        <v>240 Atlanta Street Development Phase 2</v>
      </c>
      <c r="B47" s="933"/>
      <c r="C47" s="933"/>
      <c r="D47" s="933"/>
      <c r="E47" s="933"/>
      <c r="F47" s="933"/>
      <c r="G47" s="933"/>
      <c r="H47" s="933"/>
      <c r="I47" s="933"/>
      <c r="J47" s="933"/>
      <c r="K47" s="933"/>
      <c r="L47" s="933"/>
      <c r="M47" s="886"/>
    </row>
    <row r="50" spans="1:14" s="886" customFormat="1" ht="15.75">
      <c r="A50" s="889" t="s">
        <v>3186</v>
      </c>
      <c r="C50" s="969" t="s">
        <v>3187</v>
      </c>
      <c r="E50" s="970" t="s">
        <v>3776</v>
      </c>
      <c r="F50" s="971">
        <v>0.1</v>
      </c>
      <c r="G50" s="970" t="s">
        <v>3777</v>
      </c>
      <c r="H50" s="971">
        <v>0.05</v>
      </c>
      <c r="I50" s="970" t="s">
        <v>3778</v>
      </c>
      <c r="J50" s="971">
        <v>0.03</v>
      </c>
      <c r="K50" s="1962" t="s">
        <v>3188</v>
      </c>
      <c r="L50" s="1963"/>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3189</v>
      </c>
      <c r="C52" s="974">
        <f>'Part VII-Pro Forma'!$B$14</f>
        <v>543996</v>
      </c>
      <c r="D52" s="974"/>
      <c r="E52" s="974">
        <f>$C$52</f>
        <v>543996</v>
      </c>
      <c r="F52" s="974"/>
      <c r="G52" s="974">
        <f>$C$52</f>
        <v>543996</v>
      </c>
      <c r="H52" s="974"/>
      <c r="I52" s="974">
        <f>$C$52</f>
        <v>543996</v>
      </c>
      <c r="J52" s="974"/>
      <c r="K52" s="974">
        <f>$C$52</f>
        <v>543996</v>
      </c>
      <c r="L52" s="975"/>
      <c r="M52" s="28"/>
      <c r="N52" s="28"/>
    </row>
    <row r="53" spans="1:14" s="886" customFormat="1" ht="18.75" customHeight="1">
      <c r="B53" s="973" t="s">
        <v>3192</v>
      </c>
      <c r="C53" s="974">
        <f>'Part VII-Pro Forma'!B15</f>
        <v>10879.92</v>
      </c>
      <c r="D53" s="974"/>
      <c r="E53" s="974">
        <f>$C$53</f>
        <v>10879.92</v>
      </c>
      <c r="F53" s="974"/>
      <c r="G53" s="974">
        <f>$C$53</f>
        <v>10879.92</v>
      </c>
      <c r="H53" s="974"/>
      <c r="I53" s="974">
        <f>$C$53</f>
        <v>10879.92</v>
      </c>
      <c r="J53" s="974"/>
      <c r="K53" s="974">
        <f>$C$53</f>
        <v>10879.92</v>
      </c>
      <c r="L53" s="975"/>
      <c r="M53" s="28"/>
      <c r="N53" s="28"/>
    </row>
    <row r="54" spans="1:14" s="886" customFormat="1" ht="18.75" customHeight="1">
      <c r="B54" s="973" t="s">
        <v>3190</v>
      </c>
      <c r="C54" s="974">
        <f>-($C$52+C53)*0.07</f>
        <v>-38841.31440000001</v>
      </c>
      <c r="D54" s="974"/>
      <c r="E54" s="974">
        <f>-($C$52+E53)*F50</f>
        <v>-55487.592000000004</v>
      </c>
      <c r="F54" s="976"/>
      <c r="G54" s="974">
        <f>-($C$52+G53)*0.07</f>
        <v>-38841.31440000001</v>
      </c>
      <c r="H54" s="974"/>
      <c r="I54" s="974">
        <f>-($C$52+I53)*0.07</f>
        <v>-38841.31440000001</v>
      </c>
      <c r="J54" s="974"/>
      <c r="K54" s="974">
        <f>-($C$52+K53)*L54</f>
        <v>-55487.592000000004</v>
      </c>
      <c r="L54" s="977">
        <v>0.1</v>
      </c>
      <c r="M54" s="28"/>
      <c r="N54" s="28"/>
    </row>
    <row r="55" spans="1:14" s="886" customFormat="1" ht="18.75" customHeight="1">
      <c r="B55" s="973" t="s">
        <v>3191</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3193</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3194</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3195</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3196</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3197</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3198</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3199</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3200</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3201</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3202</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3203</v>
      </c>
      <c r="C75" s="974">
        <f>'Part VII-Pro Forma'!$B$23+'Part VII-Pro Forma'!$B$24+'Part VII-Pro Forma'!$B$25+'Part VII-Pro Forma'!$B$26</f>
        <v>0</v>
      </c>
      <c r="D75" s="974"/>
      <c r="E75" s="974">
        <f>$C$75</f>
        <v>0</v>
      </c>
      <c r="F75" s="974"/>
      <c r="G75" s="974">
        <f>$C$75</f>
        <v>0</v>
      </c>
      <c r="H75" s="974"/>
      <c r="I75" s="974">
        <f>$C$75</f>
        <v>0</v>
      </c>
      <c r="J75" s="974"/>
      <c r="K75" s="974">
        <f>$C$75</f>
        <v>0</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3204</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3205</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3206</v>
      </c>
      <c r="C80" s="997" t="e">
        <f>MIN(C77,E77,G77,I77,K77)</f>
        <v>#NAME?</v>
      </c>
      <c r="D80" s="983"/>
      <c r="E80" s="983" t="s">
        <v>3207</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3208</v>
      </c>
      <c r="B1" s="999"/>
      <c r="C1" s="900" t="str">
        <f>'Part I-Project Information'!F24</f>
        <v>240 Atlanta Street Development Phase 2</v>
      </c>
    </row>
    <row r="2" spans="1:15" ht="13.5" customHeight="1"/>
    <row r="3" spans="1:15" ht="13.5" customHeight="1">
      <c r="A3" s="901" t="s">
        <v>3209</v>
      </c>
      <c r="C3" s="900" t="s">
        <v>3210</v>
      </c>
      <c r="E3" s="1000">
        <f>SUM('Part IV-Uses of Funds'!J148,'Part IV-Uses of Funds'!M148,'Part IV-Uses of Funds'!P148)</f>
        <v>12353145</v>
      </c>
      <c r="G3" s="1001" t="s">
        <v>3211</v>
      </c>
      <c r="H3" s="901">
        <v>27.5</v>
      </c>
      <c r="I3" s="900" t="s">
        <v>2555</v>
      </c>
      <c r="K3" s="907" t="s">
        <v>3233</v>
      </c>
      <c r="M3" s="903"/>
      <c r="O3" s="1002"/>
    </row>
    <row r="4" spans="1:15" ht="13.5" customHeight="1">
      <c r="C4" s="900" t="s">
        <v>3838</v>
      </c>
      <c r="E4" s="1000">
        <f>SUM('Part IV-Uses of Funds'!G85:H89)</f>
        <v>0</v>
      </c>
      <c r="G4" s="1001" t="s">
        <v>3212</v>
      </c>
      <c r="H4" s="901">
        <f>'Part III-Sources of Funds'!M37</f>
        <v>0</v>
      </c>
      <c r="I4" s="900" t="s">
        <v>2555</v>
      </c>
      <c r="K4" s="1003" t="s">
        <v>3496</v>
      </c>
      <c r="M4" s="903"/>
    </row>
    <row r="5" spans="1:15" ht="13.5" customHeight="1">
      <c r="C5" s="900" t="s">
        <v>3839</v>
      </c>
      <c r="E5" s="1000">
        <f>SUM('Part IV-Uses of Funds'!G96:H102)</f>
        <v>155400</v>
      </c>
      <c r="G5" s="1001" t="s">
        <v>3212</v>
      </c>
      <c r="H5" s="901">
        <v>15</v>
      </c>
      <c r="I5" s="900" t="s">
        <v>2555</v>
      </c>
      <c r="K5" s="1002">
        <f>-E6</f>
        <v>-12670000</v>
      </c>
    </row>
    <row r="6" spans="1:15" ht="13.5" customHeight="1">
      <c r="C6" s="900" t="s">
        <v>3213</v>
      </c>
      <c r="E6" s="1004">
        <f>'Part III-Sources of Funds'!$I$45+'Part III-Sources of Funds'!$I$46</f>
        <v>12670000</v>
      </c>
      <c r="G6" s="1001" t="s">
        <v>3214</v>
      </c>
      <c r="H6" s="1005">
        <v>0.35</v>
      </c>
      <c r="K6" s="1002" t="e">
        <f>C24</f>
        <v>#VALUE!</v>
      </c>
      <c r="M6" s="900" t="s">
        <v>3215</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3216</v>
      </c>
      <c r="O8" s="1007" t="e">
        <f>'Part VII-Pro Forma'!$K$67+'Part VII-Pro Forma'!$K$68</f>
        <v>#VALUE!</v>
      </c>
    </row>
    <row r="9" spans="1:15" ht="13.5" customHeight="1">
      <c r="A9" s="900" t="s">
        <v>3217</v>
      </c>
      <c r="C9" s="1009">
        <f>'Part VII-Pro Forma'!B30</f>
        <v>116510.40560000001</v>
      </c>
      <c r="D9" s="1009">
        <f>'Part VII-Pro Forma'!C30</f>
        <v>115134.08771200008</v>
      </c>
      <c r="E9" s="1009">
        <f>'Part VII-Pro Forma'!D30</f>
        <v>113617.73336624005</v>
      </c>
      <c r="F9" s="1009">
        <f>'Part VII-Pro Forma'!E30</f>
        <v>111957.20733056484</v>
      </c>
      <c r="G9" s="1009">
        <f>'Part VII-Pro Forma'!F30</f>
        <v>110144.11903308606</v>
      </c>
      <c r="H9" s="1009">
        <f>'Part VII-Pro Forma'!G30</f>
        <v>108171.81407633513</v>
      </c>
      <c r="I9" s="1009">
        <f>'Part VII-Pro Forma'!H30</f>
        <v>106035.3654803268</v>
      </c>
      <c r="K9" s="1002" t="e">
        <f>F24</f>
        <v>#VALUE!</v>
      </c>
      <c r="N9" s="1010" t="s">
        <v>3219</v>
      </c>
    </row>
    <row r="10" spans="1:15" ht="13.5" customHeight="1">
      <c r="A10" s="900" t="s">
        <v>3218</v>
      </c>
      <c r="C10" s="1011">
        <f>'Part III-Sources of Funds'!I37-'Part VII-Pro Forma'!B37</f>
        <v>0</v>
      </c>
      <c r="D10" s="1011">
        <f>'Part VII-Pro Forma'!B37-'Part VII-Pro Forma'!C37</f>
        <v>0</v>
      </c>
      <c r="E10" s="1011">
        <f>'Part VII-Pro Forma'!C37-'Part VII-Pro Forma'!D37</f>
        <v>0</v>
      </c>
      <c r="F10" s="1011">
        <f>'Part VII-Pro Forma'!D37-'Part VII-Pro Forma'!E37</f>
        <v>0</v>
      </c>
      <c r="G10" s="1011">
        <f>'Part VII-Pro Forma'!E37-'Part VII-Pro Forma'!F37</f>
        <v>0</v>
      </c>
      <c r="H10" s="1011">
        <f>'Part VII-Pro Forma'!F37-'Part VII-Pro Forma'!G37</f>
        <v>0</v>
      </c>
      <c r="I10" s="1011">
        <f>'Part VII-Pro Forma'!G37-'Part VII-Pro Forma'!H37</f>
        <v>0</v>
      </c>
      <c r="K10" s="1002" t="e">
        <f>G24</f>
        <v>#VALUE!</v>
      </c>
      <c r="N10" s="1010" t="s">
        <v>3220</v>
      </c>
      <c r="O10" s="1007"/>
    </row>
    <row r="11" spans="1:15" ht="13.5" customHeight="1">
      <c r="A11" s="900" t="s">
        <v>3218</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3218</v>
      </c>
      <c r="C12" s="1011"/>
      <c r="D12" s="1011"/>
      <c r="E12" s="1011"/>
      <c r="F12" s="1011"/>
      <c r="G12" s="1011"/>
      <c r="H12" s="1011"/>
      <c r="I12" s="1011"/>
      <c r="K12" s="1002" t="e">
        <f>I24</f>
        <v>#VALUE!</v>
      </c>
      <c r="M12" s="900" t="s">
        <v>3222</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22500</v>
      </c>
      <c r="D13" s="1015">
        <f>-SUMIF('Part VII-Pro Forma'!$A$13:$L$13,D$8,'Part VII-Pro Forma'!$A$21:$L$21)-SUMIF('Part VII-Pro Forma'!$A$43:$L$43,D$8,'Part VII-Pro Forma'!$A$51:$L$51)-SUMIF('Part VII-Pro Forma'!$A$73:$L$73,D$8,'Part VII-Pro Forma'!$A$81:$L$81)</f>
        <v>23175</v>
      </c>
      <c r="E13" s="1015">
        <f>-SUMIF('Part VII-Pro Forma'!$A$13:$L$13,E$8,'Part VII-Pro Forma'!$A$21:$L$21)-SUMIF('Part VII-Pro Forma'!$A$43:$L$43,E$8,'Part VII-Pro Forma'!$A$51:$L$51)-SUMIF('Part VII-Pro Forma'!$A$73:$L$73,E$8,'Part VII-Pro Forma'!$A$81:$L$81)</f>
        <v>23870.25</v>
      </c>
      <c r="F13" s="1015">
        <f>-SUMIF('Part VII-Pro Forma'!$A$13:$L$13,F$8,'Part VII-Pro Forma'!$A$21:$L$21)-SUMIF('Part VII-Pro Forma'!$A$43:$L$43,F$8,'Part VII-Pro Forma'!$A$51:$L$51)-SUMIF('Part VII-Pro Forma'!$A$73:$L$73,F$8,'Part VII-Pro Forma'!$A$81:$L$81)</f>
        <v>24586.357500000002</v>
      </c>
      <c r="G13" s="1015">
        <f>-SUMIF('Part VII-Pro Forma'!$A$13:$L$13,G$8,'Part VII-Pro Forma'!$A$21:$L$21)-SUMIF('Part VII-Pro Forma'!$A$43:$L$43,G$8,'Part VII-Pro Forma'!$A$51:$L$51)-SUMIF('Part VII-Pro Forma'!$A$73:$L$73,G$8,'Part VII-Pro Forma'!$A$81:$L$81)</f>
        <v>25323.948224999996</v>
      </c>
      <c r="H13" s="1015">
        <f>-SUMIF('Part VII-Pro Forma'!$A$13:$L$13,H$8,'Part VII-Pro Forma'!$A$21:$L$21)-SUMIF('Part VII-Pro Forma'!$A$43:$L$43,H$8,'Part VII-Pro Forma'!$A$51:$L$51)-SUMIF('Part VII-Pro Forma'!$A$73:$L$73,H$8,'Part VII-Pro Forma'!$A$81:$L$81)</f>
        <v>26083.666671749997</v>
      </c>
      <c r="I13" s="1015">
        <f>-SUMIF('Part VII-Pro Forma'!$A$13:$L$13,I$8,'Part VII-Pro Forma'!$A$21:$L$21)-SUMIF('Part VII-Pro Forma'!$A$43:$L$43,I$8,'Part VII-Pro Forma'!$A$51:$L$51)-SUMIF('Part VII-Pro Forma'!$A$73:$L$73,I$8,'Part VII-Pro Forma'!$A$81:$L$81)</f>
        <v>26866.176671902496</v>
      </c>
      <c r="K13" s="1002" t="e">
        <f>C44</f>
        <v>#VALUE!</v>
      </c>
      <c r="O13" s="1007"/>
    </row>
    <row r="14" spans="1:15" ht="13.5" customHeight="1">
      <c r="A14" s="1013" t="s">
        <v>3842</v>
      </c>
      <c r="B14" s="1014"/>
      <c r="C14" s="1015">
        <f>-SUMIF('Part VII-Pro Forma'!$A$13:$L$13,C$8,'Part VII-Pro Forma'!$A$29:$L$29)-SUMIF('Part VII-Pro Forma'!$A$43:$L$43,C$8,'Part VII-Pro Forma'!$A$59:$L$59)-SUMIF('Part VII-Pro Forma'!$A$73:$L$73,C$8,'Part VII-Pro Forma'!$A$89:$L$89)</f>
        <v>1015.1999999999999</v>
      </c>
      <c r="D14" s="1015">
        <f>-SUMIF('Part VII-Pro Forma'!$A$13:$L$13,D$8,'Part VII-Pro Forma'!$A$29:$L$29)-SUMIF('Part VII-Pro Forma'!$A$43:$L$43,D$8,'Part VII-Pro Forma'!$A$59:$L$59)-SUMIF('Part VII-Pro Forma'!$A$73:$L$73,D$8,'Part VII-Pro Forma'!$A$89:$L$89)</f>
        <v>1015.1999999999999</v>
      </c>
      <c r="E14" s="1015">
        <f>-SUMIF('Part VII-Pro Forma'!$A$13:$L$13,E$8,'Part VII-Pro Forma'!$A$29:$L$29)-SUMIF('Part VII-Pro Forma'!$A$43:$L$43,E$8,'Part VII-Pro Forma'!$A$59:$L$59)-SUMIF('Part VII-Pro Forma'!$A$73:$L$73,E$8,'Part VII-Pro Forma'!$A$89:$L$89)</f>
        <v>1015.1999999999999</v>
      </c>
      <c r="F14" s="1015">
        <f>-SUMIF('Part VII-Pro Forma'!$A$13:$L$13,F$8,'Part VII-Pro Forma'!$A$29:$L$29)-SUMIF('Part VII-Pro Forma'!$A$43:$L$43,F$8,'Part VII-Pro Forma'!$A$59:$L$59)-SUMIF('Part VII-Pro Forma'!$A$73:$L$73,F$8,'Part VII-Pro Forma'!$A$89:$L$89)</f>
        <v>1015.1999999999999</v>
      </c>
      <c r="G14" s="1015">
        <f>-SUMIF('Part VII-Pro Forma'!$A$13:$L$13,G$8,'Part VII-Pro Forma'!$A$29:$L$29)-SUMIF('Part VII-Pro Forma'!$A$43:$L$43,G$8,'Part VII-Pro Forma'!$A$59:$L$59)-SUMIF('Part VII-Pro Forma'!$A$73:$L$73,G$8,'Part VII-Pro Forma'!$A$89:$L$89)</f>
        <v>1015.1999999999999</v>
      </c>
      <c r="H14" s="1015">
        <f>-SUMIF('Part VII-Pro Forma'!$A$13:$L$13,H$8,'Part VII-Pro Forma'!$A$29:$L$29)-SUMIF('Part VII-Pro Forma'!$A$43:$L$43,H$8,'Part VII-Pro Forma'!$A$59:$L$59)-SUMIF('Part VII-Pro Forma'!$A$73:$L$73,H$8,'Part VII-Pro Forma'!$A$89:$L$89)</f>
        <v>1015.1999999999999</v>
      </c>
      <c r="I14" s="1015">
        <f>-SUMIF('Part VII-Pro Forma'!$A$13:$L$13,I$8,'Part VII-Pro Forma'!$A$29:$L$29)-SUMIF('Part VII-Pro Forma'!$A$43:$L$43,I$8,'Part VII-Pro Forma'!$A$59:$L$59)-SUMIF('Part VII-Pro Forma'!$A$73:$L$73,I$8,'Part VII-Pro Forma'!$A$89:$L$89)</f>
        <v>1015.1999999999999</v>
      </c>
      <c r="K14" s="1002" t="e">
        <f>D44</f>
        <v>#VALUE!</v>
      </c>
      <c r="M14" s="900" t="s">
        <v>3225</v>
      </c>
      <c r="O14" s="1007" t="e">
        <f>O6-O8-O12</f>
        <v>#VALUE!</v>
      </c>
    </row>
    <row r="15" spans="1:15" ht="13.5" customHeight="1">
      <c r="A15" s="1016" t="s">
        <v>3221</v>
      </c>
      <c r="C15" s="1017">
        <f t="shared" ref="C15:I15" si="0">$E$3/$H$3</f>
        <v>449205.27272727271</v>
      </c>
      <c r="D15" s="1017">
        <f t="shared" si="0"/>
        <v>449205.27272727271</v>
      </c>
      <c r="E15" s="1017">
        <f t="shared" si="0"/>
        <v>449205.27272727271</v>
      </c>
      <c r="F15" s="1017">
        <f t="shared" si="0"/>
        <v>449205.27272727271</v>
      </c>
      <c r="G15" s="1017">
        <f t="shared" si="0"/>
        <v>449205.27272727271</v>
      </c>
      <c r="H15" s="1017">
        <f t="shared" si="0"/>
        <v>449205.27272727271</v>
      </c>
      <c r="I15" s="1017">
        <f t="shared" si="0"/>
        <v>449205.27272727271</v>
      </c>
      <c r="K15" s="1002" t="e">
        <f>E44</f>
        <v>#VALUE!</v>
      </c>
      <c r="O15" s="1007"/>
    </row>
    <row r="16" spans="1:15" ht="13.5" customHeight="1">
      <c r="A16" s="1016" t="s">
        <v>3223</v>
      </c>
      <c r="C16" s="1017">
        <f>IF(C$8&lt;=$H$4,($E$4/$H$4),0)+IF(C$8&lt;=$H$5,($E$5/$H$5),0)</f>
        <v>10360</v>
      </c>
      <c r="D16" s="1017">
        <f t="shared" ref="D16:I16" si="1">IF(D$8&lt;=$H$4,($E$4/$H$4),0)+IF(D$8&lt;=$H$5,($E$5/$H$5),0)</f>
        <v>10360</v>
      </c>
      <c r="E16" s="1017">
        <f t="shared" si="1"/>
        <v>10360</v>
      </c>
      <c r="F16" s="1017">
        <f t="shared" si="1"/>
        <v>10360</v>
      </c>
      <c r="G16" s="1017">
        <f t="shared" si="1"/>
        <v>10360</v>
      </c>
      <c r="H16" s="1017">
        <f t="shared" si="1"/>
        <v>10360</v>
      </c>
      <c r="I16" s="1017">
        <f t="shared" si="1"/>
        <v>10360</v>
      </c>
      <c r="K16" s="1002" t="e">
        <f>F44</f>
        <v>#VALUE!</v>
      </c>
      <c r="M16" s="900" t="s">
        <v>3227</v>
      </c>
      <c r="O16" s="1007">
        <f>E3</f>
        <v>12353145</v>
      </c>
    </row>
    <row r="17" spans="1:17" ht="13.5" customHeight="1">
      <c r="A17" s="1016" t="s">
        <v>3224</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3221</v>
      </c>
      <c r="O17" s="1007">
        <f>20*(E3/H3)</f>
        <v>8984105.4545454532</v>
      </c>
    </row>
    <row r="18" spans="1:17" ht="13.5" customHeight="1">
      <c r="A18" s="1016" t="s">
        <v>3226</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3231</v>
      </c>
      <c r="O19" s="1007">
        <f>O16-O17</f>
        <v>3369039.5454545468</v>
      </c>
    </row>
    <row r="20" spans="1:17" ht="13.5" customHeight="1">
      <c r="A20" s="900" t="s">
        <v>3228</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3229</v>
      </c>
      <c r="C21" s="1018">
        <f>'Part IV-Uses of Funds'!$J$174</f>
        <v>905000</v>
      </c>
      <c r="D21" s="1018">
        <f t="shared" ref="D21:I21" si="5">C21</f>
        <v>905000</v>
      </c>
      <c r="E21" s="1018">
        <f t="shared" si="5"/>
        <v>905000</v>
      </c>
      <c r="F21" s="1018">
        <f t="shared" si="5"/>
        <v>905000</v>
      </c>
      <c r="G21" s="1018">
        <f t="shared" si="5"/>
        <v>905000</v>
      </c>
      <c r="H21" s="1018">
        <f t="shared" si="5"/>
        <v>905000</v>
      </c>
      <c r="I21" s="1018">
        <f t="shared" si="5"/>
        <v>905000</v>
      </c>
      <c r="J21" s="900" t="s">
        <v>254</v>
      </c>
      <c r="K21" s="1002" t="e">
        <f>D64</f>
        <v>#VALUE!</v>
      </c>
      <c r="O21" s="1007"/>
    </row>
    <row r="22" spans="1:17" ht="13.5" customHeight="1">
      <c r="A22" s="900" t="s">
        <v>3230</v>
      </c>
      <c r="C22" s="1018">
        <f>C21</f>
        <v>905000</v>
      </c>
      <c r="D22" s="1018">
        <f t="shared" ref="D22:I22" si="6">D21</f>
        <v>905000</v>
      </c>
      <c r="E22" s="1018">
        <f t="shared" si="6"/>
        <v>905000</v>
      </c>
      <c r="F22" s="1018">
        <f t="shared" si="6"/>
        <v>905000</v>
      </c>
      <c r="G22" s="1018">
        <f t="shared" si="6"/>
        <v>905000</v>
      </c>
      <c r="H22" s="1018">
        <f t="shared" si="6"/>
        <v>905000</v>
      </c>
      <c r="I22" s="1018">
        <f t="shared" si="6"/>
        <v>905000</v>
      </c>
      <c r="K22" s="1002" t="e">
        <f>E64</f>
        <v>#VALUE!</v>
      </c>
      <c r="M22" s="900" t="s">
        <v>3215</v>
      </c>
      <c r="O22" s="1007">
        <f>O6</f>
        <v>0</v>
      </c>
    </row>
    <row r="23" spans="1:17" ht="13.5" customHeight="1">
      <c r="A23" s="900" t="s">
        <v>3232</v>
      </c>
      <c r="C23" s="1009">
        <v>0</v>
      </c>
      <c r="D23" s="1009">
        <v>0</v>
      </c>
      <c r="E23" s="1009">
        <v>0</v>
      </c>
      <c r="F23" s="1009">
        <v>0</v>
      </c>
      <c r="G23" s="1009">
        <v>0</v>
      </c>
      <c r="H23" s="1009">
        <v>0</v>
      </c>
      <c r="I23" s="1009">
        <v>0</v>
      </c>
      <c r="K23" s="1002" t="e">
        <f>F64</f>
        <v>#VALUE!</v>
      </c>
      <c r="M23" s="900" t="s">
        <v>3234</v>
      </c>
      <c r="O23" s="1007">
        <f>O19</f>
        <v>3369039.5454545468</v>
      </c>
    </row>
    <row r="24" spans="1:17" ht="13.5" customHeight="1">
      <c r="A24" s="900" t="s">
        <v>3233</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3235</v>
      </c>
      <c r="O25" s="1007">
        <f>O22-O23</f>
        <v>-3369039.5454545468</v>
      </c>
      <c r="Q25" s="1019"/>
    </row>
    <row r="26" spans="1:17" ht="13.5" customHeight="1">
      <c r="A26" s="1020"/>
      <c r="B26" s="1020"/>
      <c r="C26" s="1020"/>
      <c r="D26" s="1020"/>
      <c r="E26" s="1020"/>
      <c r="F26" s="1020"/>
      <c r="G26" s="1020"/>
      <c r="H26" s="1020"/>
      <c r="I26" s="1020"/>
      <c r="K26" s="1002"/>
      <c r="O26" s="1007"/>
    </row>
    <row r="27" spans="1:17" ht="13.5" customHeight="1">
      <c r="K27" s="1002"/>
      <c r="M27" s="900" t="s">
        <v>3236</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3217</v>
      </c>
      <c r="C29" s="1009">
        <f>'Part VII-Pro Forma'!I30</f>
        <v>103725.56464607216</v>
      </c>
      <c r="D29" s="1009">
        <f>'Part VII-Pro Forma'!J30</f>
        <v>101236.91203081669</v>
      </c>
      <c r="E29" s="1009">
        <f>'Part VII-Pro Forma'!K30</f>
        <v>98559.607526010659</v>
      </c>
      <c r="F29" s="1009">
        <f>'Part VII-Pro Forma'!B60</f>
        <v>96703.74052874597</v>
      </c>
      <c r="G29" s="1009">
        <f>'Part VII-Pro Forma'!C60</f>
        <v>93629.479697102332</v>
      </c>
      <c r="H29" s="1009">
        <f>'Part VII-Pro Forma'!D60</f>
        <v>90343.262379559412</v>
      </c>
      <c r="I29" s="1009">
        <f>'Part VII-Pro Forma'!E60</f>
        <v>86834.983708321073</v>
      </c>
      <c r="N29" s="1021"/>
      <c r="O29" s="1021"/>
    </row>
    <row r="30" spans="1:17" ht="13.5" customHeight="1">
      <c r="A30" s="900" t="s">
        <v>3218</v>
      </c>
      <c r="C30" s="1011">
        <f>'Part VII-Pro Forma'!H37-'Part VII-Pro Forma'!I37</f>
        <v>0</v>
      </c>
      <c r="D30" s="1011">
        <f>'Part VII-Pro Forma'!I37-'Part VII-Pro Forma'!J37</f>
        <v>0</v>
      </c>
      <c r="E30" s="1011">
        <f>'Part VII-Pro Forma'!J37-'Part VII-Pro Forma'!K37</f>
        <v>0</v>
      </c>
      <c r="F30" s="1011">
        <f>'Part VII-Pro Forma'!K37-'Part VII-Pro Forma'!B67</f>
        <v>0</v>
      </c>
      <c r="G30" s="1011">
        <f>'Part VII-Pro Forma'!B67-'Part VII-Pro Forma'!C67</f>
        <v>0</v>
      </c>
      <c r="H30" s="1011">
        <f>'Part VII-Pro Forma'!C67-'Part VII-Pro Forma'!D67</f>
        <v>0</v>
      </c>
      <c r="I30" s="1011">
        <f>'Part VII-Pro Forma'!D67-'Part VII-Pro Forma'!E67</f>
        <v>0</v>
      </c>
    </row>
    <row r="31" spans="1:17" ht="13.5" customHeight="1">
      <c r="A31" s="900" t="s">
        <v>3218</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3237</v>
      </c>
      <c r="O31" s="1009">
        <f>O25*O27</f>
        <v>-673807.90909090941</v>
      </c>
    </row>
    <row r="32" spans="1:17" ht="13.5" customHeight="1">
      <c r="A32" s="900" t="s">
        <v>3218</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27672.161972059574</v>
      </c>
      <c r="D33" s="1015">
        <f>-SUMIF('Part VII-Pro Forma'!$A$13:$L$13,D$28,'Part VII-Pro Forma'!$A$21:$L$21)-SUMIF('Part VII-Pro Forma'!$A$43:$L$43,D$28,'Part VII-Pro Forma'!$A$51:$L$51)-SUMIF('Part VII-Pro Forma'!$A$73:$L$73,D$28,'Part VII-Pro Forma'!$A$81:$L$81)</f>
        <v>28502.326831221359</v>
      </c>
      <c r="E33" s="1015">
        <f>-SUMIF('Part VII-Pro Forma'!$A$13:$L$13,E$28,'Part VII-Pro Forma'!$A$21:$L$21)-SUMIF('Part VII-Pro Forma'!$A$43:$L$43,E$28,'Part VII-Pro Forma'!$A$51:$L$51)-SUMIF('Part VII-Pro Forma'!$A$73:$L$73,E$28,'Part VII-Pro Forma'!$A$81:$L$81)</f>
        <v>29357.396636157999</v>
      </c>
      <c r="F33" s="1015">
        <f>-SUMIF('Part VII-Pro Forma'!$A$13:$L$13,F$28,'Part VII-Pro Forma'!$A$21:$L$21)-SUMIF('Part VII-Pro Forma'!$A$43:$L$43,F$28,'Part VII-Pro Forma'!$A$51:$L$51)-SUMIF('Part VII-Pro Forma'!$A$73:$L$73,F$28,'Part VII-Pro Forma'!$A$81:$L$81)</f>
        <v>30238.118535242738</v>
      </c>
      <c r="G33" s="1015">
        <f>-SUMIF('Part VII-Pro Forma'!$A$13:$L$13,G$28,'Part VII-Pro Forma'!$A$21:$L$21)-SUMIF('Part VII-Pro Forma'!$A$43:$L$43,G$28,'Part VII-Pro Forma'!$A$51:$L$51)-SUMIF('Part VII-Pro Forma'!$A$73:$L$73,G$28,'Part VII-Pro Forma'!$A$81:$L$81)</f>
        <v>31145.262091300025</v>
      </c>
      <c r="H33" s="1015">
        <f>-SUMIF('Part VII-Pro Forma'!$A$13:$L$13,H$28,'Part VII-Pro Forma'!$A$21:$L$21)-SUMIF('Part VII-Pro Forma'!$A$43:$L$43,H$28,'Part VII-Pro Forma'!$A$51:$L$51)-SUMIF('Part VII-Pro Forma'!$A$73:$L$73,H$28,'Part VII-Pro Forma'!$A$81:$L$81)</f>
        <v>32079.619954039019</v>
      </c>
      <c r="I33" s="1015">
        <f>-SUMIF('Part VII-Pro Forma'!$A$13:$L$13,I$28,'Part VII-Pro Forma'!$A$21:$L$21)-SUMIF('Part VII-Pro Forma'!$A$43:$L$43,I$28,'Part VII-Pro Forma'!$A$51:$L$51)-SUMIF('Part VII-Pro Forma'!$A$73:$L$73,I$28,'Part VII-Pro Forma'!$A$81:$L$81)</f>
        <v>33042.008552660191</v>
      </c>
      <c r="K33" s="900" t="s">
        <v>254</v>
      </c>
      <c r="M33" s="900" t="s">
        <v>3238</v>
      </c>
      <c r="O33" s="1009" t="e">
        <f>O14-O31</f>
        <v>#VALUE!</v>
      </c>
    </row>
    <row r="34" spans="1:15" ht="13.5" customHeight="1">
      <c r="A34" s="1013" t="s">
        <v>3842</v>
      </c>
      <c r="B34" s="1014"/>
      <c r="C34" s="1015">
        <f>-SUMIF('Part VII-Pro Forma'!$A$13:$L$13,C$28,'Part VII-Pro Forma'!$A$29:$L$29)-SUMIF('Part VII-Pro Forma'!$A$43:$L$43,C$28,'Part VII-Pro Forma'!$A$59:$L$59)-SUMIF('Part VII-Pro Forma'!$A$73:$L$73,C$28,'Part VII-Pro Forma'!$A$89:$L$89)</f>
        <v>1015.1999999999999</v>
      </c>
      <c r="D34" s="1015">
        <f>-SUMIF('Part VII-Pro Forma'!$A$13:$L$13,D$28,'Part VII-Pro Forma'!$A$29:$L$29)-SUMIF('Part VII-Pro Forma'!$A$43:$L$43,D$28,'Part VII-Pro Forma'!$A$59:$L$59)-SUMIF('Part VII-Pro Forma'!$A$73:$L$73,D$28,'Part VII-Pro Forma'!$A$89:$L$89)</f>
        <v>1015.1999999999999</v>
      </c>
      <c r="E34" s="1015">
        <f>-SUMIF('Part VII-Pro Forma'!$A$13:$L$13,E$28,'Part VII-Pro Forma'!$A$29:$L$29)-SUMIF('Part VII-Pro Forma'!$A$43:$L$43,E$28,'Part VII-Pro Forma'!$A$59:$L$59)-SUMIF('Part VII-Pro Forma'!$A$73:$L$73,E$28,'Part VII-Pro Forma'!$A$89:$L$89)</f>
        <v>1015.1999999999999</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3221</v>
      </c>
      <c r="C35" s="1017">
        <f t="shared" ref="C35:I35" si="8">$E$3/$H$3</f>
        <v>449205.27272727271</v>
      </c>
      <c r="D35" s="1017">
        <f t="shared" si="8"/>
        <v>449205.27272727271</v>
      </c>
      <c r="E35" s="1017">
        <f t="shared" si="8"/>
        <v>449205.27272727271</v>
      </c>
      <c r="F35" s="1017">
        <f t="shared" si="8"/>
        <v>449205.27272727271</v>
      </c>
      <c r="G35" s="1017">
        <f t="shared" si="8"/>
        <v>449205.27272727271</v>
      </c>
      <c r="H35" s="1017">
        <f t="shared" si="8"/>
        <v>449205.27272727271</v>
      </c>
      <c r="I35" s="1017">
        <f t="shared" si="8"/>
        <v>449205.27272727271</v>
      </c>
    </row>
    <row r="36" spans="1:15" ht="13.5" customHeight="1">
      <c r="A36" s="1016" t="s">
        <v>3223</v>
      </c>
      <c r="C36" s="1009">
        <f>IF(C$28&lt;=$H$4,($E$4/$H$4),0)+IF(C$28&lt;=$H$5,($E$5/$H$5),0)</f>
        <v>10360</v>
      </c>
      <c r="D36" s="1009">
        <f t="shared" ref="D36:I36" si="9">IF(D$28&lt;=$H$4,($E$4/$H$4),0)+IF(D$28&lt;=$H$5,($E$5/$H$5),0)</f>
        <v>10360</v>
      </c>
      <c r="E36" s="1009">
        <f t="shared" si="9"/>
        <v>10360</v>
      </c>
      <c r="F36" s="1009">
        <f t="shared" si="9"/>
        <v>10360</v>
      </c>
      <c r="G36" s="1009">
        <f t="shared" si="9"/>
        <v>10360</v>
      </c>
      <c r="H36" s="1009">
        <f t="shared" si="9"/>
        <v>10360</v>
      </c>
      <c r="I36" s="1009">
        <f t="shared" si="9"/>
        <v>10360</v>
      </c>
    </row>
    <row r="37" spans="1:15" ht="13.5" customHeight="1">
      <c r="A37" s="1016" t="s">
        <v>3224</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3226</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3228</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3229</v>
      </c>
      <c r="C41" s="1018">
        <f>C21</f>
        <v>905000</v>
      </c>
      <c r="D41" s="1018">
        <f>C41</f>
        <v>905000</v>
      </c>
      <c r="E41" s="1018">
        <f>D41</f>
        <v>905000</v>
      </c>
      <c r="F41" s="1018">
        <v>0</v>
      </c>
      <c r="G41" s="1018">
        <v>0</v>
      </c>
      <c r="H41" s="1018">
        <v>0</v>
      </c>
      <c r="I41" s="1018">
        <v>0</v>
      </c>
    </row>
    <row r="42" spans="1:15" ht="13.5" customHeight="1">
      <c r="A42" s="900" t="s">
        <v>3230</v>
      </c>
      <c r="C42" s="1018">
        <f>C22</f>
        <v>905000</v>
      </c>
      <c r="D42" s="1018">
        <f>C42</f>
        <v>905000</v>
      </c>
      <c r="E42" s="1018">
        <f>D42</f>
        <v>905000</v>
      </c>
      <c r="F42" s="1018">
        <v>0</v>
      </c>
      <c r="G42" s="1018">
        <v>0</v>
      </c>
      <c r="H42" s="1018">
        <v>0</v>
      </c>
      <c r="I42" s="1018">
        <v>0</v>
      </c>
    </row>
    <row r="43" spans="1:15" ht="13.5" customHeight="1">
      <c r="A43" s="900" t="s">
        <v>3232</v>
      </c>
      <c r="C43" s="1011">
        <v>0</v>
      </c>
      <c r="D43" s="1011">
        <v>0</v>
      </c>
      <c r="E43" s="1011">
        <v>0</v>
      </c>
      <c r="F43" s="1011">
        <v>0</v>
      </c>
      <c r="G43" s="1011">
        <v>0</v>
      </c>
      <c r="H43" s="1011">
        <v>0</v>
      </c>
      <c r="I43" s="1011">
        <v>0</v>
      </c>
    </row>
    <row r="44" spans="1:15" ht="13.5" customHeight="1">
      <c r="A44" s="900" t="s">
        <v>3233</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3217</v>
      </c>
      <c r="C49" s="1009">
        <f>'Part VII-Pro Forma'!F60</f>
        <v>83099.185346093087</v>
      </c>
      <c r="D49" s="1009">
        <f>'Part VII-Pro Forma'!G60</f>
        <v>79124.043875528325</v>
      </c>
      <c r="E49" s="1009">
        <f>'Part VII-Pro Forma'!H60</f>
        <v>74899.358820228183</v>
      </c>
      <c r="F49" s="1009">
        <f>'Part VII-Pro Forma'!I60</f>
        <v>70416.540285837589</v>
      </c>
      <c r="G49" s="1009">
        <f>'Part VII-Pro Forma'!J60</f>
        <v>65664.596209435127</v>
      </c>
      <c r="H49" s="1009">
        <f>'Part VII-Pro Forma'!K60</f>
        <v>60633.11920504109</v>
      </c>
    </row>
    <row r="50" spans="1:10" ht="13.5" customHeight="1">
      <c r="A50" s="900" t="s">
        <v>3218</v>
      </c>
      <c r="C50" s="1009">
        <f>'Part VII-Pro Forma'!E67-'Part VII-Pro Forma'!F67</f>
        <v>0</v>
      </c>
      <c r="D50" s="1009">
        <f>'Part VII-Pro Forma'!F67-'Part VII-Pro Forma'!G67</f>
        <v>0</v>
      </c>
      <c r="E50" s="1009">
        <f>'Part VII-Pro Forma'!G67-'Part VII-Pro Forma'!H67</f>
        <v>0</v>
      </c>
      <c r="F50" s="1009">
        <f>'Part VII-Pro Forma'!H67-'Part VII-Pro Forma'!I67</f>
        <v>0</v>
      </c>
      <c r="G50" s="1009">
        <f>'Part VII-Pro Forma'!I67-'Part VII-Pro Forma'!J67</f>
        <v>0</v>
      </c>
      <c r="H50" s="1009">
        <f>'Part VII-Pro Forma'!J67-'Part VII-Pro Forma'!K67</f>
        <v>0</v>
      </c>
    </row>
    <row r="51" spans="1:10" ht="13.5" customHeight="1">
      <c r="A51" s="900" t="s">
        <v>3218</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3218</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34033.268809239999</v>
      </c>
      <c r="D53" s="1015">
        <f>-SUMIF('Part VII-Pro Forma'!$A$13:$L$13,D$48,'Part VII-Pro Forma'!$A$21:$L$21)-SUMIF('Part VII-Pro Forma'!$A$43:$L$43,D$48,'Part VII-Pro Forma'!$A$51:$L$51)-SUMIF('Part VII-Pro Forma'!$A$73:$L$73,D$48,'Part VII-Pro Forma'!$A$81:$L$81)</f>
        <v>35054.266873517197</v>
      </c>
      <c r="E53" s="1015">
        <f>-SUMIF('Part VII-Pro Forma'!$A$13:$L$13,E$48,'Part VII-Pro Forma'!$A$21:$L$21)-SUMIF('Part VII-Pro Forma'!$A$43:$L$43,E$48,'Part VII-Pro Forma'!$A$51:$L$51)-SUMIF('Part VII-Pro Forma'!$A$73:$L$73,E$48,'Part VII-Pro Forma'!$A$81:$L$81)</f>
        <v>36105.894879722706</v>
      </c>
      <c r="F53" s="1015">
        <f>-SUMIF('Part VII-Pro Forma'!$A$13:$L$13,F$48,'Part VII-Pro Forma'!$A$21:$L$21)-SUMIF('Part VII-Pro Forma'!$A$43:$L$43,F$48,'Part VII-Pro Forma'!$A$51:$L$51)-SUMIF('Part VII-Pro Forma'!$A$73:$L$73,F$48,'Part VII-Pro Forma'!$A$81:$L$81)</f>
        <v>37189.071726114387</v>
      </c>
      <c r="G53" s="1015">
        <f>-SUMIF('Part VII-Pro Forma'!$A$13:$L$13,G$48,'Part VII-Pro Forma'!$A$21:$L$21)-SUMIF('Part VII-Pro Forma'!$A$43:$L$43,G$48,'Part VII-Pro Forma'!$A$51:$L$51)-SUMIF('Part VII-Pro Forma'!$A$73:$L$73,G$48,'Part VII-Pro Forma'!$A$81:$L$81)</f>
        <v>38304.743877897825</v>
      </c>
      <c r="H53" s="1015">
        <f>-SUMIF('Part VII-Pro Forma'!$A$13:$L$13,H$48,'Part VII-Pro Forma'!$A$21:$L$21)-SUMIF('Part VII-Pro Forma'!$A$43:$L$43,H$48,'Part VII-Pro Forma'!$A$51:$L$51)-SUMIF('Part VII-Pro Forma'!$A$73:$L$73,H$48,'Part VII-Pro Forma'!$A$81:$L$81)</f>
        <v>39453.886194234758</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3221</v>
      </c>
      <c r="C55" s="1017">
        <f t="shared" ref="C55:H55" si="14">$E$3/$H$3</f>
        <v>449205.27272727271</v>
      </c>
      <c r="D55" s="1017">
        <f t="shared" si="14"/>
        <v>449205.27272727271</v>
      </c>
      <c r="E55" s="1017">
        <f t="shared" si="14"/>
        <v>449205.27272727271</v>
      </c>
      <c r="F55" s="1017">
        <f t="shared" si="14"/>
        <v>449205.27272727271</v>
      </c>
      <c r="G55" s="1017">
        <f t="shared" si="14"/>
        <v>449205.27272727271</v>
      </c>
      <c r="H55" s="1017">
        <f t="shared" si="14"/>
        <v>449205.27272727271</v>
      </c>
    </row>
    <row r="56" spans="1:10" ht="13.5" customHeight="1">
      <c r="A56" s="1016" t="s">
        <v>3223</v>
      </c>
      <c r="C56" s="1009">
        <f t="shared" ref="C56:H56" si="15">IF(C$48&lt;=$H$4,($E$4/$H$4),0)+IF(C$48&lt;=$H$5,($E$5/$H$5),0)</f>
        <v>10360</v>
      </c>
      <c r="D56" s="1009">
        <f t="shared" si="15"/>
        <v>0</v>
      </c>
      <c r="E56" s="1009">
        <f t="shared" si="15"/>
        <v>0</v>
      </c>
      <c r="F56" s="1009">
        <f t="shared" si="15"/>
        <v>0</v>
      </c>
      <c r="G56" s="1009">
        <f t="shared" si="15"/>
        <v>0</v>
      </c>
      <c r="H56" s="1009">
        <f t="shared" si="15"/>
        <v>0</v>
      </c>
    </row>
    <row r="57" spans="1:10" ht="13.5" customHeight="1">
      <c r="A57" s="1016" t="s">
        <v>3224</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3226</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3228</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3229</v>
      </c>
      <c r="C61" s="1017">
        <v>0</v>
      </c>
      <c r="D61" s="1017">
        <v>0</v>
      </c>
      <c r="E61" s="1017">
        <v>0</v>
      </c>
      <c r="F61" s="1017">
        <v>0</v>
      </c>
      <c r="G61" s="1017">
        <v>0</v>
      </c>
      <c r="H61" s="1009">
        <v>0</v>
      </c>
    </row>
    <row r="62" spans="1:10">
      <c r="A62" s="900" t="s">
        <v>3230</v>
      </c>
      <c r="C62" s="1017">
        <v>0</v>
      </c>
      <c r="D62" s="1009">
        <v>0</v>
      </c>
      <c r="E62" s="1009">
        <v>0</v>
      </c>
      <c r="F62" s="1009">
        <v>0</v>
      </c>
      <c r="G62" s="1009">
        <v>0</v>
      </c>
      <c r="H62" s="1009">
        <v>0</v>
      </c>
    </row>
    <row r="63" spans="1:10">
      <c r="A63" s="900" t="s">
        <v>3232</v>
      </c>
      <c r="C63" s="1009">
        <v>0</v>
      </c>
      <c r="D63" s="1009">
        <v>0</v>
      </c>
      <c r="E63" s="1009">
        <v>0</v>
      </c>
      <c r="F63" s="1009">
        <v>0</v>
      </c>
      <c r="G63" s="1009">
        <v>0</v>
      </c>
      <c r="H63" s="1009" t="e">
        <f>O33</f>
        <v>#VALUE!</v>
      </c>
    </row>
    <row r="64" spans="1:10">
      <c r="A64" s="900" t="s">
        <v>3233</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3239</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90" zoomScaleNormal="9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- 2016-032 240 Atlanta Street Development Phase 2, Gainesville, Hall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8" t="s">
        <v>2779</v>
      </c>
      <c r="P3" s="1448"/>
    </row>
    <row r="4" spans="1:16" s="329" customFormat="1" ht="12" customHeight="1" thickBot="1">
      <c r="A4" s="543"/>
      <c r="B4" s="331"/>
      <c r="F4" s="332"/>
      <c r="G4" s="298" t="s">
        <v>459</v>
      </c>
      <c r="H4" s="1403"/>
      <c r="I4" s="1403"/>
      <c r="J4" s="1403"/>
      <c r="O4" s="2622" t="s">
        <v>4413</v>
      </c>
      <c r="P4" s="2623"/>
    </row>
    <row r="5" spans="1:16" s="329" customFormat="1" ht="12" customHeight="1" thickBot="1">
      <c r="A5" s="543"/>
      <c r="B5" s="1465" t="s">
        <v>4388</v>
      </c>
      <c r="C5" s="1466"/>
      <c r="D5" s="1467"/>
      <c r="F5" s="610"/>
      <c r="G5" s="188" t="s">
        <v>3501</v>
      </c>
      <c r="H5" s="1403"/>
      <c r="I5" s="1403"/>
      <c r="J5" s="1403"/>
    </row>
    <row r="6" spans="1:16" s="329" customFormat="1" ht="9" customHeight="1">
      <c r="A6" s="543"/>
      <c r="B6" s="331"/>
      <c r="C6" s="331"/>
      <c r="D6" s="331"/>
      <c r="E6" s="1403"/>
      <c r="H6" s="1403"/>
      <c r="I6" s="1403"/>
      <c r="J6" s="1403"/>
      <c r="K6" s="296"/>
      <c r="M6" s="1403"/>
    </row>
    <row r="7" spans="1:16" s="329" customFormat="1" ht="13.15" customHeight="1">
      <c r="A7" s="331" t="s">
        <v>640</v>
      </c>
      <c r="B7" s="331" t="s">
        <v>2460</v>
      </c>
      <c r="D7" s="299"/>
      <c r="E7" s="333"/>
      <c r="F7" s="334" t="s">
        <v>1781</v>
      </c>
      <c r="J7" s="1459">
        <f>'Part IV-Uses of Funds'!J174</f>
        <v>905000</v>
      </c>
      <c r="K7" s="1460"/>
      <c r="M7" s="1403"/>
    </row>
    <row r="8" spans="1:16" s="1" customFormat="1" ht="13.15" customHeight="1">
      <c r="A8" s="4"/>
      <c r="B8" s="4"/>
      <c r="D8" s="28"/>
      <c r="E8" s="413"/>
      <c r="F8" s="329" t="s">
        <v>1333</v>
      </c>
      <c r="J8" s="1461">
        <f>'Part III-Sources of Funds'!E10</f>
        <v>0</v>
      </c>
      <c r="K8" s="1462"/>
      <c r="L8" s="329"/>
      <c r="M8" s="1403"/>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4201</v>
      </c>
      <c r="G10" s="2625"/>
      <c r="H10" s="2626"/>
      <c r="I10" s="2627" t="s">
        <v>4196</v>
      </c>
      <c r="J10" s="580" t="s">
        <v>4197</v>
      </c>
      <c r="K10" s="340"/>
      <c r="L10" s="1403"/>
      <c r="O10" s="2628" t="s">
        <v>4202</v>
      </c>
      <c r="P10" s="2629"/>
    </row>
    <row r="11" spans="1:16" s="329" customFormat="1" ht="12.75" customHeight="1">
      <c r="A11" s="543"/>
      <c r="H11" s="1403"/>
      <c r="J11" s="581" t="s">
        <v>2845</v>
      </c>
      <c r="K11" s="296"/>
      <c r="M11" s="1403"/>
      <c r="O11" s="2630" t="s">
        <v>3155</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4203</v>
      </c>
      <c r="G15" s="2633"/>
      <c r="H15" s="2633"/>
      <c r="I15" s="2633"/>
      <c r="J15" s="2633"/>
      <c r="K15" s="2633"/>
      <c r="L15" s="2634"/>
      <c r="M15" s="1389" t="s">
        <v>2055</v>
      </c>
      <c r="N15" s="2632" t="s">
        <v>4204</v>
      </c>
      <c r="O15" s="2633"/>
      <c r="P15" s="2634"/>
    </row>
    <row r="16" spans="1:16" s="329" customFormat="1" ht="13.15" customHeight="1">
      <c r="B16" s="334" t="s">
        <v>2056</v>
      </c>
      <c r="F16" s="2632" t="s">
        <v>4205</v>
      </c>
      <c r="G16" s="2633"/>
      <c r="H16" s="2633"/>
      <c r="I16" s="2633"/>
      <c r="J16" s="2633"/>
      <c r="K16" s="2633"/>
      <c r="L16" s="2634"/>
      <c r="M16" s="1389" t="s">
        <v>1787</v>
      </c>
      <c r="O16" s="2635">
        <v>4049695367</v>
      </c>
      <c r="P16" s="2636"/>
    </row>
    <row r="17" spans="1:16" s="329" customFormat="1" ht="13.15" customHeight="1">
      <c r="B17" s="334" t="s">
        <v>642</v>
      </c>
      <c r="F17" s="2637" t="s">
        <v>391</v>
      </c>
      <c r="G17" s="2638"/>
      <c r="H17" s="2639"/>
      <c r="M17" s="1389" t="s">
        <v>1868</v>
      </c>
      <c r="O17" s="2640">
        <v>6783034132</v>
      </c>
      <c r="P17" s="2641"/>
    </row>
    <row r="18" spans="1:16" s="329" customFormat="1" ht="13.15" customHeight="1">
      <c r="B18" s="334" t="s">
        <v>1865</v>
      </c>
      <c r="F18" s="2642" t="s">
        <v>880</v>
      </c>
      <c r="I18" s="1403" t="s">
        <v>2308</v>
      </c>
      <c r="J18" s="2643">
        <v>300678770</v>
      </c>
      <c r="K18" s="2644"/>
      <c r="M18" s="1389" t="s">
        <v>2054</v>
      </c>
      <c r="O18" s="2640">
        <v>4049695367</v>
      </c>
      <c r="P18" s="2641"/>
    </row>
    <row r="19" spans="1:16" s="329" customFormat="1" ht="13.15" customHeight="1">
      <c r="B19" s="334" t="s">
        <v>1786</v>
      </c>
      <c r="F19" s="2640">
        <v>6783034127</v>
      </c>
      <c r="G19" s="2645"/>
      <c r="H19" s="2641"/>
      <c r="I19" s="1393" t="s">
        <v>1785</v>
      </c>
      <c r="J19" s="2646"/>
      <c r="K19" s="1403" t="s">
        <v>2059</v>
      </c>
      <c r="L19" s="2632" t="s">
        <v>4206</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403"/>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4207</v>
      </c>
      <c r="G24" s="2648"/>
      <c r="H24" s="2648"/>
      <c r="I24" s="2648"/>
      <c r="J24" s="2648"/>
      <c r="K24" s="2649"/>
      <c r="L24" s="1389" t="s">
        <v>2271</v>
      </c>
      <c r="O24" s="2632" t="s">
        <v>4208</v>
      </c>
      <c r="P24" s="2634"/>
    </row>
    <row r="25" spans="1:16" s="329" customFormat="1" ht="13.15" customHeight="1">
      <c r="A25" s="341"/>
      <c r="B25" s="329" t="s">
        <v>2802</v>
      </c>
      <c r="D25" s="342"/>
      <c r="F25" s="2650" t="s">
        <v>4211</v>
      </c>
      <c r="G25" s="2651"/>
      <c r="H25" s="2651"/>
      <c r="I25" s="2651"/>
      <c r="J25" s="2651"/>
      <c r="K25" s="2652"/>
      <c r="L25" s="329" t="s">
        <v>4126</v>
      </c>
      <c r="O25" s="2650" t="s">
        <v>4209</v>
      </c>
      <c r="P25" s="2652"/>
    </row>
    <row r="26" spans="1:16" s="329" customFormat="1" ht="13.15" customHeight="1">
      <c r="A26" s="341"/>
      <c r="B26" s="329" t="s">
        <v>2848</v>
      </c>
      <c r="D26" s="342"/>
      <c r="F26" s="2650"/>
      <c r="G26" s="2651"/>
      <c r="H26" s="2651"/>
      <c r="I26" s="2651"/>
      <c r="J26" s="2651"/>
      <c r="K26" s="2652"/>
      <c r="L26" s="1389" t="s">
        <v>2128</v>
      </c>
      <c r="N26" s="2653" t="s">
        <v>3155</v>
      </c>
      <c r="O26" s="1403" t="s">
        <v>4125</v>
      </c>
      <c r="P26" s="2653"/>
    </row>
    <row r="27" spans="1:16" s="329" customFormat="1" ht="13.15" customHeight="1">
      <c r="A27" s="341"/>
      <c r="B27" s="329" t="s">
        <v>2898</v>
      </c>
      <c r="D27" s="342"/>
      <c r="F27" s="329" t="s">
        <v>4375</v>
      </c>
      <c r="G27" s="2654" t="s">
        <v>4384</v>
      </c>
      <c r="H27" s="2655"/>
      <c r="I27" s="329" t="s">
        <v>4376</v>
      </c>
      <c r="J27" s="2654" t="s">
        <v>4385</v>
      </c>
      <c r="K27" s="2655"/>
      <c r="L27" s="1389" t="s">
        <v>2363</v>
      </c>
      <c r="O27" s="2656">
        <v>2.93</v>
      </c>
      <c r="P27" s="2657"/>
    </row>
    <row r="28" spans="1:16" s="329" customFormat="1" ht="13.15" customHeight="1">
      <c r="A28" s="543"/>
      <c r="B28" s="329" t="s">
        <v>642</v>
      </c>
      <c r="F28" s="2632" t="s">
        <v>1267</v>
      </c>
      <c r="G28" s="2633"/>
      <c r="H28" s="2634"/>
      <c r="I28" s="346" t="s">
        <v>2803</v>
      </c>
      <c r="J28" s="2643">
        <v>305010000</v>
      </c>
      <c r="K28" s="2644"/>
      <c r="L28" s="405" t="str">
        <f>IF(AND(NOT(F24=""),NOT(F28="Select from list"),J28=""),"Enter Zip!","")</f>
        <v/>
      </c>
      <c r="M28" s="344" t="s">
        <v>3060</v>
      </c>
      <c r="O28" s="2658" t="s">
        <v>4210</v>
      </c>
      <c r="P28" s="2659"/>
    </row>
    <row r="29" spans="1:16" s="329" customFormat="1" ht="13.15" customHeight="1">
      <c r="A29" s="543"/>
      <c r="B29" s="1399" t="s">
        <v>3853</v>
      </c>
      <c r="D29" s="1399"/>
      <c r="F29" s="2650" t="s">
        <v>4212</v>
      </c>
      <c r="G29" s="2651"/>
      <c r="H29" s="2652"/>
      <c r="I29" s="343" t="s">
        <v>643</v>
      </c>
      <c r="J29" s="2660" t="str">
        <f>IF($F$28="","",VLOOKUP($F$28,'DCA Underwriting Assumptions'!$R$141:$S$771,2,FALSE))</f>
        <v>Hall</v>
      </c>
      <c r="K29" s="2661"/>
      <c r="M29" s="1389" t="s">
        <v>468</v>
      </c>
      <c r="N29" s="2662" t="s">
        <v>3152</v>
      </c>
      <c r="O29" s="1403" t="s">
        <v>469</v>
      </c>
      <c r="P29" s="2662" t="s">
        <v>3155</v>
      </c>
    </row>
    <row r="30" spans="1:16" s="329" customFormat="1" ht="13.15" customHeight="1">
      <c r="A30" s="543"/>
      <c r="B30" s="331"/>
      <c r="C30" s="329" t="s">
        <v>1615</v>
      </c>
      <c r="F30" s="2663" t="s">
        <v>3155</v>
      </c>
      <c r="G30" s="1463" t="s">
        <v>2899</v>
      </c>
      <c r="H30" s="1464"/>
      <c r="I30" s="588" t="str">
        <f>IF($J$29="","",IF(VLOOKUP($J$29,'DCA Underwriting Assumptions'!G141:M300,7,FALSE)="Rural","Yes",IF(VLOOKUP($J$29,'DCA Underwriting Assumptions'!G141:M300,7,FALSE)="Urban","No","")))</f>
        <v>No</v>
      </c>
      <c r="J30" s="1393" t="s">
        <v>2920</v>
      </c>
      <c r="K30" s="1393" t="str">
        <f>IF(OR(F30="Yes",I30="Yes"),"Rural","Urban")</f>
        <v>Urban</v>
      </c>
      <c r="M30" s="1389" t="s">
        <v>2699</v>
      </c>
      <c r="N30" s="472" t="str">
        <f>VLOOKUP($J$29,'DCA Underwriting Assumptions'!$G$141:$J$300,4)</f>
        <v>MSA</v>
      </c>
      <c r="O30" s="2664" t="str">
        <f>IF($F$28="","",VLOOKUP($J$29,'DCA Underwriting Assumptions'!$G$141:$L$300,3,FALSE))</f>
        <v>Gainesville</v>
      </c>
      <c r="P30" s="2665"/>
    </row>
    <row r="31" spans="1:16" s="329" customFormat="1" ht="3" customHeight="1">
      <c r="A31" s="543"/>
      <c r="B31" s="331"/>
      <c r="C31" s="331"/>
      <c r="I31" s="334"/>
      <c r="J31" s="1399"/>
      <c r="L31" s="1407"/>
      <c r="M31" s="1407"/>
      <c r="N31" s="1407"/>
      <c r="O31" s="1407"/>
      <c r="P31" s="1407"/>
    </row>
    <row r="32" spans="1:16" s="329" customFormat="1" ht="13.15" customHeight="1">
      <c r="A32" s="543"/>
      <c r="C32" s="329" t="s">
        <v>2858</v>
      </c>
      <c r="F32" s="1458" t="s">
        <v>2878</v>
      </c>
      <c r="G32" s="1458"/>
      <c r="H32" s="1457" t="s">
        <v>766</v>
      </c>
      <c r="I32" s="1457"/>
      <c r="J32" s="1457" t="s">
        <v>767</v>
      </c>
      <c r="K32" s="1457"/>
      <c r="L32" s="574" t="s">
        <v>2804</v>
      </c>
    </row>
    <row r="33" spans="1:17" s="329" customFormat="1" ht="13.15" customHeight="1">
      <c r="A33" s="543"/>
      <c r="B33" s="329" t="s">
        <v>2877</v>
      </c>
      <c r="D33" s="331"/>
      <c r="F33" s="2666">
        <v>9</v>
      </c>
      <c r="G33" s="2667"/>
      <c r="H33" s="2666">
        <v>49</v>
      </c>
      <c r="I33" s="2667"/>
      <c r="J33" s="2666">
        <v>27</v>
      </c>
      <c r="K33" s="2667"/>
      <c r="L33" s="570" t="s">
        <v>1330</v>
      </c>
      <c r="N33" s="1470" t="s">
        <v>1331</v>
      </c>
      <c r="O33" s="1470"/>
      <c r="P33" s="1470"/>
    </row>
    <row r="34" spans="1:17" s="329" customFormat="1" ht="12.75" customHeight="1">
      <c r="A34" s="543"/>
      <c r="B34" s="334" t="s">
        <v>768</v>
      </c>
      <c r="F34" s="2666"/>
      <c r="G34" s="2667"/>
      <c r="H34" s="2666"/>
      <c r="I34" s="2667"/>
      <c r="J34" s="2666"/>
      <c r="K34" s="2667"/>
      <c r="L34" s="570" t="s">
        <v>2876</v>
      </c>
      <c r="N34" s="1471" t="s">
        <v>2875</v>
      </c>
      <c r="O34" s="1471"/>
    </row>
    <row r="35" spans="1:17" s="329" customFormat="1" ht="3" customHeight="1">
      <c r="A35" s="543"/>
      <c r="I35" s="1407"/>
      <c r="J35" s="1407"/>
      <c r="K35" s="1407"/>
      <c r="L35" s="1399"/>
      <c r="M35" s="1399"/>
      <c r="N35" s="1399"/>
      <c r="O35" s="1399"/>
      <c r="P35" s="1399"/>
    </row>
    <row r="36" spans="1:17" s="329" customFormat="1" ht="13.15" customHeight="1">
      <c r="A36" s="543"/>
      <c r="B36" s="331" t="s">
        <v>661</v>
      </c>
      <c r="F36" s="2668" t="s">
        <v>4215</v>
      </c>
      <c r="G36" s="2669"/>
      <c r="H36" s="2669"/>
      <c r="I36" s="2669"/>
      <c r="J36" s="2670"/>
      <c r="K36" s="2671"/>
      <c r="L36" s="1172" t="s">
        <v>2808</v>
      </c>
      <c r="M36" s="2650" t="s">
        <v>4213</v>
      </c>
      <c r="N36" s="2651"/>
      <c r="O36" s="2651"/>
      <c r="P36" s="2652"/>
    </row>
    <row r="37" spans="1:17" s="329" customFormat="1" ht="13.15" customHeight="1">
      <c r="A37" s="543"/>
      <c r="B37" s="329" t="s">
        <v>662</v>
      </c>
      <c r="F37" s="2672" t="s">
        <v>4216</v>
      </c>
      <c r="G37" s="2673"/>
      <c r="H37" s="2674"/>
      <c r="I37" s="1394" t="s">
        <v>2055</v>
      </c>
      <c r="J37" s="2650" t="s">
        <v>4217</v>
      </c>
      <c r="K37" s="2652"/>
      <c r="L37" s="1172"/>
    </row>
    <row r="38" spans="1:17" s="329" customFormat="1" ht="13.15" customHeight="1">
      <c r="A38" s="543"/>
      <c r="B38" s="329" t="s">
        <v>2056</v>
      </c>
      <c r="F38" s="2672" t="s">
        <v>4218</v>
      </c>
      <c r="G38" s="2673"/>
      <c r="H38" s="2673"/>
      <c r="I38" s="2673"/>
      <c r="J38" s="2675"/>
      <c r="K38" s="2676"/>
      <c r="L38" s="365" t="s">
        <v>642</v>
      </c>
      <c r="M38" s="2672" t="s">
        <v>1267</v>
      </c>
      <c r="N38" s="2673"/>
      <c r="O38" s="2673"/>
      <c r="P38" s="2674"/>
    </row>
    <row r="39" spans="1:17" s="329" customFormat="1" ht="13.15" customHeight="1">
      <c r="A39" s="543"/>
      <c r="B39" s="1389" t="s">
        <v>2308</v>
      </c>
      <c r="F39" s="2677">
        <v>305013573</v>
      </c>
      <c r="G39" s="2678"/>
      <c r="H39" s="1393" t="s">
        <v>2057</v>
      </c>
      <c r="I39" s="2679">
        <v>7707187877</v>
      </c>
      <c r="J39" s="2680"/>
      <c r="K39" s="2681"/>
      <c r="L39" s="334" t="s">
        <v>1866</v>
      </c>
      <c r="M39" s="2672" t="s">
        <v>4214</v>
      </c>
      <c r="N39" s="2673"/>
      <c r="O39" s="2673"/>
      <c r="P39" s="2674"/>
    </row>
    <row r="40" spans="1:17" s="329" customFormat="1" ht="4.5" customHeight="1">
      <c r="A40" s="543"/>
      <c r="B40" s="543"/>
      <c r="C40" s="345"/>
      <c r="D40" s="346"/>
      <c r="E40" s="346"/>
      <c r="F40" s="1403"/>
      <c r="G40" s="1403"/>
      <c r="H40" s="1403"/>
      <c r="I40" s="1403"/>
      <c r="J40" s="346"/>
      <c r="K40" s="1403"/>
      <c r="L40" s="1403"/>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403"/>
    </row>
    <row r="44" spans="1:17" ht="13.15" customHeight="1">
      <c r="B44" s="543"/>
      <c r="C44" s="329" t="s">
        <v>2375</v>
      </c>
      <c r="D44" s="329"/>
      <c r="E44" s="329"/>
      <c r="H44" s="349">
        <f>'Part VI-Revenues &amp; Expenses'!$O$74</f>
        <v>90</v>
      </c>
      <c r="K44" s="334" t="s">
        <v>4108</v>
      </c>
      <c r="L44" s="329"/>
      <c r="M44" s="1326" t="s">
        <v>4107</v>
      </c>
      <c r="N44" s="349">
        <f>'Part VI-Revenues &amp; Expenses'!$O$81</f>
        <v>0</v>
      </c>
      <c r="O44" s="1327" t="s">
        <v>3543</v>
      </c>
      <c r="P44" s="349">
        <f>'Part VI-Revenues &amp; Expenses'!$O$82</f>
        <v>0</v>
      </c>
      <c r="Q44" s="1403"/>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3066</v>
      </c>
      <c r="K46" s="329" t="s">
        <v>361</v>
      </c>
      <c r="P46" s="2682"/>
      <c r="Q46" s="1403"/>
    </row>
    <row r="47" spans="1:17" s="329" customFormat="1" ht="3.6" customHeight="1">
      <c r="A47" s="543"/>
      <c r="P47" s="1399"/>
    </row>
    <row r="48" spans="1:17" s="329" customFormat="1" ht="12.75">
      <c r="A48" s="543"/>
      <c r="B48" s="543" t="s">
        <v>2061</v>
      </c>
      <c r="C48" s="331" t="s">
        <v>2376</v>
      </c>
      <c r="H48" s="2646" t="s">
        <v>3155</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396" t="s">
        <v>3848</v>
      </c>
      <c r="J50" s="341" t="s">
        <v>2193</v>
      </c>
      <c r="K50" s="351" t="s">
        <v>2382</v>
      </c>
      <c r="M50" s="1399"/>
      <c r="N50" s="1399"/>
      <c r="O50" s="1399"/>
      <c r="P50" s="1403"/>
      <c r="Q50" s="1403"/>
      <c r="R50" s="1403"/>
      <c r="S50" s="1399"/>
    </row>
    <row r="51" spans="1:19" s="329" customFormat="1" ht="13.15" customHeight="1">
      <c r="A51" s="543"/>
      <c r="B51" s="1395"/>
      <c r="C51" s="338" t="s">
        <v>2357</v>
      </c>
      <c r="D51" s="1399"/>
      <c r="E51" s="1399"/>
      <c r="H51" s="873">
        <f>SUM(H52:H53)</f>
        <v>70</v>
      </c>
      <c r="I51" s="873">
        <f>SUM(I52:I53)</f>
        <v>0</v>
      </c>
      <c r="J51" s="543"/>
      <c r="K51" s="338" t="s">
        <v>2890</v>
      </c>
      <c r="M51" s="1399"/>
      <c r="N51" s="1399"/>
      <c r="O51" s="1399"/>
      <c r="P51" s="1132">
        <f>'Part VI-Revenues &amp; Expenses'!$O$115</f>
        <v>53480</v>
      </c>
    </row>
    <row r="52" spans="1:19" s="329" customFormat="1" ht="13.15" customHeight="1">
      <c r="A52" s="543"/>
      <c r="B52" s="348"/>
      <c r="D52" s="353" t="s">
        <v>399</v>
      </c>
      <c r="E52" s="1399"/>
      <c r="H52" s="1132">
        <f>'Part VI-Revenues &amp; Expenses'!$O$57</f>
        <v>25</v>
      </c>
      <c r="I52" s="1132">
        <f>'Part VI-Revenues &amp; Expenses'!$O$65</f>
        <v>0</v>
      </c>
      <c r="K52" s="338" t="s">
        <v>2891</v>
      </c>
      <c r="M52" s="1399"/>
      <c r="N52" s="1399"/>
      <c r="O52" s="1399"/>
      <c r="P52" s="1132">
        <f>'Part VI-Revenues &amp; Expenses'!$O$116</f>
        <v>19600</v>
      </c>
    </row>
    <row r="53" spans="1:19" s="329" customFormat="1" ht="13.15" customHeight="1">
      <c r="A53" s="543"/>
      <c r="D53" s="353" t="s">
        <v>1890</v>
      </c>
      <c r="E53" s="353"/>
      <c r="H53" s="1133">
        <f>'Part VI-Revenues &amp; Expenses'!$O$56</f>
        <v>45</v>
      </c>
      <c r="I53" s="1133">
        <f>'Part VI-Revenues &amp; Expenses'!$O$64</f>
        <v>0</v>
      </c>
      <c r="K53" s="338" t="s">
        <v>2892</v>
      </c>
      <c r="M53" s="1399"/>
      <c r="N53" s="1399"/>
      <c r="O53" s="1399"/>
      <c r="P53" s="352">
        <f>P51+P52</f>
        <v>73080</v>
      </c>
    </row>
    <row r="54" spans="1:19" s="329" customFormat="1" ht="13.15" customHeight="1">
      <c r="A54" s="543"/>
      <c r="C54" s="338" t="s">
        <v>264</v>
      </c>
      <c r="D54" s="1399"/>
      <c r="E54" s="1399"/>
      <c r="H54" s="352">
        <f>'Part VI-Revenues &amp; Expenses'!$O$59</f>
        <v>20</v>
      </c>
      <c r="J54" s="543"/>
      <c r="K54" s="338" t="s">
        <v>2893</v>
      </c>
      <c r="M54" s="1399"/>
      <c r="N54" s="1399"/>
      <c r="O54" s="1399"/>
      <c r="P54" s="352">
        <f>'Part VI-Revenues &amp; Expenses'!$O$118</f>
        <v>0</v>
      </c>
    </row>
    <row r="55" spans="1:19" s="329" customFormat="1" ht="13.15" customHeight="1">
      <c r="A55" s="543"/>
      <c r="C55" s="338" t="s">
        <v>2492</v>
      </c>
      <c r="D55" s="1399"/>
      <c r="E55" s="1399"/>
      <c r="H55" s="352">
        <f>H51+H54</f>
        <v>90</v>
      </c>
      <c r="J55" s="543"/>
      <c r="K55" s="338" t="s">
        <v>1474</v>
      </c>
      <c r="M55" s="1399"/>
      <c r="N55" s="1399"/>
      <c r="O55" s="1399"/>
      <c r="P55" s="352">
        <f>+P53+P54</f>
        <v>73080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90</v>
      </c>
      <c r="J57" s="1399"/>
    </row>
    <row r="58" spans="1:19" s="329" customFormat="1" ht="3" customHeight="1">
      <c r="A58" s="543"/>
      <c r="I58" s="1403"/>
      <c r="L58" s="1403"/>
      <c r="M58" s="1403"/>
      <c r="N58" s="1399"/>
      <c r="P58" s="339"/>
    </row>
    <row r="59" spans="1:19" s="329" customFormat="1" ht="13.15" customHeight="1">
      <c r="A59" s="543"/>
      <c r="B59" s="543" t="s">
        <v>1801</v>
      </c>
      <c r="C59" s="340" t="s">
        <v>2377</v>
      </c>
      <c r="D59" s="353" t="s">
        <v>2072</v>
      </c>
      <c r="G59" s="1399"/>
      <c r="H59" s="2683">
        <v>1</v>
      </c>
      <c r="K59" s="338" t="s">
        <v>1165</v>
      </c>
      <c r="O59" s="1399"/>
      <c r="P59" s="2683">
        <v>3800</v>
      </c>
    </row>
    <row r="60" spans="1:19" s="329" customFormat="1" ht="13.15" customHeight="1">
      <c r="A60" s="543"/>
      <c r="B60" s="543"/>
      <c r="D60" s="1395" t="s">
        <v>2073</v>
      </c>
      <c r="H60" s="2683">
        <v>0</v>
      </c>
      <c r="I60" s="1399"/>
      <c r="K60" s="338" t="s">
        <v>263</v>
      </c>
      <c r="O60" s="1399"/>
      <c r="P60" s="352">
        <f>+P55+P59</f>
        <v>76880</v>
      </c>
    </row>
    <row r="61" spans="1:19" s="329" customFormat="1" ht="13.15" customHeight="1">
      <c r="A61" s="543"/>
      <c r="B61" s="543"/>
      <c r="D61" s="1395" t="s">
        <v>2074</v>
      </c>
      <c r="H61" s="352">
        <f>+H59+H60</f>
        <v>1</v>
      </c>
      <c r="I61" s="1399"/>
    </row>
    <row r="62" spans="1:19" s="329" customFormat="1" ht="3" customHeight="1">
      <c r="A62" s="543"/>
      <c r="B62" s="543"/>
      <c r="C62" s="1399"/>
      <c r="D62" s="1399"/>
      <c r="E62" s="1399"/>
      <c r="F62" s="1399"/>
      <c r="G62" s="1403"/>
      <c r="I62" s="338"/>
      <c r="J62" s="1399"/>
      <c r="P62" s="339"/>
    </row>
    <row r="63" spans="1:19" s="329" customFormat="1" ht="13.15" customHeight="1">
      <c r="A63" s="543"/>
      <c r="B63" s="543" t="s">
        <v>1802</v>
      </c>
      <c r="C63" s="340" t="s">
        <v>2979</v>
      </c>
      <c r="D63" s="1399"/>
      <c r="E63" s="1399"/>
      <c r="F63" s="1399"/>
      <c r="G63" s="1399"/>
      <c r="H63" s="2683">
        <v>110</v>
      </c>
      <c r="K63" s="329" t="s">
        <v>2982</v>
      </c>
    </row>
    <row r="64" spans="1:19" s="329" customFormat="1" ht="6.75" customHeight="1">
      <c r="A64" s="543"/>
      <c r="B64" s="543"/>
      <c r="C64" s="338"/>
      <c r="D64" s="1399"/>
      <c r="E64" s="1399"/>
      <c r="F64" s="1399"/>
      <c r="G64" s="1403"/>
      <c r="H64" s="1399"/>
      <c r="I64" s="338"/>
      <c r="J64" s="338"/>
      <c r="K64" s="1399"/>
      <c r="P64" s="339"/>
    </row>
    <row r="65" spans="1:16" s="329" customFormat="1" ht="13.15" customHeight="1">
      <c r="A65" s="543" t="s">
        <v>549</v>
      </c>
      <c r="B65" s="354" t="s">
        <v>1234</v>
      </c>
      <c r="D65" s="354"/>
      <c r="E65" s="354"/>
      <c r="F65" s="1399"/>
      <c r="G65" s="1403"/>
      <c r="H65" s="586"/>
      <c r="K65" s="1399"/>
    </row>
    <row r="66" spans="1:16" s="329" customFormat="1" ht="3" customHeight="1">
      <c r="A66" s="543"/>
      <c r="C66" s="1390"/>
      <c r="D66" s="1390"/>
      <c r="E66" s="1390"/>
      <c r="F66" s="1399"/>
      <c r="G66" s="1403"/>
      <c r="K66" s="1399"/>
      <c r="P66" s="339"/>
    </row>
    <row r="67" spans="1:16" s="329" customFormat="1" ht="13.15" customHeight="1">
      <c r="A67" s="543"/>
      <c r="B67" s="543" t="s">
        <v>2058</v>
      </c>
      <c r="C67" s="296" t="s">
        <v>2795</v>
      </c>
      <c r="D67" s="1390"/>
      <c r="E67" s="1390"/>
      <c r="F67" s="1399"/>
      <c r="G67" s="1403"/>
      <c r="H67" s="2684" t="s">
        <v>3069</v>
      </c>
      <c r="I67" s="2685"/>
      <c r="K67" s="1447" t="s">
        <v>1838</v>
      </c>
      <c r="L67" s="1447"/>
      <c r="N67" s="2632"/>
      <c r="O67" s="2633"/>
      <c r="P67" s="2634"/>
    </row>
    <row r="68" spans="1:16" s="329" customFormat="1" ht="3" customHeight="1">
      <c r="A68" s="543"/>
      <c r="B68" s="543"/>
      <c r="D68" s="1395"/>
      <c r="E68" s="1395"/>
      <c r="F68" s="1395"/>
      <c r="G68" s="1395"/>
      <c r="I68" s="1403"/>
      <c r="K68" s="1389"/>
      <c r="L68" s="1389"/>
      <c r="M68" s="1403"/>
      <c r="N68" s="1399"/>
      <c r="P68" s="339"/>
    </row>
    <row r="69" spans="1:16" s="329" customFormat="1" ht="13.15" customHeight="1">
      <c r="A69" s="543"/>
      <c r="B69" s="543"/>
      <c r="E69" s="1390"/>
      <c r="K69" s="1472" t="s">
        <v>3502</v>
      </c>
      <c r="L69" s="1472"/>
      <c r="M69" s="355" t="s">
        <v>3067</v>
      </c>
      <c r="N69" s="2683"/>
      <c r="O69" s="355" t="s">
        <v>3068</v>
      </c>
      <c r="P69" s="2683"/>
    </row>
    <row r="70" spans="1:16" s="329" customFormat="1" ht="3" customHeight="1">
      <c r="A70" s="543"/>
      <c r="B70" s="543"/>
      <c r="D70" s="1395"/>
      <c r="E70" s="1395"/>
      <c r="F70" s="1395"/>
      <c r="G70" s="1395"/>
      <c r="K70" s="1472"/>
      <c r="L70" s="1472"/>
      <c r="M70" s="1403"/>
      <c r="N70" s="1399"/>
      <c r="P70" s="339"/>
    </row>
    <row r="71" spans="1:16" s="329" customFormat="1" ht="13.15" customHeight="1">
      <c r="A71" s="543"/>
      <c r="B71" s="543"/>
      <c r="D71" s="1389"/>
      <c r="E71" s="1390"/>
      <c r="K71" s="1472"/>
      <c r="L71" s="1472"/>
      <c r="M71" s="342" t="s">
        <v>3069</v>
      </c>
      <c r="N71" s="2683"/>
      <c r="O71" s="342" t="s">
        <v>1659</v>
      </c>
      <c r="P71" s="2683"/>
    </row>
    <row r="72" spans="1:16" s="329" customFormat="1" ht="3" customHeight="1">
      <c r="A72" s="543"/>
      <c r="B72" s="543"/>
      <c r="D72" s="1395"/>
      <c r="E72" s="1395"/>
      <c r="F72" s="1395"/>
      <c r="G72" s="1395"/>
      <c r="I72" s="1403"/>
      <c r="K72" s="1389"/>
      <c r="L72" s="1389"/>
      <c r="M72" s="1403"/>
      <c r="N72" s="1399"/>
      <c r="P72" s="339"/>
    </row>
    <row r="73" spans="1:16" s="329" customFormat="1" ht="13.15" customHeight="1">
      <c r="A73" s="543"/>
      <c r="B73" s="543" t="s">
        <v>2061</v>
      </c>
      <c r="C73" s="340" t="s">
        <v>1465</v>
      </c>
      <c r="D73" s="1399"/>
      <c r="E73" s="353"/>
      <c r="F73" s="1395" t="s">
        <v>828</v>
      </c>
      <c r="H73" s="2683">
        <v>5</v>
      </c>
      <c r="K73" s="1447" t="s">
        <v>539</v>
      </c>
      <c r="L73" s="1447"/>
      <c r="N73" s="356">
        <f>IF('Part VI-Revenues &amp; Expenses'!$O$62=0,0,H73/'Part VI-Revenues &amp; Expenses'!$O$62)</f>
        <v>5.5555555555555552E-2</v>
      </c>
      <c r="O73" s="342" t="s">
        <v>4144</v>
      </c>
      <c r="P73" s="1348">
        <f>'DCA Underwriting Assumptions'!$Q$124</f>
        <v>0.05</v>
      </c>
    </row>
    <row r="74" spans="1:16" s="329" customFormat="1" ht="12.75" customHeight="1">
      <c r="A74" s="543"/>
      <c r="B74" s="543"/>
      <c r="D74" s="1395" t="s">
        <v>2977</v>
      </c>
      <c r="E74" s="1395"/>
      <c r="F74" s="1395" t="s">
        <v>828</v>
      </c>
      <c r="H74" s="2683">
        <v>2</v>
      </c>
      <c r="K74" s="1399" t="s">
        <v>2978</v>
      </c>
      <c r="L74" s="1399"/>
      <c r="N74" s="356">
        <f>IF(H73=0,0,H74/H73)</f>
        <v>0.4</v>
      </c>
      <c r="O74" s="342" t="s">
        <v>4144</v>
      </c>
      <c r="P74" s="1348">
        <f>'DCA Underwriting Assumptions'!$Q$125</f>
        <v>0.4</v>
      </c>
    </row>
    <row r="75" spans="1:16" s="329" customFormat="1" ht="3" customHeight="1">
      <c r="A75" s="543"/>
      <c r="B75" s="543"/>
      <c r="D75" s="1395"/>
      <c r="E75" s="1395"/>
      <c r="F75" s="1395"/>
      <c r="I75" s="1403"/>
      <c r="K75" s="1389"/>
      <c r="L75" s="1389"/>
      <c r="M75" s="1403"/>
      <c r="N75" s="1403"/>
      <c r="P75" s="1393"/>
    </row>
    <row r="76" spans="1:16" s="329" customFormat="1" ht="13.15" customHeight="1">
      <c r="A76" s="543"/>
      <c r="B76" s="543" t="s">
        <v>779</v>
      </c>
      <c r="C76" s="340" t="s">
        <v>1913</v>
      </c>
      <c r="D76" s="353"/>
      <c r="E76" s="353"/>
      <c r="F76" s="1395" t="s">
        <v>828</v>
      </c>
      <c r="H76" s="2683">
        <v>2</v>
      </c>
      <c r="K76" s="1447" t="s">
        <v>539</v>
      </c>
      <c r="L76" s="1447"/>
      <c r="N76" s="356">
        <f>IF('Part VI-Revenues &amp; Expenses'!$O$62=0,0,H76/'Part VI-Revenues &amp; Expenses'!$O$62)</f>
        <v>2.2222222222222223E-2</v>
      </c>
      <c r="O76" s="342" t="s">
        <v>4144</v>
      </c>
      <c r="P76" s="1348">
        <f>'DCA Underwriting Assumptions'!$Q$126</f>
        <v>0.02</v>
      </c>
    </row>
    <row r="77" spans="1:16" s="329" customFormat="1" ht="6.75" customHeight="1">
      <c r="A77" s="543"/>
      <c r="B77" s="543"/>
      <c r="D77" s="1395"/>
      <c r="E77" s="1395"/>
      <c r="F77" s="1395"/>
      <c r="G77" s="1395"/>
      <c r="I77" s="1403"/>
      <c r="J77" s="1403"/>
      <c r="K77" s="1403"/>
      <c r="L77" s="1403"/>
      <c r="M77" s="1403"/>
      <c r="N77" s="1399"/>
      <c r="P77" s="339"/>
    </row>
    <row r="78" spans="1:16" s="329" customFormat="1" ht="13.15" customHeight="1">
      <c r="A78" s="357" t="s">
        <v>803</v>
      </c>
      <c r="B78" s="1390" t="s">
        <v>2462</v>
      </c>
      <c r="D78" s="1395"/>
      <c r="E78" s="1395"/>
      <c r="F78" s="1395"/>
      <c r="G78" s="1395"/>
      <c r="H78" s="1395"/>
      <c r="I78" s="1403"/>
      <c r="M78" s="1403"/>
      <c r="N78" s="1399"/>
      <c r="P78" s="339"/>
    </row>
    <row r="79" spans="1:16" s="329" customFormat="1" ht="3" customHeight="1">
      <c r="A79" s="543"/>
      <c r="B79" s="543"/>
      <c r="C79" s="1390"/>
      <c r="D79" s="1395"/>
      <c r="E79" s="1395"/>
      <c r="F79" s="1395"/>
      <c r="L79" s="1403"/>
      <c r="M79" s="1403"/>
      <c r="N79" s="1399"/>
      <c r="P79" s="339"/>
    </row>
    <row r="80" spans="1:16" s="329" customFormat="1" ht="13.15" customHeight="1">
      <c r="A80" s="543"/>
      <c r="B80" s="543" t="s">
        <v>2058</v>
      </c>
      <c r="C80" s="296" t="s">
        <v>2461</v>
      </c>
      <c r="D80" s="1395"/>
      <c r="E80" s="1395"/>
      <c r="F80" s="1395"/>
      <c r="H80" s="2686" t="s">
        <v>902</v>
      </c>
      <c r="I80" s="2687"/>
      <c r="J80" s="2688"/>
      <c r="M80" s="1403"/>
      <c r="N80" s="1403"/>
      <c r="P80" s="339"/>
    </row>
    <row r="81" spans="1:16" s="329" customFormat="1" ht="3" customHeight="1">
      <c r="A81" s="543"/>
      <c r="B81" s="543"/>
      <c r="D81" s="1395"/>
      <c r="E81" s="1395"/>
      <c r="F81" s="1395"/>
      <c r="G81" s="1395"/>
      <c r="I81" s="1403"/>
      <c r="J81" s="1403"/>
      <c r="K81" s="1403"/>
      <c r="L81" s="1403"/>
      <c r="M81" s="1403"/>
      <c r="N81" s="1399"/>
      <c r="P81" s="339"/>
    </row>
    <row r="82" spans="1:16" s="329" customFormat="1" ht="13.15" customHeight="1">
      <c r="B82" s="543" t="s">
        <v>2061</v>
      </c>
      <c r="C82" s="331" t="s">
        <v>1591</v>
      </c>
      <c r="K82" s="334" t="s">
        <v>901</v>
      </c>
      <c r="N82" s="358"/>
      <c r="P82" s="2646"/>
    </row>
    <row r="83" spans="1:16" s="329" customFormat="1" ht="6.75" customHeight="1">
      <c r="A83" s="543"/>
      <c r="B83" s="543"/>
      <c r="C83" s="331"/>
      <c r="D83" s="1395"/>
      <c r="E83" s="1395"/>
      <c r="F83" s="1395"/>
      <c r="G83" s="1395"/>
      <c r="I83" s="1403"/>
      <c r="J83" s="1403"/>
      <c r="K83" s="1403"/>
      <c r="L83" s="1403"/>
      <c r="M83" s="1403"/>
      <c r="N83" s="1399"/>
      <c r="P83" s="339"/>
    </row>
    <row r="84" spans="1:16" s="329" customFormat="1" ht="13.15" customHeight="1">
      <c r="A84" s="357" t="s">
        <v>305</v>
      </c>
      <c r="B84" s="1390" t="s">
        <v>2119</v>
      </c>
      <c r="D84" s="1395"/>
    </row>
    <row r="85" spans="1:16" s="329" customFormat="1" ht="3" customHeight="1">
      <c r="A85" s="543"/>
      <c r="B85" s="543"/>
      <c r="D85" s="1395"/>
      <c r="N85" s="1399"/>
      <c r="P85" s="339"/>
    </row>
    <row r="86" spans="1:16" s="329" customFormat="1" ht="13.15" customHeight="1">
      <c r="A86" s="357"/>
      <c r="B86" s="543" t="s">
        <v>2058</v>
      </c>
      <c r="C86" s="331" t="s">
        <v>2813</v>
      </c>
      <c r="F86" s="353" t="s">
        <v>2688</v>
      </c>
      <c r="H86" s="2646" t="s">
        <v>3152</v>
      </c>
      <c r="K86" s="353" t="s">
        <v>3653</v>
      </c>
      <c r="M86" s="2646"/>
    </row>
    <row r="87" spans="1:16" s="329" customFormat="1" ht="3" customHeight="1">
      <c r="A87" s="543"/>
      <c r="B87" s="543"/>
      <c r="C87" s="1390"/>
      <c r="F87" s="1395"/>
      <c r="H87" s="1395"/>
      <c r="J87" s="1403"/>
      <c r="K87" s="1403"/>
      <c r="L87" s="1403"/>
      <c r="M87" s="1403"/>
      <c r="N87" s="1403"/>
      <c r="P87" s="339"/>
    </row>
    <row r="88" spans="1:16" s="329" customFormat="1" ht="13.15" customHeight="1">
      <c r="A88" s="357"/>
      <c r="B88" s="543" t="s">
        <v>2061</v>
      </c>
      <c r="C88" s="331" t="s">
        <v>2814</v>
      </c>
      <c r="F88" s="1389" t="s">
        <v>2773</v>
      </c>
      <c r="H88" s="2646"/>
      <c r="J88" s="1403"/>
      <c r="K88" s="538" t="s">
        <v>2815</v>
      </c>
      <c r="L88" s="1403"/>
      <c r="M88" s="1403"/>
      <c r="N88" s="1403"/>
      <c r="O88" s="1403"/>
    </row>
    <row r="89" spans="1:16" s="329" customFormat="1" ht="6.75" customHeight="1">
      <c r="A89" s="543"/>
      <c r="B89" s="543"/>
      <c r="C89" s="331"/>
      <c r="D89" s="1395"/>
      <c r="E89" s="1395"/>
      <c r="F89" s="1395"/>
      <c r="G89" s="1395"/>
      <c r="I89" s="1403"/>
      <c r="J89" s="1403"/>
      <c r="K89" s="1403"/>
      <c r="L89" s="1403"/>
      <c r="M89" s="1403"/>
      <c r="N89" s="1399"/>
      <c r="P89" s="339"/>
    </row>
    <row r="90" spans="1:16" s="329" customFormat="1" ht="13.15" customHeight="1">
      <c r="A90" s="357" t="s">
        <v>440</v>
      </c>
      <c r="B90" s="1390" t="s">
        <v>2901</v>
      </c>
      <c r="D90" s="1395"/>
      <c r="H90" s="2650" t="s">
        <v>2942</v>
      </c>
      <c r="I90" s="2652"/>
      <c r="J90" s="1403"/>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2"/>
      <c r="F94" s="2633"/>
      <c r="G94" s="2633"/>
      <c r="H94" s="2633"/>
      <c r="I94" s="2633"/>
      <c r="J94" s="2633"/>
      <c r="K94" s="2633"/>
      <c r="L94" s="2634"/>
      <c r="M94" s="1446" t="s">
        <v>572</v>
      </c>
      <c r="N94" s="1446"/>
      <c r="O94" s="2689"/>
      <c r="P94" s="2690"/>
    </row>
    <row r="95" spans="1:16" s="329" customFormat="1" ht="13.15" customHeight="1">
      <c r="C95" s="334" t="s">
        <v>1058</v>
      </c>
      <c r="D95" s="342"/>
      <c r="E95" s="2632"/>
      <c r="F95" s="2633"/>
      <c r="G95" s="2633"/>
      <c r="H95" s="2633"/>
      <c r="I95" s="2633"/>
      <c r="J95" s="2633"/>
      <c r="K95" s="2633"/>
      <c r="L95" s="2634"/>
      <c r="M95" s="1446" t="s">
        <v>840</v>
      </c>
      <c r="N95" s="1446"/>
      <c r="O95" s="2691"/>
      <c r="P95" s="2692"/>
    </row>
    <row r="96" spans="1:16" s="329" customFormat="1" ht="13.15" customHeight="1">
      <c r="C96" s="334" t="s">
        <v>642</v>
      </c>
      <c r="E96" s="2632"/>
      <c r="F96" s="2693"/>
      <c r="G96" s="2694"/>
      <c r="H96" s="1393" t="s">
        <v>1865</v>
      </c>
      <c r="I96" s="2646"/>
      <c r="J96" s="359" t="s">
        <v>2308</v>
      </c>
      <c r="K96" s="2643"/>
      <c r="L96" s="2694"/>
      <c r="M96" s="299" t="s">
        <v>4095</v>
      </c>
      <c r="N96" s="299"/>
      <c r="O96" s="2695"/>
      <c r="P96" s="2696"/>
    </row>
    <row r="97" spans="1:16" s="329" customFormat="1" ht="13.15" customHeight="1">
      <c r="C97" s="329" t="s">
        <v>2273</v>
      </c>
      <c r="E97" s="2632"/>
      <c r="F97" s="2693"/>
      <c r="G97" s="2694"/>
      <c r="H97" s="1403" t="s">
        <v>2055</v>
      </c>
      <c r="I97" s="2632"/>
      <c r="J97" s="2693"/>
      <c r="K97" s="2694"/>
      <c r="L97" s="1410" t="s">
        <v>2059</v>
      </c>
      <c r="M97" s="2632"/>
      <c r="N97" s="2693"/>
      <c r="O97" s="2693"/>
      <c r="P97" s="2694"/>
    </row>
    <row r="98" spans="1:16" s="329" customFormat="1" ht="13.15" customHeight="1">
      <c r="C98" s="334" t="s">
        <v>2272</v>
      </c>
      <c r="E98" s="2640"/>
      <c r="F98" s="2645"/>
      <c r="G98" s="2641"/>
      <c r="H98" s="1403" t="s">
        <v>1868</v>
      </c>
      <c r="I98" s="2679"/>
      <c r="J98" s="2694"/>
      <c r="K98" s="359" t="s">
        <v>1869</v>
      </c>
      <c r="L98" s="2679"/>
      <c r="M98" s="2694"/>
      <c r="N98" s="359" t="s">
        <v>2054</v>
      </c>
      <c r="O98" s="2679"/>
      <c r="P98" s="2694"/>
    </row>
    <row r="99" spans="1:16" s="329" customFormat="1" ht="3" customHeight="1">
      <c r="A99" s="543"/>
      <c r="B99" s="543"/>
      <c r="G99" s="346"/>
      <c r="H99" s="1403"/>
      <c r="I99" s="1403"/>
      <c r="M99" s="339"/>
    </row>
    <row r="100" spans="1:16" s="329" customFormat="1" ht="13.15" customHeight="1">
      <c r="A100" s="357" t="s">
        <v>377</v>
      </c>
      <c r="B100" s="1390" t="s">
        <v>1728</v>
      </c>
      <c r="D100" s="346"/>
      <c r="E100" s="346"/>
      <c r="F100" s="1403"/>
      <c r="G100" s="1403"/>
      <c r="H100" s="1403"/>
      <c r="I100" s="1403"/>
      <c r="J100" s="346"/>
      <c r="K100" s="1403"/>
      <c r="L100" s="1403"/>
      <c r="N100" s="1399"/>
      <c r="O100" s="1399"/>
      <c r="P100" s="339"/>
    </row>
    <row r="101" spans="1:16" s="329" customFormat="1" ht="3.6" customHeight="1">
      <c r="A101" s="357"/>
      <c r="B101" s="1390"/>
      <c r="D101" s="346"/>
      <c r="E101" s="346"/>
      <c r="F101" s="1403"/>
      <c r="G101" s="1403"/>
      <c r="H101" s="1403"/>
      <c r="I101" s="1403"/>
      <c r="J101" s="346"/>
      <c r="K101" s="1403"/>
      <c r="L101" s="1403"/>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0" t="s">
        <v>1466</v>
      </c>
      <c r="D104" s="1395"/>
      <c r="E104" s="1395"/>
      <c r="F104" s="1403"/>
      <c r="G104" s="1403"/>
      <c r="H104" s="2697">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0" t="s">
        <v>430</v>
      </c>
      <c r="D106" s="1395"/>
      <c r="E106" s="1395"/>
      <c r="F106" s="1403"/>
      <c r="G106" s="1403"/>
      <c r="H106" s="2698">
        <v>1785000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0" t="s">
        <v>315</v>
      </c>
      <c r="D108" s="1395"/>
      <c r="E108" s="1395"/>
      <c r="F108" s="1403"/>
      <c r="G108" s="1403"/>
      <c r="H108" s="1403"/>
      <c r="I108" s="1403"/>
      <c r="J108" s="346"/>
      <c r="K108" s="1403"/>
      <c r="L108" s="1403"/>
      <c r="N108" s="1399"/>
      <c r="O108" s="1399"/>
    </row>
    <row r="109" spans="1:16" s="329" customFormat="1" ht="13.15" customHeight="1">
      <c r="B109" s="543"/>
      <c r="C109" s="1395" t="s">
        <v>2213</v>
      </c>
      <c r="D109" s="1395"/>
      <c r="F109" s="1395" t="s">
        <v>1175</v>
      </c>
      <c r="G109" s="1403"/>
      <c r="H109" s="1403"/>
      <c r="I109" s="1403" t="s">
        <v>1343</v>
      </c>
      <c r="J109" s="1395" t="s">
        <v>2213</v>
      </c>
      <c r="K109" s="1395"/>
      <c r="M109" s="1395" t="s">
        <v>1175</v>
      </c>
      <c r="N109" s="1403"/>
      <c r="O109" s="1403"/>
      <c r="P109" s="1403" t="s">
        <v>1343</v>
      </c>
    </row>
    <row r="110" spans="1:16" s="329" customFormat="1" ht="13.15" customHeight="1">
      <c r="A110" s="543"/>
      <c r="B110" s="543"/>
      <c r="C110" s="2699" t="s">
        <v>4221</v>
      </c>
      <c r="D110" s="2700"/>
      <c r="E110" s="2700"/>
      <c r="F110" s="2701" t="s">
        <v>4219</v>
      </c>
      <c r="G110" s="2702"/>
      <c r="H110" s="2703"/>
      <c r="I110" s="2704" t="s">
        <v>4220</v>
      </c>
      <c r="J110" s="2699" t="s">
        <v>4227</v>
      </c>
      <c r="K110" s="2700"/>
      <c r="L110" s="2700"/>
      <c r="M110" s="2701" t="s">
        <v>4219</v>
      </c>
      <c r="N110" s="2702"/>
      <c r="O110" s="2703"/>
      <c r="P110" s="2704" t="s">
        <v>4220</v>
      </c>
    </row>
    <row r="111" spans="1:16" s="329" customFormat="1" ht="13.15" customHeight="1">
      <c r="A111" s="543"/>
      <c r="B111" s="543"/>
      <c r="C111" s="2705" t="s">
        <v>4222</v>
      </c>
      <c r="D111" s="2706"/>
      <c r="E111" s="2706"/>
      <c r="F111" s="2701" t="s">
        <v>4219</v>
      </c>
      <c r="G111" s="2702"/>
      <c r="H111" s="2703"/>
      <c r="I111" s="2707" t="s">
        <v>4220</v>
      </c>
      <c r="J111" s="2705" t="s">
        <v>4228</v>
      </c>
      <c r="K111" s="2706"/>
      <c r="L111" s="2706"/>
      <c r="M111" s="2701" t="s">
        <v>4219</v>
      </c>
      <c r="N111" s="2702"/>
      <c r="O111" s="2703"/>
      <c r="P111" s="2707" t="s">
        <v>4220</v>
      </c>
    </row>
    <row r="112" spans="1:16" s="329" customFormat="1" ht="13.15" customHeight="1">
      <c r="A112" s="543"/>
      <c r="B112" s="543"/>
      <c r="C112" s="2705" t="s">
        <v>4223</v>
      </c>
      <c r="D112" s="2706"/>
      <c r="E112" s="2706"/>
      <c r="F112" s="2701" t="s">
        <v>4219</v>
      </c>
      <c r="G112" s="2702"/>
      <c r="H112" s="2703"/>
      <c r="I112" s="2707" t="s">
        <v>4220</v>
      </c>
      <c r="J112" s="2705">
        <v>9</v>
      </c>
      <c r="K112" s="2706"/>
      <c r="L112" s="2706"/>
      <c r="M112" s="2708"/>
      <c r="N112" s="2709"/>
      <c r="O112" s="2710"/>
      <c r="P112" s="2707"/>
    </row>
    <row r="113" spans="1:16" s="329" customFormat="1" ht="13.15" customHeight="1">
      <c r="A113" s="543"/>
      <c r="B113" s="543"/>
      <c r="C113" s="2705" t="s">
        <v>4224</v>
      </c>
      <c r="D113" s="2706"/>
      <c r="E113" s="2706"/>
      <c r="F113" s="2701" t="s">
        <v>4219</v>
      </c>
      <c r="G113" s="2702"/>
      <c r="H113" s="2703"/>
      <c r="I113" s="2707" t="s">
        <v>4220</v>
      </c>
      <c r="J113" s="2705">
        <v>10</v>
      </c>
      <c r="K113" s="2706"/>
      <c r="L113" s="2706"/>
      <c r="M113" s="2708"/>
      <c r="N113" s="2709"/>
      <c r="O113" s="2710"/>
      <c r="P113" s="2707"/>
    </row>
    <row r="114" spans="1:16" s="329" customFormat="1" ht="13.15" customHeight="1">
      <c r="A114" s="543"/>
      <c r="B114" s="543"/>
      <c r="C114" s="2705" t="s">
        <v>4225</v>
      </c>
      <c r="D114" s="2706"/>
      <c r="E114" s="2706"/>
      <c r="F114" s="2701" t="s">
        <v>4219</v>
      </c>
      <c r="G114" s="2702"/>
      <c r="H114" s="2703"/>
      <c r="I114" s="2707" t="s">
        <v>4220</v>
      </c>
      <c r="J114" s="2705">
        <v>11</v>
      </c>
      <c r="K114" s="2706"/>
      <c r="L114" s="2706"/>
      <c r="M114" s="2708"/>
      <c r="N114" s="2709"/>
      <c r="O114" s="2710"/>
      <c r="P114" s="2707"/>
    </row>
    <row r="115" spans="1:16" s="329" customFormat="1" ht="13.15" customHeight="1">
      <c r="A115" s="543"/>
      <c r="B115" s="543"/>
      <c r="C115" s="2711" t="s">
        <v>4226</v>
      </c>
      <c r="D115" s="2712"/>
      <c r="E115" s="2712"/>
      <c r="F115" s="2701" t="s">
        <v>4219</v>
      </c>
      <c r="G115" s="2702"/>
      <c r="H115" s="2703"/>
      <c r="I115" s="2713" t="s">
        <v>4220</v>
      </c>
      <c r="J115" s="2711">
        <v>12</v>
      </c>
      <c r="K115" s="2712"/>
      <c r="L115" s="2712"/>
      <c r="M115" s="2714"/>
      <c r="N115" s="2715"/>
      <c r="O115" s="2716"/>
      <c r="P115" s="2713"/>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5" t="s">
        <v>1917</v>
      </c>
      <c r="D117" s="1445"/>
      <c r="E117" s="1445"/>
      <c r="F117" s="1445"/>
      <c r="G117" s="1445"/>
      <c r="H117" s="1445"/>
      <c r="I117" s="1445"/>
      <c r="J117" s="1445"/>
      <c r="K117" s="1445"/>
      <c r="L117" s="1445"/>
      <c r="M117" s="1445"/>
      <c r="N117" s="1445"/>
      <c r="O117" s="1445"/>
      <c r="P117" s="1445"/>
    </row>
    <row r="118" spans="1:16" s="329" customFormat="1" ht="13.15" customHeight="1">
      <c r="A118" s="543"/>
      <c r="B118" s="543"/>
      <c r="C118" s="1445"/>
      <c r="D118" s="1445"/>
      <c r="E118" s="1445"/>
      <c r="F118" s="1445"/>
      <c r="G118" s="1445"/>
      <c r="H118" s="1445"/>
      <c r="I118" s="1445"/>
      <c r="J118" s="1445"/>
      <c r="K118" s="1445"/>
      <c r="L118" s="1445"/>
      <c r="M118" s="1445"/>
      <c r="N118" s="1445"/>
      <c r="O118" s="1445"/>
      <c r="P118" s="1445"/>
    </row>
    <row r="119" spans="1:16" s="329" customFormat="1" ht="13.15" customHeight="1">
      <c r="B119" s="543"/>
      <c r="C119" s="1395" t="s">
        <v>2213</v>
      </c>
      <c r="D119" s="1395"/>
      <c r="F119" s="1395" t="s">
        <v>1175</v>
      </c>
      <c r="G119" s="1403"/>
      <c r="H119" s="1403"/>
      <c r="I119" s="1403"/>
      <c r="J119" s="1395" t="s">
        <v>2213</v>
      </c>
      <c r="K119" s="1395"/>
      <c r="M119" s="1395" t="s">
        <v>1175</v>
      </c>
      <c r="N119" s="1403"/>
      <c r="O119" s="1403"/>
      <c r="P119" s="1403"/>
    </row>
    <row r="120" spans="1:16" s="329" customFormat="1" ht="13.1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8"/>
      <c r="G121" s="2709"/>
      <c r="H121" s="2709"/>
      <c r="I121" s="2718"/>
      <c r="J121" s="2705">
        <v>8</v>
      </c>
      <c r="K121" s="2706"/>
      <c r="L121" s="2706"/>
      <c r="M121" s="2708"/>
      <c r="N121" s="2709"/>
      <c r="O121" s="2709"/>
      <c r="P121" s="2718"/>
    </row>
    <row r="122" spans="1:16" s="329" customFormat="1" ht="13.15" customHeight="1">
      <c r="A122" s="543"/>
      <c r="B122" s="543"/>
      <c r="C122" s="2705">
        <v>3</v>
      </c>
      <c r="D122" s="2706"/>
      <c r="E122" s="2706"/>
      <c r="F122" s="2708"/>
      <c r="G122" s="2709"/>
      <c r="H122" s="2709"/>
      <c r="I122" s="2718"/>
      <c r="J122" s="2705">
        <v>9</v>
      </c>
      <c r="K122" s="2706"/>
      <c r="L122" s="2706"/>
      <c r="M122" s="2708"/>
      <c r="N122" s="2709"/>
      <c r="O122" s="2709"/>
      <c r="P122" s="2718"/>
    </row>
    <row r="123" spans="1:16" s="329" customFormat="1" ht="13.15" customHeight="1">
      <c r="A123" s="543"/>
      <c r="B123" s="543"/>
      <c r="C123" s="2705">
        <v>4</v>
      </c>
      <c r="D123" s="2706"/>
      <c r="E123" s="2706"/>
      <c r="F123" s="2708"/>
      <c r="G123" s="2709"/>
      <c r="H123" s="2709"/>
      <c r="I123" s="2718"/>
      <c r="J123" s="2705">
        <v>10</v>
      </c>
      <c r="K123" s="2706"/>
      <c r="L123" s="2706"/>
      <c r="M123" s="2708"/>
      <c r="N123" s="2709"/>
      <c r="O123" s="2709"/>
      <c r="P123" s="2718"/>
    </row>
    <row r="124" spans="1:16" s="329" customFormat="1" ht="13.15" customHeight="1">
      <c r="A124" s="543"/>
      <c r="B124" s="543"/>
      <c r="C124" s="2705">
        <v>5</v>
      </c>
      <c r="D124" s="2706"/>
      <c r="E124" s="2706"/>
      <c r="F124" s="2708"/>
      <c r="G124" s="2709"/>
      <c r="H124" s="2709"/>
      <c r="I124" s="2718"/>
      <c r="J124" s="2705">
        <v>11</v>
      </c>
      <c r="K124" s="2706"/>
      <c r="L124" s="2706"/>
      <c r="M124" s="2708"/>
      <c r="N124" s="2709"/>
      <c r="O124" s="2709"/>
      <c r="P124" s="2718"/>
    </row>
    <row r="125" spans="1:16" s="329" customFormat="1" ht="13.15" customHeight="1">
      <c r="A125" s="543"/>
      <c r="B125" s="543"/>
      <c r="C125" s="2711">
        <v>6</v>
      </c>
      <c r="D125" s="2712"/>
      <c r="E125" s="2712"/>
      <c r="F125" s="2714"/>
      <c r="G125" s="2715"/>
      <c r="H125" s="2715"/>
      <c r="I125" s="2719"/>
      <c r="J125" s="2711">
        <v>12</v>
      </c>
      <c r="K125" s="2712"/>
      <c r="L125" s="2712"/>
      <c r="M125" s="2714"/>
      <c r="N125" s="2715"/>
      <c r="O125" s="2715"/>
      <c r="P125" s="2719"/>
    </row>
    <row r="126" spans="1:16" s="329" customFormat="1" ht="6.6" customHeight="1">
      <c r="A126" s="543"/>
      <c r="B126" s="543"/>
      <c r="C126" s="1395"/>
      <c r="D126" s="1395"/>
      <c r="E126" s="1395"/>
      <c r="F126" s="1403"/>
      <c r="G126" s="1403"/>
      <c r="H126" s="1403"/>
      <c r="I126" s="1403"/>
      <c r="J126" s="346"/>
      <c r="K126" s="1403"/>
      <c r="L126" s="1403"/>
      <c r="N126" s="1399"/>
      <c r="O126" s="1399"/>
      <c r="P126" s="339"/>
    </row>
    <row r="127" spans="1:16" s="329" customFormat="1" ht="13.15" customHeight="1">
      <c r="A127" s="357" t="s">
        <v>378</v>
      </c>
      <c r="B127" s="354" t="s">
        <v>2503</v>
      </c>
      <c r="D127" s="354"/>
      <c r="E127" s="354"/>
      <c r="F127" s="354"/>
      <c r="H127" s="2646" t="s">
        <v>3155</v>
      </c>
      <c r="M127" s="1403"/>
      <c r="N127" s="1399"/>
      <c r="O127" s="1399"/>
      <c r="P127" s="339"/>
    </row>
    <row r="128" spans="1:16" s="329" customFormat="1" ht="3" customHeight="1">
      <c r="A128" s="357"/>
      <c r="B128" s="543"/>
      <c r="C128" s="1390"/>
      <c r="D128" s="1390"/>
      <c r="E128" s="1390"/>
      <c r="F128" s="1390"/>
      <c r="G128" s="1403"/>
      <c r="M128" s="1403"/>
      <c r="N128" s="1399"/>
      <c r="O128" s="1399"/>
    </row>
    <row r="129" spans="1:16" s="329" customFormat="1" ht="13.15" customHeight="1">
      <c r="A129" s="543"/>
      <c r="B129" s="543" t="s">
        <v>2058</v>
      </c>
      <c r="C129" s="335" t="s">
        <v>1777</v>
      </c>
      <c r="H129" s="2646" t="s">
        <v>3155</v>
      </c>
      <c r="M129" s="1403"/>
      <c r="N129" s="1399"/>
      <c r="O129" s="1399"/>
      <c r="P129" s="339"/>
    </row>
    <row r="130" spans="1:16" s="329" customFormat="1" ht="13.15" customHeight="1">
      <c r="A130" s="543"/>
      <c r="B130" s="543"/>
      <c r="C130" s="1395" t="s">
        <v>2505</v>
      </c>
      <c r="D130" s="1395"/>
      <c r="E130" s="1395"/>
      <c r="F130" s="1403"/>
      <c r="H130" s="2720"/>
      <c r="N130" s="1399"/>
      <c r="O130" s="1399"/>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95" t="s">
        <v>2506</v>
      </c>
      <c r="D132" s="1395"/>
      <c r="E132" s="1395"/>
      <c r="F132" s="1403"/>
      <c r="H132" s="2720"/>
      <c r="K132" s="299" t="s">
        <v>2325</v>
      </c>
      <c r="O132" s="2632" t="s">
        <v>502</v>
      </c>
      <c r="P132" s="2634"/>
    </row>
    <row r="133" spans="1:16" s="329" customFormat="1" ht="13.15" customHeight="1">
      <c r="A133" s="543"/>
      <c r="B133" s="543"/>
      <c r="C133" s="1395" t="s">
        <v>2504</v>
      </c>
      <c r="F133" s="1403"/>
      <c r="H133" s="2697"/>
      <c r="K133" s="299" t="s">
        <v>2326</v>
      </c>
      <c r="O133" s="2632" t="s">
        <v>502</v>
      </c>
      <c r="P133" s="2634"/>
    </row>
    <row r="134" spans="1:16" s="329" customFormat="1" ht="13.15" customHeight="1">
      <c r="A134" s="543"/>
      <c r="B134" s="543"/>
      <c r="C134" s="1395" t="s">
        <v>2244</v>
      </c>
      <c r="D134" s="1395"/>
      <c r="E134" s="1395"/>
      <c r="F134" s="1403"/>
      <c r="H134" s="2689"/>
      <c r="I134" s="2690"/>
      <c r="N134" s="1399"/>
      <c r="O134" s="1399"/>
      <c r="P134" s="339"/>
    </row>
    <row r="135" spans="1:16" s="329" customFormat="1" ht="3" customHeight="1">
      <c r="A135" s="543"/>
      <c r="B135" s="543"/>
      <c r="C135" s="1395"/>
      <c r="D135" s="1395"/>
      <c r="E135" s="1395"/>
      <c r="F135" s="1403"/>
      <c r="N135" s="1399"/>
      <c r="O135" s="1399"/>
      <c r="P135" s="339"/>
    </row>
    <row r="136" spans="1:16" s="329" customFormat="1" ht="13.15" customHeight="1">
      <c r="A136" s="543"/>
      <c r="B136" s="543" t="s">
        <v>2061</v>
      </c>
      <c r="C136" s="1390" t="s">
        <v>2576</v>
      </c>
      <c r="D136" s="1395"/>
      <c r="E136" s="1395"/>
      <c r="F136" s="1403"/>
      <c r="H136" s="2697" t="s">
        <v>3155</v>
      </c>
      <c r="N136" s="1399"/>
      <c r="O136" s="1399"/>
      <c r="P136" s="339"/>
    </row>
    <row r="137" spans="1:16" s="329" customFormat="1" ht="3" customHeight="1">
      <c r="A137" s="543"/>
      <c r="B137" s="543"/>
      <c r="C137" s="1395"/>
      <c r="D137" s="1395"/>
      <c r="E137" s="1395"/>
      <c r="F137" s="1403"/>
      <c r="G137" s="1403"/>
      <c r="M137" s="1403"/>
      <c r="N137" s="1399"/>
      <c r="O137" s="1399"/>
      <c r="P137" s="339"/>
    </row>
    <row r="138" spans="1:16" s="329" customFormat="1" ht="13.15" customHeight="1">
      <c r="A138" s="543"/>
      <c r="B138" s="543" t="s">
        <v>779</v>
      </c>
      <c r="C138" s="1390" t="s">
        <v>2805</v>
      </c>
      <c r="D138" s="1395"/>
      <c r="E138" s="1395"/>
      <c r="F138" s="1403"/>
      <c r="G138" s="1403"/>
      <c r="N138" s="1399"/>
      <c r="O138" s="1399"/>
      <c r="P138" s="339"/>
    </row>
    <row r="139" spans="1:16" s="329" customFormat="1" ht="13.15" customHeight="1">
      <c r="A139" s="543"/>
      <c r="B139" s="543"/>
      <c r="C139" s="1395" t="s">
        <v>748</v>
      </c>
      <c r="D139" s="1395"/>
      <c r="E139" s="1395"/>
      <c r="F139" s="1403"/>
      <c r="G139" s="1403"/>
      <c r="H139" s="2697" t="s">
        <v>3155</v>
      </c>
      <c r="K139" s="1395" t="s">
        <v>1592</v>
      </c>
      <c r="L139" s="1395"/>
      <c r="M139" s="1403"/>
      <c r="N139" s="1403"/>
      <c r="O139" s="2697" t="s">
        <v>3155</v>
      </c>
      <c r="P139" s="339"/>
    </row>
    <row r="140" spans="1:16" s="329" customFormat="1" ht="6" customHeight="1">
      <c r="A140" s="543"/>
      <c r="B140" s="543"/>
      <c r="C140" s="1395"/>
      <c r="D140" s="1395"/>
      <c r="E140" s="1395"/>
      <c r="F140" s="1403"/>
      <c r="G140" s="1403"/>
      <c r="H140" s="1403"/>
      <c r="I140" s="1403"/>
      <c r="J140" s="346"/>
      <c r="K140" s="1403"/>
      <c r="L140" s="1403"/>
      <c r="N140" s="1399"/>
      <c r="O140" s="1399"/>
      <c r="P140" s="339"/>
    </row>
    <row r="141" spans="1:16" s="329" customFormat="1" ht="13.15" customHeight="1">
      <c r="A141" s="357" t="s">
        <v>1792</v>
      </c>
      <c r="B141" s="354" t="s">
        <v>1233</v>
      </c>
      <c r="D141" s="354"/>
      <c r="E141" s="354"/>
      <c r="F141" s="354"/>
      <c r="G141" s="1403"/>
      <c r="H141" s="1403"/>
      <c r="I141" s="1403"/>
      <c r="J141" s="346"/>
      <c r="K141" s="1403"/>
      <c r="L141" s="1403"/>
      <c r="N141" s="1399"/>
      <c r="O141" s="1399"/>
      <c r="P141" s="339"/>
    </row>
    <row r="142" spans="1:16" s="329" customFormat="1" ht="1.9" customHeight="1">
      <c r="A142" s="357"/>
      <c r="B142" s="543"/>
      <c r="C142" s="1390"/>
      <c r="D142" s="1390"/>
      <c r="E142" s="1390"/>
      <c r="F142" s="1390"/>
      <c r="G142" s="1403"/>
      <c r="H142" s="1403"/>
      <c r="I142" s="1403"/>
      <c r="J142" s="346"/>
      <c r="K142" s="1403"/>
      <c r="L142" s="1403"/>
      <c r="N142" s="1399"/>
      <c r="O142" s="1399"/>
    </row>
    <row r="143" spans="1:16" s="329" customFormat="1" ht="13.15" customHeight="1">
      <c r="A143" s="543"/>
      <c r="B143" s="543" t="s">
        <v>2058</v>
      </c>
      <c r="C143" s="345" t="s">
        <v>1891</v>
      </c>
      <c r="F143" s="1403"/>
      <c r="G143" s="1403"/>
      <c r="H143" s="1403"/>
      <c r="I143" s="1403"/>
      <c r="J143" s="346"/>
      <c r="K143" s="1403"/>
      <c r="L143" s="1403"/>
      <c r="N143" s="1399"/>
      <c r="O143" s="1399"/>
      <c r="P143" s="339"/>
    </row>
    <row r="144" spans="1:16" s="329" customFormat="1" ht="12.6" customHeight="1">
      <c r="A144" s="543"/>
      <c r="B144" s="543"/>
      <c r="C144" s="353" t="s">
        <v>1584</v>
      </c>
      <c r="D144" s="346"/>
      <c r="E144" s="346"/>
      <c r="F144" s="1403"/>
      <c r="G144" s="1403"/>
      <c r="H144" s="1403"/>
      <c r="I144" s="1403"/>
      <c r="K144" s="2697" t="s">
        <v>3152</v>
      </c>
      <c r="N144" s="1399"/>
      <c r="O144" s="1399"/>
      <c r="P144" s="339"/>
    </row>
    <row r="145" spans="1:16" s="329" customFormat="1" ht="12.6" customHeight="1">
      <c r="A145" s="543"/>
      <c r="B145" s="543"/>
      <c r="C145" s="329" t="s">
        <v>639</v>
      </c>
      <c r="K145" s="2683">
        <v>13</v>
      </c>
      <c r="L145" s="334" t="s">
        <v>1861</v>
      </c>
      <c r="P145" s="363">
        <f>IF('Part VI-Revenues &amp; Expenses'!O$60=0,0,K145/'Part VI-Revenues &amp; Expenses'!$O$60)</f>
        <v>0.14444444444444443</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t="s">
        <v>4229</v>
      </c>
      <c r="F147" s="2633"/>
      <c r="G147" s="2633"/>
      <c r="H147" s="2633"/>
      <c r="I147" s="2633"/>
      <c r="J147" s="2633"/>
      <c r="K147" s="2634"/>
      <c r="L147" s="364" t="s">
        <v>1863</v>
      </c>
      <c r="M147" s="2632" t="s">
        <v>4231</v>
      </c>
      <c r="N147" s="2633"/>
      <c r="O147" s="2633"/>
      <c r="P147" s="2634"/>
    </row>
    <row r="148" spans="1:16" s="329" customFormat="1" ht="12.6" customHeight="1">
      <c r="A148" s="543"/>
      <c r="B148" s="543"/>
      <c r="C148" s="334" t="s">
        <v>1864</v>
      </c>
      <c r="D148" s="342"/>
      <c r="E148" s="2632" t="s">
        <v>4230</v>
      </c>
      <c r="F148" s="2633"/>
      <c r="G148" s="2633"/>
      <c r="H148" s="2633"/>
      <c r="I148" s="2633"/>
      <c r="J148" s="2633"/>
      <c r="K148" s="2721"/>
      <c r="L148" s="364" t="s">
        <v>1869</v>
      </c>
      <c r="M148" s="2640">
        <v>7705361294</v>
      </c>
      <c r="N148" s="2645"/>
      <c r="O148" s="2641"/>
    </row>
    <row r="149" spans="1:16" s="329" customFormat="1" ht="12.6" customHeight="1">
      <c r="A149" s="543"/>
      <c r="B149" s="543"/>
      <c r="C149" s="334" t="s">
        <v>642</v>
      </c>
      <c r="E149" s="2632" t="s">
        <v>1267</v>
      </c>
      <c r="F149" s="2633"/>
      <c r="G149" s="2633"/>
      <c r="H149" s="2634"/>
      <c r="I149" s="359" t="s">
        <v>2308</v>
      </c>
      <c r="J149" s="2722">
        <v>305014534</v>
      </c>
      <c r="K149" s="2723"/>
      <c r="L149" s="365" t="s">
        <v>2054</v>
      </c>
      <c r="M149" s="2724"/>
      <c r="N149" s="2725"/>
      <c r="O149" s="2726"/>
    </row>
    <row r="150" spans="1:16" s="329" customFormat="1" ht="12.6" customHeight="1">
      <c r="A150" s="543"/>
      <c r="B150" s="543"/>
      <c r="C150" s="334" t="s">
        <v>1867</v>
      </c>
      <c r="E150" s="2640">
        <v>7705361294</v>
      </c>
      <c r="F150" s="2645"/>
      <c r="G150" s="2641"/>
      <c r="H150" s="1392"/>
      <c r="I150" s="1394" t="s">
        <v>1866</v>
      </c>
      <c r="J150" s="2647" t="s">
        <v>4232</v>
      </c>
      <c r="K150" s="2648"/>
      <c r="L150" s="2648"/>
      <c r="M150" s="2648"/>
      <c r="N150" s="2648"/>
      <c r="O150" s="2648"/>
      <c r="P150" s="2649"/>
    </row>
    <row r="151" spans="1:16" s="329" customFormat="1" ht="6" customHeight="1">
      <c r="A151" s="543"/>
      <c r="B151" s="543"/>
      <c r="C151" s="334"/>
      <c r="E151" s="366"/>
      <c r="F151" s="366"/>
      <c r="G151" s="366"/>
      <c r="H151" s="1403"/>
      <c r="I151" s="366"/>
      <c r="J151" s="366"/>
      <c r="K151" s="1403"/>
      <c r="L151" s="366"/>
      <c r="M151" s="366"/>
      <c r="N151" s="1403"/>
      <c r="O151" s="366"/>
      <c r="P151" s="366"/>
    </row>
    <row r="152" spans="1:16" s="329" customFormat="1" ht="12.6" customHeight="1">
      <c r="A152" s="543"/>
      <c r="B152" s="543" t="s">
        <v>2061</v>
      </c>
      <c r="C152" s="1390" t="s">
        <v>2806</v>
      </c>
      <c r="D152" s="1390"/>
      <c r="E152" s="1390"/>
      <c r="F152" s="1390"/>
      <c r="G152" s="1390"/>
      <c r="I152" s="2697" t="s">
        <v>3155</v>
      </c>
      <c r="J152" s="1452" t="s">
        <v>792</v>
      </c>
      <c r="K152" s="1453"/>
      <c r="L152" s="2697"/>
      <c r="M152" s="1449" t="s">
        <v>2406</v>
      </c>
      <c r="N152" s="1450"/>
      <c r="O152" s="1451"/>
      <c r="P152" s="2720"/>
    </row>
    <row r="153" spans="1:16" s="329" customFormat="1" ht="6" customHeight="1">
      <c r="A153" s="543"/>
      <c r="B153" s="543"/>
      <c r="C153" s="1390"/>
      <c r="D153" s="1390"/>
      <c r="E153" s="331"/>
      <c r="F153" s="1390"/>
      <c r="G153" s="1390"/>
      <c r="J153" s="338"/>
      <c r="K153" s="367"/>
      <c r="M153" s="1399"/>
      <c r="O153" s="1403"/>
      <c r="P153" s="339"/>
    </row>
    <row r="154" spans="1:16" s="329" customFormat="1" ht="12.6" customHeight="1">
      <c r="A154" s="543"/>
      <c r="B154" s="543"/>
      <c r="C154" s="1390" t="s">
        <v>2807</v>
      </c>
      <c r="D154" s="1390"/>
      <c r="E154" s="1390"/>
      <c r="F154" s="1390"/>
      <c r="G154" s="1390"/>
      <c r="I154" s="2697" t="s">
        <v>3152</v>
      </c>
      <c r="J154" s="1452" t="s">
        <v>792</v>
      </c>
      <c r="K154" s="1453"/>
      <c r="L154" s="2697"/>
      <c r="M154" s="1449" t="s">
        <v>2406</v>
      </c>
      <c r="N154" s="1450"/>
      <c r="O154" s="1451"/>
      <c r="P154" s="2720">
        <v>5</v>
      </c>
    </row>
    <row r="155" spans="1:16" s="329" customFormat="1" ht="6" customHeight="1">
      <c r="A155" s="543"/>
      <c r="B155" s="543"/>
      <c r="C155" s="1390"/>
      <c r="D155" s="1390"/>
      <c r="E155" s="331"/>
      <c r="F155" s="1390"/>
      <c r="G155" s="1390"/>
      <c r="J155" s="338"/>
      <c r="K155" s="367"/>
      <c r="M155" s="1399"/>
      <c r="O155" s="1403"/>
      <c r="P155" s="339"/>
    </row>
    <row r="156" spans="1:16" s="329" customFormat="1" ht="12.6" customHeight="1">
      <c r="A156" s="543"/>
      <c r="B156" s="543" t="s">
        <v>779</v>
      </c>
      <c r="C156" s="1390" t="s">
        <v>1823</v>
      </c>
      <c r="D156" s="1390"/>
      <c r="E156" s="1390"/>
      <c r="F156" s="1390"/>
      <c r="G156" s="1390"/>
      <c r="I156" s="2697" t="s">
        <v>3155</v>
      </c>
      <c r="L156" s="299"/>
      <c r="M156" s="299"/>
      <c r="P156" s="339"/>
    </row>
    <row r="157" spans="1:16" s="329" customFormat="1" ht="6" customHeight="1">
      <c r="A157" s="543"/>
      <c r="B157" s="543"/>
      <c r="C157" s="334"/>
      <c r="E157" s="366"/>
      <c r="F157" s="366"/>
      <c r="G157" s="366"/>
      <c r="I157" s="366"/>
      <c r="J157" s="366"/>
      <c r="K157" s="1403"/>
      <c r="L157" s="366"/>
      <c r="M157" s="366"/>
      <c r="N157" s="1403"/>
      <c r="O157" s="366"/>
      <c r="P157" s="366"/>
    </row>
    <row r="158" spans="1:16" s="329" customFormat="1" ht="12.6" customHeight="1">
      <c r="A158" s="543"/>
      <c r="B158" s="543" t="s">
        <v>2193</v>
      </c>
      <c r="C158" s="1469" t="s">
        <v>2053</v>
      </c>
      <c r="D158" s="1469"/>
      <c r="E158" s="1469"/>
      <c r="F158" s="1469"/>
      <c r="G158" s="1390"/>
      <c r="I158" s="2697" t="s">
        <v>3152</v>
      </c>
      <c r="J158" s="369" t="s">
        <v>2868</v>
      </c>
      <c r="L158" s="1468" t="s">
        <v>4153</v>
      </c>
      <c r="M158" s="1468"/>
      <c r="N158" s="1390"/>
      <c r="O158" s="1390"/>
      <c r="P158" s="2727">
        <v>131</v>
      </c>
    </row>
    <row r="159" spans="1:16" s="329" customFormat="1" ht="12.6" customHeight="1">
      <c r="B159" s="543"/>
      <c r="L159" s="1447" t="s">
        <v>829</v>
      </c>
      <c r="M159" s="1447"/>
      <c r="N159" s="1390"/>
      <c r="O159" s="1390"/>
      <c r="P159" s="2727">
        <v>83</v>
      </c>
    </row>
    <row r="160" spans="1:16" s="329" customFormat="1" ht="12.6" customHeight="1">
      <c r="A160" s="543"/>
      <c r="B160" s="543"/>
      <c r="L160" s="1447" t="s">
        <v>1857</v>
      </c>
      <c r="M160" s="1447"/>
      <c r="N160" s="1390"/>
      <c r="O160" s="1390"/>
      <c r="P160" s="368">
        <f>IF(P158="","",P159/P158)</f>
        <v>0.63358778625954193</v>
      </c>
    </row>
    <row r="161" spans="1:21" s="329" customFormat="1" ht="13.15" customHeight="1">
      <c r="A161" s="543"/>
      <c r="B161" s="543" t="s">
        <v>1801</v>
      </c>
      <c r="C161" s="296" t="s">
        <v>1667</v>
      </c>
      <c r="D161" s="1395"/>
      <c r="E161" s="1395"/>
      <c r="F161" s="1395"/>
      <c r="G161" s="1395"/>
      <c r="H161" s="1403"/>
      <c r="J161" s="338"/>
      <c r="K161" s="346"/>
      <c r="M161" s="1399"/>
      <c r="O161" s="1403"/>
      <c r="P161" s="339"/>
    </row>
    <row r="162" spans="1:21" s="329" customFormat="1" ht="12.6" customHeight="1">
      <c r="A162" s="543"/>
      <c r="B162" s="543"/>
      <c r="C162" s="1399" t="s">
        <v>2291</v>
      </c>
      <c r="D162" s="340"/>
      <c r="E162" s="1399"/>
      <c r="F162" s="1399"/>
      <c r="I162" s="2697" t="s">
        <v>3152</v>
      </c>
      <c r="L162" s="1399" t="s">
        <v>1668</v>
      </c>
      <c r="M162" s="1399"/>
      <c r="N162" s="1399"/>
      <c r="P162" s="2697" t="s">
        <v>3152</v>
      </c>
    </row>
    <row r="163" spans="1:21" s="329" customFormat="1" ht="12.6" customHeight="1">
      <c r="A163" s="543"/>
      <c r="B163" s="543"/>
      <c r="C163" s="1399" t="s">
        <v>2292</v>
      </c>
      <c r="I163" s="2697" t="s">
        <v>3155</v>
      </c>
      <c r="L163" s="1399" t="s">
        <v>2983</v>
      </c>
      <c r="M163" s="1399"/>
      <c r="N163" s="1399"/>
      <c r="P163" s="2697" t="s">
        <v>3155</v>
      </c>
    </row>
    <row r="164" spans="1:21" s="329" customFormat="1" ht="12.6" customHeight="1">
      <c r="A164" s="543"/>
      <c r="C164" s="1399" t="s">
        <v>2828</v>
      </c>
      <c r="I164" s="2697" t="s">
        <v>3155</v>
      </c>
      <c r="L164" s="1399" t="s">
        <v>2791</v>
      </c>
      <c r="N164" s="2728"/>
      <c r="O164" s="2729"/>
      <c r="P164" s="2697" t="s">
        <v>3155</v>
      </c>
    </row>
    <row r="165" spans="1:21" s="329" customFormat="1" ht="12.6" customHeight="1">
      <c r="A165" s="543"/>
      <c r="B165" s="543"/>
      <c r="C165" s="1399" t="s">
        <v>1332</v>
      </c>
      <c r="D165" s="370"/>
      <c r="I165" s="2697" t="s">
        <v>3155</v>
      </c>
      <c r="K165" s="340"/>
      <c r="L165" s="1399" t="s">
        <v>3751</v>
      </c>
      <c r="M165" s="1399"/>
      <c r="N165" s="1399"/>
      <c r="P165" s="2697" t="s">
        <v>3155</v>
      </c>
    </row>
    <row r="166" spans="1:21" s="329" customFormat="1" ht="12.6" customHeight="1">
      <c r="A166" s="543"/>
      <c r="B166" s="331"/>
      <c r="C166" s="1399" t="s">
        <v>1875</v>
      </c>
      <c r="I166" s="2697" t="s">
        <v>3155</v>
      </c>
      <c r="J166" s="369" t="s">
        <v>2869</v>
      </c>
      <c r="O166" s="2730"/>
      <c r="P166" s="2731"/>
    </row>
    <row r="167" spans="1:21" s="329" customFormat="1" ht="12.6" customHeight="1">
      <c r="A167" s="543"/>
      <c r="B167" s="543"/>
      <c r="C167" s="1399" t="s">
        <v>3045</v>
      </c>
      <c r="I167" s="2697" t="s">
        <v>3155</v>
      </c>
      <c r="J167" s="369" t="s">
        <v>2869</v>
      </c>
      <c r="O167" s="2730"/>
      <c r="P167" s="273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5"/>
      <c r="E170" s="1395"/>
      <c r="F170" s="1403"/>
      <c r="G170" s="1403"/>
      <c r="H170" s="2689"/>
      <c r="I170" s="2690"/>
      <c r="N170" s="1399"/>
      <c r="O170" s="1399"/>
      <c r="P170" s="339"/>
    </row>
    <row r="171" spans="1:21" s="329" customFormat="1" ht="12.6" customHeight="1">
      <c r="A171" s="543"/>
      <c r="B171" s="543"/>
      <c r="C171" s="334" t="s">
        <v>288</v>
      </c>
      <c r="D171" s="1395"/>
      <c r="E171" s="1395"/>
      <c r="F171" s="1403"/>
      <c r="G171" s="1403"/>
      <c r="H171" s="2689"/>
      <c r="I171" s="2690"/>
      <c r="N171" s="1399"/>
      <c r="O171" s="1399"/>
      <c r="P171" s="339"/>
    </row>
    <row r="172" spans="1:21" s="329" customFormat="1" ht="12.6" customHeight="1">
      <c r="A172" s="543"/>
      <c r="B172" s="543"/>
      <c r="C172" s="334" t="s">
        <v>2375</v>
      </c>
      <c r="D172" s="1395"/>
      <c r="E172" s="1395"/>
      <c r="F172" s="1403"/>
      <c r="G172" s="1403"/>
      <c r="H172" s="2689">
        <v>43465</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72.15" customHeight="1">
      <c r="A175" s="2732" t="s">
        <v>4389</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2650</v>
      </c>
      <c r="S604" s="1308" t="s">
        <v>332</v>
      </c>
      <c r="T604" s="274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2663</v>
      </c>
      <c r="S618" s="1308" t="s">
        <v>2083</v>
      </c>
      <c r="T618" s="274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937</v>
      </c>
      <c r="S620" s="1308" t="s">
        <v>1141</v>
      </c>
      <c r="T620" s="274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1086</v>
      </c>
      <c r="S623" s="1308" t="s">
        <v>2081</v>
      </c>
      <c r="T623" s="274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1088</v>
      </c>
      <c r="S625" s="1308" t="s">
        <v>1577</v>
      </c>
      <c r="T625" s="274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1090</v>
      </c>
      <c r="S627" s="1308" t="s">
        <v>164</v>
      </c>
      <c r="T627" s="274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1091</v>
      </c>
      <c r="S628" s="1308" t="s">
        <v>1383</v>
      </c>
      <c r="T628" s="274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1105</v>
      </c>
      <c r="S646" s="1308" t="s">
        <v>652</v>
      </c>
      <c r="T646" s="274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1113</v>
      </c>
      <c r="S655" s="1308" t="s">
        <v>1985</v>
      </c>
      <c r="T655" s="274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1114</v>
      </c>
      <c r="S656" s="1308" t="s">
        <v>2081</v>
      </c>
      <c r="T656" s="274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1117</v>
      </c>
      <c r="S659" s="1308" t="s">
        <v>2572</v>
      </c>
      <c r="T659" s="274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vtCcFzxGr849oVZTjTPsgb1L875jfvF/oZ7xy3HcnTGOlM5D9xkPruQXxUXz5TnoLLZHCjxa86Q9OJxN3NDQlA==" saltValue="qe4q9nv1ZIA/oIJkPwAPQ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240 Atlanta Street Development Phase 2</v>
      </c>
      <c r="B1" s="1972"/>
      <c r="C1" s="1972"/>
      <c r="D1" s="1972"/>
      <c r="E1" s="1972"/>
      <c r="F1" s="1972"/>
      <c r="G1" s="1972"/>
      <c r="H1" s="1972"/>
    </row>
    <row r="2" spans="1:8" ht="21.95" customHeight="1">
      <c r="A2" s="885"/>
      <c r="B2" s="885"/>
      <c r="C2" s="885"/>
      <c r="D2" s="885"/>
      <c r="E2" s="885"/>
      <c r="F2" s="885"/>
      <c r="G2" s="885"/>
      <c r="H2" s="885"/>
    </row>
    <row r="3" spans="1:8" ht="20.25" customHeight="1">
      <c r="C3" s="1971" t="s">
        <v>3240</v>
      </c>
      <c r="D3" s="1971"/>
      <c r="E3" s="1971"/>
      <c r="F3" s="1971"/>
    </row>
    <row r="5" spans="1:8" ht="15.75">
      <c r="D5" s="655"/>
      <c r="E5" s="655" t="s">
        <v>3241</v>
      </c>
    </row>
    <row r="6" spans="1:8" ht="15.75">
      <c r="D6" s="655" t="s">
        <v>2566</v>
      </c>
      <c r="E6" s="655" t="s">
        <v>3242</v>
      </c>
    </row>
    <row r="7" spans="1:8" ht="15">
      <c r="D7" s="656"/>
      <c r="E7" s="656"/>
    </row>
    <row r="8" spans="1:8" ht="15">
      <c r="D8" s="657">
        <v>1</v>
      </c>
      <c r="E8" s="658">
        <f>-'Part VII-Pro Forma'!B23/12</f>
        <v>0</v>
      </c>
    </row>
    <row r="9" spans="1:8" ht="15">
      <c r="D9" s="657">
        <v>2</v>
      </c>
      <c r="E9" s="658">
        <f>-'Part VII-Pro Forma'!C23/12</f>
        <v>0</v>
      </c>
    </row>
    <row r="10" spans="1:8" ht="15">
      <c r="D10" s="657">
        <v>3</v>
      </c>
      <c r="E10" s="658">
        <f>-'Part VII-Pro Forma'!D23/12</f>
        <v>0</v>
      </c>
    </row>
    <row r="11" spans="1:8" ht="15">
      <c r="D11" s="659">
        <v>4</v>
      </c>
      <c r="E11" s="658">
        <f>-'Part VII-Pro Forma'!E23/12</f>
        <v>0</v>
      </c>
    </row>
    <row r="12" spans="1:8" ht="15">
      <c r="D12" s="659">
        <v>5</v>
      </c>
      <c r="E12" s="658">
        <f>-'Part VII-Pro Forma'!F23/12</f>
        <v>0</v>
      </c>
    </row>
    <row r="13" spans="1:8" ht="15">
      <c r="D13" s="657">
        <v>6</v>
      </c>
      <c r="E13" s="658">
        <f>-'Part VII-Pro Forma'!G23/12</f>
        <v>0</v>
      </c>
    </row>
    <row r="14" spans="1:8" ht="15">
      <c r="D14" s="657">
        <v>7</v>
      </c>
      <c r="E14" s="658">
        <f>-'Part VII-Pro Forma'!H23/12</f>
        <v>0</v>
      </c>
    </row>
    <row r="15" spans="1:8" ht="15">
      <c r="D15" s="659">
        <v>8</v>
      </c>
      <c r="E15" s="658">
        <f>-'Part VII-Pro Forma'!I23/12</f>
        <v>0</v>
      </c>
    </row>
    <row r="16" spans="1:8" ht="15">
      <c r="D16" s="657">
        <v>9</v>
      </c>
      <c r="E16" s="658">
        <f>-'Part VII-Pro Forma'!J23/12</f>
        <v>0</v>
      </c>
    </row>
    <row r="17" spans="4:8" ht="15">
      <c r="D17" s="657">
        <v>10</v>
      </c>
      <c r="E17" s="658">
        <f>-'Part VII-Pro Forma'!K23/12</f>
        <v>0</v>
      </c>
    </row>
    <row r="18" spans="4:8" ht="15">
      <c r="D18" s="659">
        <v>11</v>
      </c>
      <c r="E18" s="658">
        <f>-'Part VII-Pro Forma'!B53/12</f>
        <v>0</v>
      </c>
    </row>
    <row r="19" spans="4:8" ht="15">
      <c r="D19" s="657">
        <v>12</v>
      </c>
      <c r="E19" s="658">
        <f>-'Part VII-Pro Forma'!C53/12</f>
        <v>0</v>
      </c>
    </row>
    <row r="20" spans="4:8" ht="15">
      <c r="D20" s="657">
        <v>13</v>
      </c>
      <c r="E20" s="658">
        <f>-'Part VII-Pro Forma'!D53/12</f>
        <v>0</v>
      </c>
    </row>
    <row r="21" spans="4:8" ht="15">
      <c r="D21" s="657">
        <v>14</v>
      </c>
      <c r="E21" s="658">
        <f>-'Part VII-Pro Forma'!E53/12</f>
        <v>0</v>
      </c>
    </row>
    <row r="22" spans="4:8" ht="15">
      <c r="D22" s="657">
        <v>15</v>
      </c>
      <c r="E22" s="658">
        <f>-'Part VII-Pro Forma'!F53/12</f>
        <v>0</v>
      </c>
    </row>
    <row r="23" spans="4:8" ht="15">
      <c r="D23" s="657">
        <v>16</v>
      </c>
      <c r="E23" s="658">
        <f>-'Part VII-Pro Forma'!G53/12</f>
        <v>0</v>
      </c>
    </row>
    <row r="24" spans="4:8" ht="15">
      <c r="D24" s="657">
        <v>17</v>
      </c>
      <c r="E24" s="658">
        <f>-'Part VII-Pro Forma'!H53/12</f>
        <v>0</v>
      </c>
      <c r="H24" s="654" t="s">
        <v>254</v>
      </c>
    </row>
    <row r="25" spans="4:8" ht="15">
      <c r="D25" s="657">
        <v>18</v>
      </c>
      <c r="E25" s="658">
        <f>-'Part VII-Pro Forma'!I53/12</f>
        <v>0</v>
      </c>
    </row>
    <row r="26" spans="4:8" ht="15">
      <c r="D26" s="657">
        <v>19</v>
      </c>
      <c r="E26" s="658">
        <f>-'Part VII-Pro Forma'!J53/12</f>
        <v>0</v>
      </c>
    </row>
    <row r="27" spans="4:8" ht="15">
      <c r="D27" s="657">
        <v>20</v>
      </c>
      <c r="E27" s="658">
        <f>-'Part VII-Pro Forma'!K53/12</f>
        <v>0</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3243</v>
      </c>
      <c r="B1" s="1973"/>
      <c r="C1" s="1973"/>
      <c r="D1" s="1973"/>
      <c r="E1" s="1973"/>
      <c r="F1" s="1973"/>
      <c r="G1" s="1973"/>
      <c r="H1" s="1973"/>
      <c r="I1" s="1973"/>
      <c r="J1" s="1973"/>
      <c r="K1" s="1973"/>
    </row>
    <row r="2" spans="1:11" ht="15">
      <c r="A2" s="1029" t="str">
        <f>Overview!E8</f>
        <v>2016-032</v>
      </c>
      <c r="B2" s="1029" t="str">
        <f>Overview!C8</f>
        <v>240 Atlanta Street Development Phase 2</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2820</v>
      </c>
      <c r="C6" s="1035" t="s">
        <v>3814</v>
      </c>
      <c r="D6" s="1035" t="s">
        <v>3244</v>
      </c>
      <c r="E6" s="1035" t="s">
        <v>2066</v>
      </c>
      <c r="G6" s="1035" t="s">
        <v>3815</v>
      </c>
      <c r="H6" s="1035" t="s">
        <v>3244</v>
      </c>
      <c r="I6" s="1035" t="s">
        <v>2066</v>
      </c>
      <c r="K6" s="1036" t="s">
        <v>3247</v>
      </c>
    </row>
    <row r="7" spans="1:11" s="705" customFormat="1" ht="13.5" customHeight="1">
      <c r="A7" s="705" t="s">
        <v>3245</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13380152</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1859</v>
      </c>
      <c r="H12" s="1046" t="e">
        <f>SUM(H7:H11)</f>
        <v>#REF!</v>
      </c>
      <c r="I12" s="1047"/>
      <c r="K12" s="1980"/>
    </row>
    <row r="13" spans="1:11" s="705" customFormat="1" ht="13.5" customHeight="1" thickBot="1">
      <c r="A13" s="1045" t="s">
        <v>3246</v>
      </c>
      <c r="B13" s="1048"/>
      <c r="E13" s="1049" t="e">
        <f>SUM(E7:E11)</f>
        <v>#REF!</v>
      </c>
      <c r="G13" s="1045" t="s">
        <v>3500</v>
      </c>
      <c r="H13" s="1048"/>
      <c r="I13" s="1050" t="e">
        <f>SUM(I7:I11)</f>
        <v>#REF!</v>
      </c>
      <c r="K13" s="1040">
        <f>'Part VIII-Threshold Criteria'!$P$65</f>
        <v>13458618</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3498</v>
      </c>
      <c r="K18" s="1053" t="e">
        <f>Overview!D13</f>
        <v>#REF!</v>
      </c>
    </row>
    <row r="19" spans="1:11" s="705" customFormat="1" ht="13.5" customHeight="1">
      <c r="A19" s="705" t="s">
        <v>3248</v>
      </c>
      <c r="K19" s="874" t="e">
        <f>Overview!C13</f>
        <v>#REF!</v>
      </c>
    </row>
    <row r="20" spans="1:11" ht="3" customHeight="1">
      <c r="A20" s="1054"/>
    </row>
    <row r="21" spans="1:11" s="705" customFormat="1" ht="13.5" customHeight="1">
      <c r="A21" s="705" t="s">
        <v>3249</v>
      </c>
      <c r="E21" s="1052" t="s">
        <v>3821</v>
      </c>
      <c r="K21" s="1055" t="e">
        <f>K18/K19</f>
        <v>#REF!</v>
      </c>
    </row>
    <row r="22" spans="1:11" ht="9" customHeight="1"/>
    <row r="23" spans="1:11" s="705" customFormat="1" ht="13.5" customHeight="1">
      <c r="A23" s="705" t="s">
        <v>3779</v>
      </c>
      <c r="C23" s="1056"/>
      <c r="E23" s="1052" t="s">
        <v>3252</v>
      </c>
      <c r="K23" s="874">
        <f>K9</f>
        <v>13380152</v>
      </c>
    </row>
    <row r="24" spans="1:11" s="705" customFormat="1" ht="13.5" customHeight="1">
      <c r="A24" s="1057" t="s">
        <v>1826</v>
      </c>
      <c r="K24" s="1040">
        <f>'Part IV-Uses of Funds'!$G$121</f>
        <v>205405</v>
      </c>
    </row>
    <row r="25" spans="1:11" s="705" customFormat="1" ht="13.5" customHeight="1">
      <c r="A25" s="1057" t="s">
        <v>3253</v>
      </c>
      <c r="K25" s="1058">
        <v>0</v>
      </c>
    </row>
    <row r="26" spans="1:11" s="705" customFormat="1" ht="13.5" customHeight="1">
      <c r="A26" s="1057" t="s">
        <v>3253</v>
      </c>
      <c r="K26" s="1058">
        <v>0</v>
      </c>
    </row>
    <row r="27" spans="1:11" ht="3" customHeight="1">
      <c r="A27" s="1059"/>
      <c r="K27" s="1060">
        <v>0</v>
      </c>
    </row>
    <row r="28" spans="1:11" s="1048" customFormat="1" ht="13.5" customHeight="1">
      <c r="A28" s="1048" t="s">
        <v>3254</v>
      </c>
      <c r="K28" s="1061">
        <f>K23-SUM(K24:K27)</f>
        <v>13174747</v>
      </c>
    </row>
    <row r="29" spans="1:11" ht="9" customHeight="1">
      <c r="A29" s="1054"/>
      <c r="K29" s="1062"/>
    </row>
    <row r="30" spans="1:11" s="705" customFormat="1" ht="15" customHeight="1">
      <c r="A30" s="1048" t="s">
        <v>3255</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700000</v>
      </c>
    </row>
    <row r="37" spans="1:11" s="705" customFormat="1" ht="9" customHeight="1" thickBot="1">
      <c r="E37" s="1069"/>
      <c r="F37" s="1069"/>
      <c r="G37" s="1069"/>
      <c r="H37" s="1069"/>
      <c r="K37" s="1070"/>
    </row>
    <row r="38" spans="1:11" s="705" customFormat="1" ht="15.75" customHeight="1">
      <c r="A38" s="1981" t="s">
        <v>3827</v>
      </c>
      <c r="B38" s="1981"/>
      <c r="C38" s="1981"/>
      <c r="D38" s="1984" t="s">
        <v>3250</v>
      </c>
      <c r="E38" s="1984"/>
      <c r="F38" s="1984" t="s">
        <v>3251</v>
      </c>
      <c r="G38" s="1984"/>
      <c r="H38" s="1984"/>
      <c r="I38" s="1071" t="s">
        <v>2958</v>
      </c>
      <c r="K38" s="1974" t="e">
        <f>ROUND((D39/F39)*I39,0)</f>
        <v>#REF!</v>
      </c>
    </row>
    <row r="39" spans="1:11" s="705" customFormat="1" ht="15.75" customHeight="1" thickBot="1">
      <c r="A39" s="1981"/>
      <c r="B39" s="1981"/>
      <c r="C39" s="1981"/>
      <c r="D39" s="1983">
        <f>K36</f>
        <v>700000</v>
      </c>
      <c r="E39" s="1983"/>
      <c r="F39" s="1982">
        <f>K28</f>
        <v>13174747</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2016-032  240 Atlanta Street Development Phase 2</v>
      </c>
      <c r="B1" s="1985"/>
      <c r="C1" s="1985"/>
      <c r="D1" s="1985"/>
      <c r="E1" s="1985"/>
      <c r="F1" s="1985"/>
      <c r="G1" s="1985"/>
      <c r="H1" s="1985"/>
    </row>
    <row r="3" spans="1:13" ht="12" customHeight="1">
      <c r="A3" s="1986" t="s">
        <v>3782</v>
      </c>
      <c r="B3" s="1986"/>
      <c r="C3" s="1986"/>
      <c r="D3" s="1986"/>
      <c r="E3" s="1986"/>
      <c r="F3" s="1986"/>
      <c r="G3" s="1986"/>
      <c r="H3" s="1986"/>
      <c r="I3" s="689"/>
      <c r="J3" s="662" t="s">
        <v>3256</v>
      </c>
      <c r="K3" s="662"/>
      <c r="L3" s="662"/>
      <c r="M3" s="662"/>
    </row>
    <row r="5" spans="1:13" ht="12" customHeight="1">
      <c r="A5" s="660">
        <v>1</v>
      </c>
      <c r="C5" s="660" t="s">
        <v>3257</v>
      </c>
      <c r="E5" s="690" t="str">
        <f>Overview!H9</f>
        <v>240 Atlanta Street Phase 2, L.P.</v>
      </c>
    </row>
    <row r="6" spans="1:13" ht="3" customHeight="1">
      <c r="H6" s="883"/>
    </row>
    <row r="7" spans="1:13" ht="12" customHeight="1">
      <c r="A7" s="660">
        <v>2</v>
      </c>
      <c r="C7" s="660" t="s">
        <v>3258</v>
      </c>
      <c r="E7" s="690" t="str">
        <f>'Part II-Development Team'!H6</f>
        <v>750 Pearl Nix Parkway</v>
      </c>
    </row>
    <row r="8" spans="1:13" ht="12" customHeight="1">
      <c r="E8" s="690" t="str">
        <f>+'Part II-Development Team'!H7&amp;","&amp;" "&amp;'Part II-Development Team'!H8&amp;" "&amp;LEFT('Part II-Development Team'!J8,5)</f>
        <v>Gainesville, GA 30501</v>
      </c>
    </row>
    <row r="9" spans="1:13" ht="12" customHeight="1">
      <c r="C9" s="660" t="s">
        <v>3259</v>
      </c>
      <c r="E9" s="1987"/>
      <c r="F9" s="1987"/>
    </row>
    <row r="10" spans="1:13" ht="12" customHeight="1">
      <c r="C10" s="660" t="s">
        <v>3260</v>
      </c>
      <c r="E10" s="690" t="str">
        <f>'Part II-Development Team'!Q5</f>
        <v>Beth Brown</v>
      </c>
    </row>
    <row r="11" spans="1:13" ht="12" customHeight="1">
      <c r="C11" s="660" t="s">
        <v>3261</v>
      </c>
      <c r="E11" s="690">
        <f>'Part II-Development Team'!O9</f>
        <v>0</v>
      </c>
    </row>
    <row r="12" spans="1:13" ht="12" customHeight="1">
      <c r="C12" s="660" t="s">
        <v>3262</v>
      </c>
      <c r="E12" s="699">
        <f>'Part II-Development Team'!H9</f>
        <v>7705361294</v>
      </c>
    </row>
    <row r="13" spans="1:13" ht="12" customHeight="1">
      <c r="C13" s="660" t="s">
        <v>3263</v>
      </c>
      <c r="E13" s="699" t="str">
        <f>'Part II-Development Team'!L9</f>
        <v>bbrown@gainesvillehousing.org</v>
      </c>
    </row>
    <row r="14" spans="1:13" ht="3" customHeight="1"/>
    <row r="15" spans="1:13" ht="12" customHeight="1">
      <c r="A15" s="660">
        <v>3</v>
      </c>
      <c r="C15" s="660" t="s">
        <v>3264</v>
      </c>
      <c r="E15" s="690" t="str">
        <f>Overview!C8</f>
        <v>240 Atlanta Street Development Phase 2</v>
      </c>
    </row>
    <row r="16" spans="1:13" ht="12" customHeight="1">
      <c r="C16" s="660" t="s">
        <v>3265</v>
      </c>
      <c r="E16" s="690" t="str">
        <f>'Part I-Project Information'!$F$25</f>
        <v>240 Atlanta Street</v>
      </c>
    </row>
    <row r="17" spans="1:8" ht="12" customHeight="1">
      <c r="E17" s="690" t="str">
        <f>+'Part I-Project Information'!$F$28&amp;","&amp;" "&amp;'Part I-Project Information'!$J$29&amp;" "&amp;LEFT('Part I-Project Information'!$J$28,5)</f>
        <v>Gainesville, Hall 30501</v>
      </c>
    </row>
    <row r="18" spans="1:8" ht="3" customHeight="1"/>
    <row r="19" spans="1:8" ht="12" customHeight="1">
      <c r="A19" s="660">
        <v>4</v>
      </c>
      <c r="C19" s="660" t="s">
        <v>3266</v>
      </c>
      <c r="E19" s="690" t="str">
        <f>'Part II-Development Team'!H92</f>
        <v>Walton Communities, LLC</v>
      </c>
    </row>
    <row r="20" spans="1:8" ht="12" customHeight="1">
      <c r="C20" s="660" t="s">
        <v>3267</v>
      </c>
      <c r="E20" s="690" t="str">
        <f>'Part II-Development Team'!H93</f>
        <v>2181 Newmarket Parkway</v>
      </c>
    </row>
    <row r="21" spans="1:8" ht="12" customHeight="1">
      <c r="E21" s="690" t="str">
        <f>+'Part II-Development Team'!H94&amp;","&amp;" "&amp;'Part II-Development Team'!H95&amp;" "&amp;LEFT('Part II-Development Team'!J95,5)</f>
        <v xml:space="preserve">Marietta, GA </v>
      </c>
    </row>
    <row r="22" spans="1:8" ht="12" customHeight="1">
      <c r="C22" s="660" t="s">
        <v>3262</v>
      </c>
      <c r="E22" s="699">
        <f>'Part II-Development Team'!H96</f>
        <v>6783034135</v>
      </c>
    </row>
    <row r="23" spans="1:8" ht="12" customHeight="1">
      <c r="C23" s="660" t="s">
        <v>3263</v>
      </c>
      <c r="E23" s="699" t="str">
        <f>'Part II-Development Team'!L96</f>
        <v>kdavidson@waltoncommunities.com</v>
      </c>
    </row>
    <row r="24" spans="1:8" ht="12" customHeight="1">
      <c r="C24" s="660" t="s">
        <v>1866</v>
      </c>
      <c r="E24" s="699">
        <f>'Part II-Development Team'!O96</f>
        <v>0</v>
      </c>
    </row>
    <row r="25" spans="1:8" ht="3" customHeight="1">
      <c r="E25" s="690"/>
    </row>
    <row r="26" spans="1:8" ht="12" customHeight="1">
      <c r="A26" s="660">
        <v>5</v>
      </c>
      <c r="C26" s="660" t="s">
        <v>3268</v>
      </c>
      <c r="E26" s="690" t="str">
        <f>Overview!$H$7</f>
        <v>New Construction</v>
      </c>
    </row>
    <row r="27" spans="1:8" ht="12" customHeight="1">
      <c r="E27" s="690" t="s">
        <v>1837</v>
      </c>
    </row>
    <row r="28" spans="1:8" ht="12" customHeight="1">
      <c r="C28" s="660" t="s">
        <v>3781</v>
      </c>
      <c r="E28" s="660" t="str">
        <f>Overview!$C$9</f>
        <v>&lt;&lt;Select&gt;&gt;</v>
      </c>
    </row>
    <row r="29" spans="1:8" ht="3" customHeight="1">
      <c r="H29" s="661"/>
    </row>
    <row r="30" spans="1:8" ht="12" customHeight="1">
      <c r="A30" s="660">
        <v>6</v>
      </c>
      <c r="C30" s="660" t="s">
        <v>3269</v>
      </c>
      <c r="E30" s="660" t="s">
        <v>2494</v>
      </c>
      <c r="F30" s="691">
        <f>'Part III-Sources of Funds'!L19</f>
        <v>700000</v>
      </c>
      <c r="G30" s="660" t="s">
        <v>3270</v>
      </c>
    </row>
    <row r="31" spans="1:8" ht="12" customHeight="1">
      <c r="F31" s="691" t="s">
        <v>3271</v>
      </c>
      <c r="G31" s="660" t="s">
        <v>3272</v>
      </c>
    </row>
    <row r="32" spans="1:8" ht="3" customHeight="1">
      <c r="F32" s="667"/>
    </row>
    <row r="33" spans="1:7" ht="12" customHeight="1">
      <c r="A33" s="660">
        <v>7</v>
      </c>
      <c r="C33" s="660" t="s">
        <v>3273</v>
      </c>
      <c r="F33" s="693">
        <v>0</v>
      </c>
    </row>
    <row r="34" spans="1:7" ht="3" customHeight="1">
      <c r="F34" s="667"/>
    </row>
    <row r="35" spans="1:7" ht="12" customHeight="1">
      <c r="A35" s="660">
        <v>8</v>
      </c>
      <c r="C35" s="660" t="s">
        <v>3274</v>
      </c>
      <c r="E35" s="660" t="s">
        <v>2494</v>
      </c>
      <c r="F35" s="692">
        <v>0.01</v>
      </c>
    </row>
    <row r="36" spans="1:7" ht="3" customHeight="1">
      <c r="F36" s="693"/>
    </row>
    <row r="37" spans="1:7" ht="12" customHeight="1">
      <c r="A37" s="660">
        <v>9</v>
      </c>
      <c r="C37" s="660" t="s">
        <v>3275</v>
      </c>
      <c r="F37" s="694">
        <v>24</v>
      </c>
      <c r="G37" s="660" t="s">
        <v>3276</v>
      </c>
    </row>
    <row r="38" spans="1:7" ht="3" customHeight="1">
      <c r="F38" s="693"/>
    </row>
    <row r="39" spans="1:7" ht="12" customHeight="1">
      <c r="A39" s="660">
        <v>10</v>
      </c>
      <c r="C39" s="660" t="s">
        <v>3277</v>
      </c>
      <c r="E39" s="660" t="s">
        <v>2494</v>
      </c>
      <c r="F39" s="667">
        <f>'Part III-Sources of Funds'!L37*12</f>
        <v>216</v>
      </c>
      <c r="G39" s="660" t="s">
        <v>3276</v>
      </c>
    </row>
    <row r="40" spans="1:7" ht="3" customHeight="1">
      <c r="F40" s="667"/>
    </row>
    <row r="41" spans="1:7" ht="12" customHeight="1">
      <c r="A41" s="660">
        <v>11</v>
      </c>
      <c r="C41" s="660" t="s">
        <v>3278</v>
      </c>
      <c r="F41" s="700">
        <v>24</v>
      </c>
      <c r="G41" s="660" t="s">
        <v>3276</v>
      </c>
    </row>
    <row r="42" spans="1:7" ht="3" customHeight="1"/>
    <row r="43" spans="1:7" ht="12" customHeight="1">
      <c r="A43" s="660">
        <v>12</v>
      </c>
      <c r="C43" s="660" t="s">
        <v>3279</v>
      </c>
      <c r="F43" s="702" t="s">
        <v>3280</v>
      </c>
    </row>
    <row r="44" spans="1:7" ht="3" customHeight="1"/>
    <row r="45" spans="1:7" ht="12" customHeight="1">
      <c r="A45" s="660">
        <v>13</v>
      </c>
      <c r="C45" s="660" t="s">
        <v>3281</v>
      </c>
      <c r="E45" s="660" t="s">
        <v>2494</v>
      </c>
      <c r="F45" s="690" t="s">
        <v>3282</v>
      </c>
    </row>
    <row r="46" spans="1:7" ht="3" customHeight="1">
      <c r="F46" s="883"/>
    </row>
    <row r="47" spans="1:7" ht="12" customHeight="1">
      <c r="A47" s="660">
        <v>14</v>
      </c>
      <c r="C47" s="660" t="s">
        <v>3283</v>
      </c>
      <c r="E47" s="690" t="str">
        <f>'Part II-Development Team'!H14</f>
        <v>240 Atlanta Street Phase 2 GP, LLC</v>
      </c>
    </row>
    <row r="48" spans="1:7" ht="3" customHeight="1">
      <c r="E48" s="690"/>
    </row>
    <row r="49" spans="1:7" ht="12" customHeight="1">
      <c r="A49" s="660">
        <v>15</v>
      </c>
      <c r="C49" s="660" t="s">
        <v>3284</v>
      </c>
      <c r="E49" s="690" t="str">
        <f>'Part II-Development Team'!Q98</f>
        <v>Jeff Adams</v>
      </c>
    </row>
    <row r="50" spans="1:7" ht="12" customHeight="1">
      <c r="C50" s="660" t="s">
        <v>3285</v>
      </c>
      <c r="E50" s="690">
        <f>'Part II-Development Team'!O102</f>
        <v>0</v>
      </c>
      <c r="F50" s="667"/>
    </row>
    <row r="51" spans="1:7" ht="3" customHeight="1">
      <c r="F51" s="667"/>
    </row>
    <row r="52" spans="1:7" ht="12" customHeight="1">
      <c r="A52" s="660">
        <v>16</v>
      </c>
      <c r="C52" s="660" t="s">
        <v>3286</v>
      </c>
      <c r="F52" s="667" t="e">
        <f>#REF!</f>
        <v>#REF!</v>
      </c>
    </row>
    <row r="53" spans="1:7" ht="3" customHeight="1">
      <c r="F53" s="667"/>
    </row>
    <row r="54" spans="1:7" ht="12" customHeight="1">
      <c r="A54" s="695">
        <v>17</v>
      </c>
      <c r="B54" s="695"/>
      <c r="C54" s="695" t="s">
        <v>3287</v>
      </c>
      <c r="D54" s="695"/>
      <c r="E54" s="695"/>
      <c r="F54" s="868" t="e">
        <f>'Subsidy Layering WS'!D12</f>
        <v>#REF!</v>
      </c>
      <c r="G54" s="695"/>
    </row>
    <row r="55" spans="1:7" ht="3" customHeight="1">
      <c r="F55" s="667"/>
    </row>
    <row r="56" spans="1:7" ht="12" customHeight="1">
      <c r="A56" s="660">
        <v>18</v>
      </c>
      <c r="C56" s="660" t="s">
        <v>3288</v>
      </c>
      <c r="E56" s="660" t="s">
        <v>2598</v>
      </c>
      <c r="F56" s="667" t="e">
        <f>#REF!</f>
        <v>#REF!</v>
      </c>
    </row>
    <row r="57" spans="1:7" ht="3" customHeight="1">
      <c r="F57" s="667"/>
    </row>
    <row r="58" spans="1:7" ht="12" customHeight="1">
      <c r="A58" s="660">
        <v>19</v>
      </c>
      <c r="C58" s="660" t="s">
        <v>3289</v>
      </c>
      <c r="F58" s="701"/>
      <c r="G58" s="660" t="s">
        <v>3783</v>
      </c>
    </row>
    <row r="59" spans="1:7" ht="3" customHeight="1">
      <c r="F59" s="667"/>
    </row>
    <row r="60" spans="1:7" ht="12" customHeight="1">
      <c r="A60" s="660">
        <v>20</v>
      </c>
      <c r="C60" s="660" t="s">
        <v>3290</v>
      </c>
      <c r="F60" s="696">
        <f>'Part VII-Pro Forma'!$K$67</f>
        <v>700000</v>
      </c>
      <c r="G60" s="695">
        <v>300</v>
      </c>
    </row>
    <row r="61" spans="1:7" ht="3" customHeight="1"/>
    <row r="62" spans="1:7" ht="12" customHeight="1">
      <c r="A62" s="660">
        <v>21</v>
      </c>
      <c r="C62" s="660" t="s">
        <v>3801</v>
      </c>
      <c r="E62" s="662" t="s">
        <v>3784</v>
      </c>
      <c r="F62" s="869" t="s">
        <v>3785</v>
      </c>
      <c r="G62" s="662" t="s">
        <v>3291</v>
      </c>
    </row>
    <row r="63" spans="1:7" ht="12" customHeight="1">
      <c r="E63" s="662" t="s">
        <v>3784</v>
      </c>
      <c r="F63" s="869" t="s">
        <v>3785</v>
      </c>
      <c r="G63" s="662"/>
    </row>
    <row r="64" spans="1:7" ht="3" customHeight="1"/>
    <row r="65" spans="1:6" ht="12" customHeight="1">
      <c r="A65" s="660">
        <v>22</v>
      </c>
      <c r="C65" s="660" t="s">
        <v>3292</v>
      </c>
      <c r="E65" s="690" t="str">
        <f>Overview!H9</f>
        <v>240 Atlanta Street Phase 2, L.P.</v>
      </c>
    </row>
    <row r="66" spans="1:6" ht="3" customHeight="1"/>
    <row r="67" spans="1:6" ht="12" customHeight="1">
      <c r="A67" s="660">
        <v>23</v>
      </c>
      <c r="C67" s="660" t="s">
        <v>3293</v>
      </c>
      <c r="F67" s="667" t="s">
        <v>3294</v>
      </c>
    </row>
    <row r="68" spans="1:6" ht="3" customHeight="1"/>
    <row r="69" spans="1:6" ht="12" customHeight="1">
      <c r="A69" s="660">
        <v>24</v>
      </c>
      <c r="C69" s="660" t="s">
        <v>3295</v>
      </c>
      <c r="E69" s="660" t="s">
        <v>2494</v>
      </c>
      <c r="F69" s="667">
        <v>20</v>
      </c>
    </row>
    <row r="70" spans="1:6" ht="3" customHeight="1"/>
    <row r="71" spans="1:6" ht="12" customHeight="1">
      <c r="A71" s="660">
        <v>25</v>
      </c>
      <c r="C71" s="660" t="s">
        <v>3296</v>
      </c>
      <c r="F71" s="697">
        <f>'Part IV-Uses of Funds'!$G$121</f>
        <v>205405</v>
      </c>
    </row>
    <row r="72" spans="1:6" ht="3" customHeight="1">
      <c r="F72" s="697"/>
    </row>
    <row r="73" spans="1:6" ht="12" customHeight="1">
      <c r="A73" s="660">
        <v>26</v>
      </c>
      <c r="C73" s="660" t="s">
        <v>3297</v>
      </c>
      <c r="F73" s="697">
        <f>'Part IV-Uses of Funds'!$G$122</f>
        <v>0</v>
      </c>
    </row>
    <row r="74" spans="1:6" ht="3" customHeight="1">
      <c r="F74" s="697"/>
    </row>
    <row r="75" spans="1:6" ht="12" customHeight="1">
      <c r="A75" s="660">
        <v>27</v>
      </c>
      <c r="C75" s="660" t="s">
        <v>3298</v>
      </c>
      <c r="F75" s="698">
        <f>'Part IV-Uses of Funds'!$G$120</f>
        <v>102702</v>
      </c>
    </row>
    <row r="76" spans="1:6" ht="3" customHeight="1">
      <c r="F76" s="697"/>
    </row>
    <row r="77" spans="1:6" ht="12" customHeight="1">
      <c r="A77" s="660">
        <v>28</v>
      </c>
      <c r="C77" s="660" t="s">
        <v>3299</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3503</v>
      </c>
      <c r="B1" s="1999"/>
      <c r="C1" s="1999"/>
      <c r="D1" s="1999"/>
      <c r="E1" s="1999"/>
      <c r="F1" s="1999"/>
      <c r="G1" s="1999"/>
      <c r="H1" s="1999"/>
      <c r="I1" s="1999"/>
      <c r="J1" s="1999"/>
    </row>
    <row r="2" spans="1:10" ht="15">
      <c r="A2" s="1999" t="str">
        <f>Overview!E8&amp;"  "&amp;Overview!C8</f>
        <v>2016-032  240 Atlanta Street Development Phase 2</v>
      </c>
      <c r="B2" s="1999"/>
      <c r="C2" s="1999"/>
      <c r="D2" s="1999"/>
      <c r="E2" s="1999"/>
      <c r="F2" s="1999"/>
      <c r="G2" s="1999"/>
      <c r="H2" s="1999"/>
      <c r="I2" s="1999"/>
      <c r="J2" s="1999"/>
    </row>
    <row r="3" spans="1:10" ht="6" customHeight="1"/>
    <row r="4" spans="1:10" ht="12" customHeight="1">
      <c r="A4" s="1074" t="s">
        <v>3300</v>
      </c>
    </row>
    <row r="5" spans="1:10" ht="12" customHeight="1">
      <c r="A5" s="1028" t="s">
        <v>3301</v>
      </c>
      <c r="C5" s="1075" t="str">
        <f>'Subsidy Layering Memo'!D6</f>
        <v>(Underwriter)</v>
      </c>
      <c r="F5" s="2002" t="s">
        <v>3256</v>
      </c>
      <c r="G5" s="2002"/>
      <c r="H5" s="2002"/>
      <c r="I5" s="1075"/>
    </row>
    <row r="6" spans="1:10" ht="6" customHeight="1">
      <c r="C6" s="961"/>
      <c r="D6" s="1075"/>
      <c r="I6" s="1075"/>
    </row>
    <row r="7" spans="1:10" ht="12" customHeight="1">
      <c r="A7" s="1074" t="s">
        <v>3302</v>
      </c>
      <c r="C7" s="961"/>
      <c r="D7" s="1075"/>
      <c r="I7" s="1075"/>
    </row>
    <row r="8" spans="1:10" ht="12" customHeight="1">
      <c r="A8" s="1028" t="s">
        <v>3303</v>
      </c>
      <c r="C8" s="1075" t="str">
        <f>Overview!$H$9</f>
        <v>240 Atlanta Street Phase 2, L.P.</v>
      </c>
      <c r="I8" s="1075"/>
    </row>
    <row r="9" spans="1:10" ht="3" customHeight="1">
      <c r="C9" s="961"/>
      <c r="D9" s="1075"/>
      <c r="I9" s="1075"/>
    </row>
    <row r="10" spans="1:10" ht="12" customHeight="1">
      <c r="A10" s="1028" t="s">
        <v>3304</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3305</v>
      </c>
      <c r="D13" s="1077"/>
      <c r="I13" s="1075"/>
    </row>
    <row r="14" spans="1:10" ht="3" customHeight="1">
      <c r="G14" s="961"/>
      <c r="H14" s="1075"/>
      <c r="I14" s="1075"/>
    </row>
    <row r="15" spans="1:10" ht="12" customHeight="1">
      <c r="A15" s="1028" t="s">
        <v>3306</v>
      </c>
      <c r="C15" s="1078" t="str">
        <f>'Part II-Development Team'!$Q$5</f>
        <v>Beth Brown</v>
      </c>
      <c r="G15" s="961"/>
      <c r="I15" s="1075"/>
    </row>
    <row r="16" spans="1:10" ht="12" customHeight="1">
      <c r="A16" s="1079" t="s">
        <v>2055</v>
      </c>
      <c r="C16" s="1078" t="str">
        <f>'Part II-Development Team'!$Q$6</f>
        <v>ED of NonProfit Sponsor</v>
      </c>
      <c r="G16" s="961"/>
      <c r="I16" s="1075"/>
    </row>
    <row r="17" spans="1:9" ht="3" customHeight="1">
      <c r="G17" s="961"/>
      <c r="H17" s="1075"/>
      <c r="I17" s="1075"/>
    </row>
    <row r="18" spans="1:9" ht="12" customHeight="1">
      <c r="A18" s="1028" t="s">
        <v>3307</v>
      </c>
      <c r="C18" s="1078" t="str">
        <f>'Preview term'!$E$7</f>
        <v>750 Pearl Nix Parkway</v>
      </c>
      <c r="G18" s="961"/>
      <c r="I18" s="1075"/>
    </row>
    <row r="19" spans="1:9" ht="12" customHeight="1">
      <c r="C19" s="1078" t="str">
        <f>'Preview term'!$E$8</f>
        <v>Gainesville, GA 30501</v>
      </c>
      <c r="G19" s="961"/>
      <c r="I19" s="1075"/>
    </row>
    <row r="20" spans="1:9" ht="3" customHeight="1">
      <c r="G20" s="961"/>
      <c r="H20" s="1075"/>
      <c r="I20" s="1075"/>
    </row>
    <row r="21" spans="1:9" ht="12" customHeight="1">
      <c r="A21" s="1028" t="s">
        <v>3308</v>
      </c>
      <c r="C21" s="1078" t="str">
        <f>'Preview term'!$E$49</f>
        <v>Jeff Adams</v>
      </c>
      <c r="G21" s="961"/>
      <c r="I21" s="1075"/>
    </row>
    <row r="22" spans="1:9" ht="3" customHeight="1">
      <c r="C22" s="1078"/>
      <c r="G22" s="961"/>
      <c r="I22" s="1075"/>
    </row>
    <row r="23" spans="1:9" ht="12" customHeight="1">
      <c r="A23" s="1028" t="s">
        <v>3309</v>
      </c>
      <c r="C23" s="1078">
        <f>'Part II-Development Team'!$H$102</f>
        <v>4048737014</v>
      </c>
      <c r="G23" s="961"/>
      <c r="I23" s="1075"/>
    </row>
    <row r="24" spans="1:9" ht="3" customHeight="1">
      <c r="C24" s="1078"/>
      <c r="G24" s="961"/>
      <c r="I24" s="1075"/>
    </row>
    <row r="25" spans="1:9" ht="12" customHeight="1">
      <c r="A25" s="1028" t="s">
        <v>3310</v>
      </c>
      <c r="C25" s="870">
        <f>'Preview term'!$E$50</f>
        <v>0</v>
      </c>
      <c r="G25" s="961"/>
    </row>
    <row r="26" spans="1:9" ht="6" customHeight="1">
      <c r="G26" s="961"/>
      <c r="H26" s="1075"/>
      <c r="I26" s="1075"/>
    </row>
    <row r="27" spans="1:9" ht="12" customHeight="1">
      <c r="A27" s="1074" t="s">
        <v>3311</v>
      </c>
      <c r="G27" s="961"/>
      <c r="H27" s="1075"/>
      <c r="I27" s="1075"/>
    </row>
    <row r="28" spans="1:9" ht="12" customHeight="1">
      <c r="A28" s="1028" t="s">
        <v>3312</v>
      </c>
      <c r="C28" s="1078" t="str">
        <f>Overview!$C$8</f>
        <v>240 Atlanta Street Development Phase 2</v>
      </c>
      <c r="I28" s="1075"/>
    </row>
    <row r="29" spans="1:9" ht="3" customHeight="1">
      <c r="C29" s="1078"/>
      <c r="I29" s="1075"/>
    </row>
    <row r="30" spans="1:9" ht="12" customHeight="1">
      <c r="A30" s="1028" t="s">
        <v>3313</v>
      </c>
      <c r="C30" s="1078" t="str">
        <f>'Preview term'!E16</f>
        <v>240 Atlanta Street</v>
      </c>
      <c r="I30" s="1075"/>
    </row>
    <row r="31" spans="1:9">
      <c r="C31" s="1075" t="str">
        <f>'Preview term'!E17</f>
        <v>Gainesville, Hall 30501</v>
      </c>
      <c r="I31" s="1075"/>
    </row>
    <row r="32" spans="1:9" ht="3" customHeight="1">
      <c r="C32" s="961"/>
      <c r="D32" s="961"/>
      <c r="I32" s="961"/>
    </row>
    <row r="33" spans="1:10" ht="12" customHeight="1">
      <c r="A33" s="1028" t="s">
        <v>3314</v>
      </c>
      <c r="C33" s="961" t="s">
        <v>3315</v>
      </c>
      <c r="D33" s="1080" t="e">
        <f>'Preview term'!F54</f>
        <v>#REF!</v>
      </c>
      <c r="I33" s="961"/>
    </row>
    <row r="34" spans="1:10" ht="12" customHeight="1">
      <c r="C34" s="961" t="s">
        <v>3316</v>
      </c>
      <c r="D34" s="1081" t="e">
        <f>#REF!+#REF!</f>
        <v>#REF!</v>
      </c>
      <c r="I34" s="961"/>
    </row>
    <row r="35" spans="1:10" ht="12" customHeight="1">
      <c r="C35" s="961" t="s">
        <v>3317</v>
      </c>
      <c r="D35" s="1082" t="e">
        <f>SUM(D33:D34)</f>
        <v>#REF!</v>
      </c>
      <c r="I35" s="961"/>
    </row>
    <row r="36" spans="1:10" ht="3" customHeight="1">
      <c r="C36" s="961"/>
      <c r="D36" s="961"/>
      <c r="I36" s="961"/>
    </row>
    <row r="37" spans="1:10" ht="12" customHeight="1">
      <c r="A37" s="1028" t="s">
        <v>3318</v>
      </c>
      <c r="C37" s="961" t="s">
        <v>3152</v>
      </c>
      <c r="D37" s="1083"/>
      <c r="I37" s="961"/>
    </row>
    <row r="38" spans="1:10" ht="12" customHeight="1">
      <c r="C38" s="961" t="s">
        <v>3155</v>
      </c>
      <c r="D38" s="1084"/>
      <c r="I38" s="961"/>
    </row>
    <row r="39" spans="1:10" ht="12" customHeight="1">
      <c r="C39" s="961" t="s">
        <v>3319</v>
      </c>
      <c r="D39" s="1085" t="e">
        <f>#REF!</f>
        <v>#REF!</v>
      </c>
      <c r="I39" s="961"/>
    </row>
    <row r="40" spans="1:10" ht="3" customHeight="1">
      <c r="G40" s="1086"/>
      <c r="H40" s="961"/>
      <c r="I40" s="961"/>
    </row>
    <row r="41" spans="1:10" ht="25.5" customHeight="1">
      <c r="A41" s="1087" t="s">
        <v>3320</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Furnished Library (DCA Pre-Approval in tab 14), Furnished Exercise / Fitness Center, , </v>
      </c>
      <c r="D41" s="1990"/>
      <c r="E41" s="1990"/>
      <c r="F41" s="1990"/>
      <c r="G41" s="1990"/>
      <c r="H41" s="1990"/>
      <c r="I41" s="1990"/>
      <c r="J41" s="1990"/>
    </row>
    <row r="42" spans="1:10" ht="3" customHeight="1">
      <c r="G42" s="961"/>
      <c r="H42" s="961"/>
      <c r="I42" s="961"/>
    </row>
    <row r="43" spans="1:10" ht="25.5" customHeight="1">
      <c r="A43" s="1087" t="s">
        <v>3321</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3322</v>
      </c>
      <c r="C45" s="871" t="str">
        <f>'Part I-Project Information'!$J$29</f>
        <v>Hall</v>
      </c>
      <c r="D45" s="703"/>
      <c r="F45" s="704"/>
      <c r="I45" s="705"/>
      <c r="J45" s="704"/>
    </row>
    <row r="46" spans="1:10" ht="3" customHeight="1">
      <c r="C46" s="703"/>
      <c r="D46" s="703"/>
      <c r="E46" s="703"/>
      <c r="F46" s="704"/>
      <c r="I46" s="705"/>
      <c r="J46" s="704"/>
    </row>
    <row r="47" spans="1:10" ht="12" customHeight="1">
      <c r="A47" s="1028" t="s">
        <v>3323</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3324</v>
      </c>
      <c r="C49" s="961" t="s">
        <v>3325</v>
      </c>
      <c r="D49" s="1089">
        <v>2</v>
      </c>
      <c r="I49" s="1090"/>
      <c r="J49" s="1090"/>
    </row>
    <row r="50" spans="1:10" ht="3" customHeight="1">
      <c r="D50" s="1090"/>
      <c r="E50" s="1090"/>
      <c r="F50" s="1090"/>
      <c r="G50" s="1091"/>
      <c r="H50" s="961"/>
      <c r="I50" s="1090"/>
      <c r="J50" s="1090"/>
    </row>
    <row r="51" spans="1:10" ht="12" customHeight="1">
      <c r="B51" s="1028" t="s">
        <v>3326</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3327</v>
      </c>
      <c r="B54" s="1087"/>
      <c r="C54" s="1092" t="s">
        <v>3328</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3329</v>
      </c>
      <c r="G56" s="961"/>
      <c r="H56" s="961"/>
      <c r="I56" s="961"/>
    </row>
    <row r="57" spans="1:10" ht="18" customHeight="1">
      <c r="A57" s="1028" t="s">
        <v>3330</v>
      </c>
      <c r="C57" s="1076" t="str">
        <f>Overview!C10</f>
        <v>240 Atlanta Street Phase 2 GP, LLC</v>
      </c>
      <c r="G57" s="961"/>
      <c r="I57" s="961"/>
    </row>
    <row r="58" spans="1:10" ht="3" customHeight="1">
      <c r="C58" s="1076"/>
      <c r="G58" s="961"/>
      <c r="I58" s="961"/>
    </row>
    <row r="59" spans="1:10" ht="12" customHeight="1">
      <c r="A59" s="1028" t="s">
        <v>3331</v>
      </c>
      <c r="C59" s="1076" t="str">
        <f>Overview!C11</f>
        <v/>
      </c>
      <c r="G59" s="961"/>
      <c r="I59" s="961"/>
    </row>
    <row r="60" spans="1:10" ht="3" customHeight="1">
      <c r="C60" s="1076"/>
      <c r="G60" s="961"/>
      <c r="I60" s="961"/>
    </row>
    <row r="61" spans="1:10" ht="12" customHeight="1">
      <c r="A61" s="1028" t="s">
        <v>3332</v>
      </c>
      <c r="C61" s="1076" t="s">
        <v>2947</v>
      </c>
      <c r="G61" s="961"/>
      <c r="I61" s="961"/>
    </row>
    <row r="62" spans="1:10" ht="6" customHeight="1">
      <c r="G62" s="961"/>
      <c r="H62" s="961"/>
      <c r="I62" s="961"/>
    </row>
    <row r="63" spans="1:10" ht="12" customHeight="1">
      <c r="A63" s="1074" t="s">
        <v>3333</v>
      </c>
      <c r="G63" s="961"/>
      <c r="H63" s="961"/>
      <c r="I63" s="961"/>
    </row>
    <row r="64" spans="1:10" ht="12" customHeight="1">
      <c r="A64" s="1028" t="s">
        <v>3334</v>
      </c>
      <c r="C64" s="1028" t="s">
        <v>3335</v>
      </c>
      <c r="D64" s="1093">
        <f>'Preview term'!F30</f>
        <v>700000</v>
      </c>
      <c r="G64" s="961"/>
      <c r="I64" s="961"/>
    </row>
    <row r="65" spans="1:10" ht="3" customHeight="1">
      <c r="D65" s="1094"/>
      <c r="G65" s="961"/>
      <c r="H65" s="1095"/>
      <c r="I65" s="961"/>
    </row>
    <row r="66" spans="1:10" ht="12" customHeight="1">
      <c r="A66" s="1028" t="s">
        <v>3336</v>
      </c>
      <c r="C66" s="1028" t="s">
        <v>3338</v>
      </c>
      <c r="D66" s="1076" t="s">
        <v>3337</v>
      </c>
      <c r="G66" s="961"/>
      <c r="I66" s="961"/>
    </row>
    <row r="67" spans="1:10" ht="3" customHeight="1">
      <c r="D67" s="1094"/>
      <c r="G67" s="961"/>
      <c r="H67" s="961"/>
      <c r="I67" s="961"/>
    </row>
    <row r="68" spans="1:10" ht="12" customHeight="1">
      <c r="A68" s="1028" t="s">
        <v>3339</v>
      </c>
      <c r="C68" s="961" t="s">
        <v>1837</v>
      </c>
      <c r="D68" s="1094"/>
      <c r="I68" s="961"/>
    </row>
    <row r="69" spans="1:10" ht="12" customHeight="1">
      <c r="C69" s="1028" t="s">
        <v>3340</v>
      </c>
      <c r="D69" s="1077"/>
      <c r="I69" s="961"/>
    </row>
    <row r="70" spans="1:10" ht="12" customHeight="1">
      <c r="C70" s="1028" t="s">
        <v>3305</v>
      </c>
      <c r="D70" s="1077"/>
      <c r="I70" s="961"/>
    </row>
    <row r="71" spans="1:10" ht="3" customHeight="1">
      <c r="D71" s="1094"/>
      <c r="E71" s="961"/>
      <c r="F71" s="961"/>
      <c r="I71" s="961"/>
    </row>
    <row r="72" spans="1:10" ht="12" customHeight="1">
      <c r="A72" s="1028" t="s">
        <v>3341</v>
      </c>
      <c r="C72" s="1028" t="s">
        <v>2494</v>
      </c>
      <c r="D72" s="1076" t="s">
        <v>1837</v>
      </c>
      <c r="I72" s="961"/>
    </row>
    <row r="73" spans="1:10" ht="3" customHeight="1">
      <c r="D73" s="961"/>
      <c r="E73" s="961"/>
      <c r="I73" s="961"/>
    </row>
    <row r="74" spans="1:10" ht="12" customHeight="1">
      <c r="A74" s="1028" t="s">
        <v>3342</v>
      </c>
      <c r="C74" s="961" t="s">
        <v>1837</v>
      </c>
      <c r="I74" s="961"/>
    </row>
    <row r="75" spans="1:10" ht="3" customHeight="1">
      <c r="C75" s="1094"/>
      <c r="G75" s="1096"/>
      <c r="H75" s="961"/>
      <c r="I75" s="961"/>
    </row>
    <row r="76" spans="1:10" ht="12" customHeight="1">
      <c r="A76" s="1028" t="s">
        <v>3343</v>
      </c>
      <c r="C76" s="1094" t="s">
        <v>3344</v>
      </c>
      <c r="D76" s="1097">
        <v>0</v>
      </c>
      <c r="J76" s="961"/>
    </row>
    <row r="77" spans="1:10" ht="12" customHeight="1">
      <c r="C77" s="1098" t="s">
        <v>3515</v>
      </c>
      <c r="D77" s="1099">
        <v>0.01</v>
      </c>
      <c r="J77" s="961"/>
    </row>
    <row r="78" spans="1:10" ht="3" customHeight="1">
      <c r="C78" s="1094"/>
      <c r="D78" s="1094"/>
      <c r="G78" s="961"/>
      <c r="H78" s="961"/>
      <c r="I78" s="961"/>
    </row>
    <row r="79" spans="1:10" ht="12" customHeight="1">
      <c r="A79" s="1028" t="s">
        <v>3345</v>
      </c>
      <c r="C79" s="1094" t="s">
        <v>3844</v>
      </c>
      <c r="D79" s="1100">
        <v>24</v>
      </c>
      <c r="I79" s="961"/>
    </row>
    <row r="80" spans="1:10" ht="3" customHeight="1">
      <c r="D80" s="1094"/>
      <c r="E80" s="961"/>
      <c r="F80" s="961"/>
      <c r="I80" s="961"/>
    </row>
    <row r="81" spans="1:9" ht="12" customHeight="1">
      <c r="A81" s="1028" t="s">
        <v>3346</v>
      </c>
      <c r="C81" s="1028" t="s">
        <v>2494</v>
      </c>
      <c r="D81" s="1101">
        <f>'Preview term'!F39</f>
        <v>216</v>
      </c>
      <c r="E81" s="961" t="s">
        <v>3793</v>
      </c>
      <c r="I81" s="961"/>
    </row>
    <row r="82" spans="1:9" ht="3" customHeight="1">
      <c r="D82" s="1094"/>
      <c r="G82" s="961"/>
      <c r="H82" s="961"/>
      <c r="I82" s="961"/>
    </row>
    <row r="83" spans="1:9" ht="12" customHeight="1">
      <c r="A83" s="1028" t="s">
        <v>3347</v>
      </c>
      <c r="D83" s="1102">
        <v>0</v>
      </c>
      <c r="E83" s="1103">
        <f>D83*12</f>
        <v>0</v>
      </c>
      <c r="F83" s="961" t="s">
        <v>3845</v>
      </c>
    </row>
    <row r="84" spans="1:9" ht="3" customHeight="1">
      <c r="D84" s="1076"/>
      <c r="E84" s="961"/>
      <c r="G84" s="961"/>
    </row>
    <row r="85" spans="1:9" ht="12" customHeight="1">
      <c r="A85" s="1028" t="s">
        <v>3348</v>
      </c>
      <c r="D85" s="1104" t="s">
        <v>3337</v>
      </c>
      <c r="E85" s="961" t="s">
        <v>3349</v>
      </c>
      <c r="G85" s="961"/>
    </row>
    <row r="86" spans="1:9" ht="3" customHeight="1">
      <c r="G86" s="961"/>
      <c r="H86" s="961"/>
      <c r="I86" s="961"/>
    </row>
    <row r="87" spans="1:9" ht="12" customHeight="1">
      <c r="A87" s="1028" t="s">
        <v>3350</v>
      </c>
      <c r="C87" s="1093">
        <f>'Part VII-Pro Forma'!$K$67</f>
        <v>700000</v>
      </c>
      <c r="D87" s="1105" t="s">
        <v>3789</v>
      </c>
      <c r="I87" s="961"/>
    </row>
    <row r="88" spans="1:9" ht="3" customHeight="1">
      <c r="C88" s="961" t="s">
        <v>1837</v>
      </c>
      <c r="D88" s="961"/>
      <c r="E88" s="961"/>
      <c r="I88" s="961"/>
    </row>
    <row r="89" spans="1:9" ht="12" customHeight="1">
      <c r="A89" s="1028" t="s">
        <v>3351</v>
      </c>
      <c r="B89" s="1106"/>
      <c r="C89" s="961" t="s">
        <v>3352</v>
      </c>
      <c r="I89" s="961"/>
    </row>
    <row r="90" spans="1:9" ht="3" customHeight="1">
      <c r="G90" s="961"/>
      <c r="H90" s="961"/>
      <c r="I90" s="961"/>
    </row>
    <row r="91" spans="1:9" ht="12" customHeight="1">
      <c r="A91" s="1028" t="s">
        <v>3353</v>
      </c>
      <c r="C91" s="1094" t="s">
        <v>3354</v>
      </c>
      <c r="D91" s="1076" t="s">
        <v>3280</v>
      </c>
      <c r="I91" s="961"/>
    </row>
    <row r="92" spans="1:9" ht="12" customHeight="1">
      <c r="C92" s="1094" t="s">
        <v>3355</v>
      </c>
      <c r="D92" s="1076" t="s">
        <v>3337</v>
      </c>
      <c r="I92" s="961"/>
    </row>
    <row r="93" spans="1:9" ht="3" customHeight="1">
      <c r="G93" s="961"/>
      <c r="H93" s="961"/>
      <c r="I93" s="961"/>
    </row>
    <row r="94" spans="1:9" ht="12" customHeight="1">
      <c r="A94" s="1028" t="s">
        <v>3356</v>
      </c>
      <c r="C94" s="1094" t="s">
        <v>3344</v>
      </c>
      <c r="D94" s="961" t="s">
        <v>3357</v>
      </c>
      <c r="E94" s="1094" t="str">
        <f>'Part III-Sources of Funds'!H19</f>
        <v>Gainesville Housing Corporation RHF Funds</v>
      </c>
      <c r="I94" s="961"/>
    </row>
    <row r="95" spans="1:9" ht="12" customHeight="1">
      <c r="C95" s="1094"/>
      <c r="D95" s="961"/>
      <c r="E95" s="1094" t="s">
        <v>1863</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1866</v>
      </c>
      <c r="F97" s="1996"/>
      <c r="G97" s="1996"/>
      <c r="H97" s="1996"/>
      <c r="I97" s="961"/>
    </row>
    <row r="98" spans="1:10" ht="12" customHeight="1">
      <c r="B98" s="1079" t="s">
        <v>3358</v>
      </c>
      <c r="C98" s="1098" t="s">
        <v>3515</v>
      </c>
      <c r="D98" s="961" t="s">
        <v>3357</v>
      </c>
      <c r="E98" s="1094" t="str">
        <f>'Part III-Sources of Funds'!E37</f>
        <v>Gainesville Housing Corporation RHF</v>
      </c>
      <c r="I98" s="961"/>
    </row>
    <row r="99" spans="1:10" ht="12" customHeight="1">
      <c r="C99" s="1094"/>
      <c r="D99" s="961"/>
      <c r="E99" s="1094" t="s">
        <v>1863</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3359</v>
      </c>
      <c r="D103" s="1108" t="str">
        <f>'Part IX A-Scoring Criteria'!O208</f>
        <v>Yes</v>
      </c>
      <c r="E103" s="961" t="s">
        <v>3337</v>
      </c>
      <c r="G103" s="1028">
        <f>'Part IX A-Scoring Criteria'!P207</f>
        <v>0</v>
      </c>
      <c r="H103" s="1028" t="s">
        <v>3790</v>
      </c>
      <c r="I103" s="961"/>
    </row>
    <row r="104" spans="1:10" ht="3" customHeight="1">
      <c r="E104" s="961"/>
      <c r="F104" s="961"/>
      <c r="I104" s="961"/>
    </row>
    <row r="105" spans="1:10" ht="12" customHeight="1">
      <c r="A105" s="961" t="s">
        <v>3516</v>
      </c>
      <c r="D105" s="1028" t="s">
        <v>3337</v>
      </c>
      <c r="E105" s="961"/>
      <c r="I105" s="961"/>
    </row>
    <row r="106" spans="1:10" ht="6" customHeight="1">
      <c r="G106" s="961"/>
      <c r="H106" s="961"/>
      <c r="I106" s="961"/>
    </row>
    <row r="107" spans="1:10" ht="12" customHeight="1">
      <c r="A107" s="1074" t="s">
        <v>3517</v>
      </c>
      <c r="I107" s="961"/>
    </row>
    <row r="108" spans="1:10" ht="12" customHeight="1">
      <c r="A108" s="1028" t="s">
        <v>3360</v>
      </c>
      <c r="C108" s="1076" t="s">
        <v>1837</v>
      </c>
      <c r="D108" s="1991"/>
      <c r="E108" s="1991"/>
      <c r="F108" s="1991"/>
      <c r="G108" s="1991"/>
      <c r="H108" s="1991"/>
      <c r="I108" s="1991"/>
      <c r="J108" s="1991"/>
    </row>
    <row r="109" spans="1:10" ht="3" customHeight="1">
      <c r="C109" s="1094"/>
      <c r="D109" s="961"/>
      <c r="I109" s="961"/>
    </row>
    <row r="110" spans="1:10" ht="12" customHeight="1">
      <c r="A110" s="1028" t="s">
        <v>3361</v>
      </c>
      <c r="C110" s="1076" t="s">
        <v>1837</v>
      </c>
    </row>
    <row r="111" spans="1:10" ht="3" customHeight="1">
      <c r="C111" s="1094"/>
      <c r="E111" s="961"/>
      <c r="F111" s="961"/>
      <c r="I111" s="961"/>
    </row>
    <row r="112" spans="1:10" ht="12" customHeight="1">
      <c r="A112" s="1028" t="s">
        <v>3362</v>
      </c>
      <c r="C112" s="1076" t="s">
        <v>1837</v>
      </c>
      <c r="I112" s="961"/>
    </row>
    <row r="113" spans="1:9" ht="3" customHeight="1">
      <c r="D113" s="1086"/>
      <c r="I113" s="961"/>
    </row>
    <row r="114" spans="1:9" ht="12" customHeight="1">
      <c r="A114" s="1028" t="s">
        <v>3363</v>
      </c>
      <c r="D114" s="1101">
        <v>24</v>
      </c>
      <c r="E114" s="961" t="s">
        <v>3364</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3365</v>
      </c>
      <c r="D118" s="1109">
        <v>0</v>
      </c>
      <c r="E118" s="1110" t="s">
        <v>3366</v>
      </c>
      <c r="I118" s="961"/>
    </row>
    <row r="119" spans="1:9" ht="3" customHeight="1">
      <c r="D119" s="1094"/>
      <c r="E119" s="961"/>
      <c r="F119" s="961"/>
      <c r="I119" s="961"/>
    </row>
    <row r="120" spans="1:9" ht="12" customHeight="1">
      <c r="A120" s="1028" t="s">
        <v>3367</v>
      </c>
      <c r="C120" s="961" t="s">
        <v>1837</v>
      </c>
      <c r="D120" s="1111"/>
      <c r="I120" s="961"/>
    </row>
    <row r="121" spans="1:9" ht="12" customHeight="1">
      <c r="C121" s="961" t="s">
        <v>3368</v>
      </c>
      <c r="D121" s="1108"/>
      <c r="I121" s="961"/>
    </row>
    <row r="122" spans="1:9" ht="12" customHeight="1">
      <c r="C122" s="961" t="s">
        <v>3369</v>
      </c>
      <c r="D122" s="1077"/>
      <c r="I122" s="961"/>
    </row>
    <row r="123" spans="1:9" ht="12" customHeight="1">
      <c r="C123" s="961" t="s">
        <v>3370</v>
      </c>
      <c r="D123" s="1077"/>
      <c r="I123" s="961"/>
    </row>
    <row r="124" spans="1:9" ht="3" customHeight="1">
      <c r="E124" s="961"/>
      <c r="F124" s="961"/>
      <c r="I124" s="961"/>
    </row>
    <row r="125" spans="1:9" ht="12" customHeight="1">
      <c r="A125" s="1028" t="s">
        <v>3371</v>
      </c>
      <c r="D125" s="1112" t="s">
        <v>3337</v>
      </c>
      <c r="I125" s="961"/>
    </row>
    <row r="126" spans="1:9" ht="3" customHeight="1">
      <c r="D126" s="961"/>
      <c r="I126" s="961"/>
    </row>
    <row r="127" spans="1:9" ht="12" customHeight="1">
      <c r="A127" s="1028" t="s">
        <v>3372</v>
      </c>
      <c r="D127" s="961" t="s">
        <v>3337</v>
      </c>
      <c r="I127" s="961"/>
    </row>
    <row r="128" spans="1:9" ht="3" customHeight="1">
      <c r="G128" s="961"/>
      <c r="H128" s="961"/>
      <c r="I128" s="961"/>
    </row>
    <row r="129" spans="1:10" ht="12" customHeight="1">
      <c r="A129" s="1028" t="s">
        <v>3373</v>
      </c>
      <c r="D129" s="961" t="s">
        <v>3374</v>
      </c>
      <c r="G129" s="961"/>
      <c r="I129" s="961"/>
    </row>
    <row r="130" spans="1:10" ht="7.5" customHeight="1">
      <c r="G130" s="961"/>
      <c r="H130" s="961"/>
      <c r="I130" s="961"/>
    </row>
    <row r="131" spans="1:10" ht="12" customHeight="1">
      <c r="A131" s="1074" t="s">
        <v>3375</v>
      </c>
      <c r="G131" s="961"/>
      <c r="H131" s="961"/>
      <c r="I131" s="961"/>
    </row>
    <row r="132" spans="1:10" ht="12" customHeight="1">
      <c r="A132" s="1028" t="s">
        <v>3376</v>
      </c>
      <c r="C132" s="1076" t="str">
        <f>Overview!H11</f>
        <v>Gainesville Housing Corporation</v>
      </c>
      <c r="G132" s="961"/>
      <c r="I132" s="961"/>
    </row>
    <row r="133" spans="1:10" ht="12" customHeight="1">
      <c r="C133" s="1076" t="str">
        <f>Overview!K11</f>
        <v>KDTA Development, Inc.</v>
      </c>
      <c r="G133" s="961"/>
      <c r="I133" s="961"/>
    </row>
    <row r="134" spans="1:10" ht="3" customHeight="1">
      <c r="C134" s="961"/>
      <c r="G134" s="961"/>
      <c r="I134" s="961"/>
    </row>
    <row r="135" spans="1:10" ht="12" customHeight="1">
      <c r="A135" s="1028" t="s">
        <v>3377</v>
      </c>
      <c r="C135" s="1113">
        <f>('Part IV-Uses of Funds'!G117-'Part III-Sources of Funds'!I42)/2</f>
        <v>832424</v>
      </c>
      <c r="G135" s="961"/>
      <c r="I135" s="961"/>
    </row>
    <row r="136" spans="1:10" ht="3" customHeight="1">
      <c r="C136" s="961"/>
      <c r="G136" s="961"/>
      <c r="I136" s="961"/>
    </row>
    <row r="137" spans="1:10" ht="12" customHeight="1">
      <c r="A137" s="1028" t="s">
        <v>3378</v>
      </c>
      <c r="C137" s="1104" t="s">
        <v>3379</v>
      </c>
      <c r="G137" s="961"/>
      <c r="I137" s="961"/>
    </row>
    <row r="138" spans="1:10" ht="3" customHeight="1">
      <c r="C138" s="1076"/>
      <c r="G138" s="961"/>
      <c r="I138" s="961"/>
    </row>
    <row r="139" spans="1:10" ht="12" customHeight="1">
      <c r="A139" s="1028" t="s">
        <v>3380</v>
      </c>
      <c r="C139" s="1076" t="str">
        <f>'Preview term'!E19</f>
        <v>Walton Communities, LLC</v>
      </c>
      <c r="G139" s="961"/>
      <c r="I139" s="961"/>
      <c r="J139" s="1114"/>
    </row>
    <row r="140" spans="1:10" ht="3" customHeight="1">
      <c r="C140" s="1076"/>
      <c r="G140" s="961"/>
      <c r="I140" s="961"/>
    </row>
    <row r="141" spans="1:10" ht="12" customHeight="1">
      <c r="A141" s="1028" t="s">
        <v>3381</v>
      </c>
      <c r="C141" s="1078" t="str">
        <f>C8</f>
        <v>240 Atlanta Street Phase 2, L.P.</v>
      </c>
      <c r="G141" s="961"/>
      <c r="I141" s="1075"/>
      <c r="J141" s="1115"/>
    </row>
    <row r="142" spans="1:10" ht="3" customHeight="1">
      <c r="C142" s="1078"/>
      <c r="G142" s="961"/>
      <c r="I142" s="1075"/>
      <c r="J142" s="1115"/>
    </row>
    <row r="143" spans="1:10" ht="12" customHeight="1">
      <c r="A143" s="1028" t="s">
        <v>3382</v>
      </c>
      <c r="C143" s="1078" t="str">
        <f>C132</f>
        <v>Gainesville Housing Corporation</v>
      </c>
      <c r="G143" s="961"/>
      <c r="I143" s="1075"/>
      <c r="J143" s="1115"/>
    </row>
    <row r="144" spans="1:10">
      <c r="C144" s="1078" t="str">
        <f>'Part II-Development Team'!$H$55&amp;", "&amp;'Part II-Development Team'!$H$56&amp;", "&amp;'Part II-Development Team'!$H$57&amp;"  "&amp;'Part II-Development Team'!$J$57</f>
        <v xml:space="preserve">750 Pearl Nix Parkway, Gainesville, GA  </v>
      </c>
      <c r="G144" s="961"/>
      <c r="I144" s="1075"/>
      <c r="J144" s="1115"/>
    </row>
    <row r="145" spans="1:10" ht="3" customHeight="1">
      <c r="C145" s="1116"/>
      <c r="G145" s="961"/>
      <c r="I145" s="1075"/>
      <c r="J145" s="1115"/>
    </row>
    <row r="146" spans="1:10" ht="12" customHeight="1">
      <c r="A146" s="1028" t="s">
        <v>3383</v>
      </c>
      <c r="C146" s="1078" t="str">
        <f>Overview!H10</f>
        <v>Wells Fargo Community Lending and Investment</v>
      </c>
      <c r="G146" s="961"/>
      <c r="I146" s="1075"/>
      <c r="J146" s="1114"/>
    </row>
    <row r="147" spans="1:10" ht="3" customHeight="1">
      <c r="C147" s="1078"/>
      <c r="G147" s="961"/>
      <c r="I147" s="1075"/>
      <c r="J147" s="1115"/>
    </row>
    <row r="148" spans="1:10" ht="12" customHeight="1">
      <c r="A148" s="1028" t="s">
        <v>3384</v>
      </c>
      <c r="C148" s="1078" t="str">
        <f>Overview!K10</f>
        <v>240 Atlanta Street Phase 2 Walton Limited, LLC</v>
      </c>
      <c r="G148" s="961"/>
      <c r="I148" s="1075"/>
      <c r="J148" s="1114"/>
    </row>
    <row r="149" spans="1:10" ht="3" customHeight="1">
      <c r="C149" s="1116"/>
      <c r="G149" s="961"/>
      <c r="I149" s="1075"/>
      <c r="J149" s="1115"/>
    </row>
    <row r="150" spans="1:10" ht="12" customHeight="1">
      <c r="A150" s="1028" t="s">
        <v>3385</v>
      </c>
      <c r="C150" s="1117" t="s">
        <v>3337</v>
      </c>
      <c r="G150" s="961"/>
      <c r="I150" s="961"/>
    </row>
    <row r="151" spans="1:10" ht="3" customHeight="1">
      <c r="C151" s="1117"/>
      <c r="G151" s="961"/>
      <c r="I151" s="961"/>
    </row>
    <row r="152" spans="1:10" ht="12" customHeight="1">
      <c r="A152" s="1028" t="s">
        <v>3386</v>
      </c>
      <c r="C152" s="1117" t="s">
        <v>3337</v>
      </c>
      <c r="G152" s="961"/>
      <c r="I152" s="961"/>
    </row>
    <row r="153" spans="1:10" ht="7.5" customHeight="1">
      <c r="G153" s="961"/>
      <c r="H153" s="961"/>
      <c r="I153" s="961"/>
    </row>
    <row r="154" spans="1:10" ht="12" customHeight="1">
      <c r="A154" s="1074" t="s">
        <v>3387</v>
      </c>
      <c r="G154" s="961"/>
      <c r="H154" s="961"/>
      <c r="I154" s="961"/>
    </row>
    <row r="155" spans="1:10" ht="3" customHeight="1">
      <c r="D155" s="961"/>
      <c r="E155" s="961"/>
      <c r="G155" s="961"/>
    </row>
    <row r="156" spans="1:10" ht="12" customHeight="1">
      <c r="A156" s="1028" t="s">
        <v>3388</v>
      </c>
      <c r="C156" s="961" t="s">
        <v>3794</v>
      </c>
      <c r="D156" s="961"/>
      <c r="G156" s="961"/>
      <c r="H156" s="961"/>
      <c r="I156" s="961"/>
    </row>
    <row r="157" spans="1:10" ht="3" customHeight="1">
      <c r="D157" s="961"/>
      <c r="E157" s="961"/>
      <c r="G157" s="961"/>
    </row>
    <row r="158" spans="1:10" ht="12" customHeight="1">
      <c r="A158" s="1028" t="s">
        <v>3389</v>
      </c>
      <c r="D158" s="1104">
        <v>20</v>
      </c>
      <c r="E158" s="961" t="s">
        <v>2494</v>
      </c>
    </row>
    <row r="159" spans="1:10" ht="3" customHeight="1">
      <c r="D159" s="961"/>
      <c r="E159" s="961"/>
      <c r="G159" s="961"/>
    </row>
    <row r="160" spans="1:10" ht="12" customHeight="1">
      <c r="A160" s="1028" t="s">
        <v>3390</v>
      </c>
      <c r="C160" s="961" t="s">
        <v>1837</v>
      </c>
      <c r="D160" s="961" t="s">
        <v>3846</v>
      </c>
      <c r="G160" s="961"/>
    </row>
    <row r="161" spans="1:13" ht="3" customHeight="1">
      <c r="G161" s="961"/>
      <c r="H161" s="961"/>
      <c r="I161" s="961"/>
    </row>
    <row r="162" spans="1:13" ht="12" customHeight="1">
      <c r="A162" s="1028" t="s">
        <v>3391</v>
      </c>
      <c r="G162" s="961"/>
      <c r="H162" s="961"/>
      <c r="I162" s="961"/>
    </row>
    <row r="163" spans="1:13" ht="7.5" customHeight="1">
      <c r="G163" s="961"/>
      <c r="H163" s="961"/>
      <c r="I163" s="961"/>
    </row>
    <row r="164" spans="1:13" ht="12" customHeight="1">
      <c r="A164" s="1074" t="s">
        <v>3392</v>
      </c>
      <c r="G164" s="961"/>
      <c r="H164" s="961"/>
      <c r="I164" s="961"/>
    </row>
    <row r="165" spans="1:13" ht="12" customHeight="1">
      <c r="A165" s="1028" t="s">
        <v>3507</v>
      </c>
      <c r="C165" s="1028" t="s">
        <v>3508</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3393</v>
      </c>
      <c r="C168" s="1028" t="s">
        <v>3394</v>
      </c>
      <c r="E168" s="1118">
        <f>'Preview term'!F71</f>
        <v>205405</v>
      </c>
      <c r="G168" s="961"/>
      <c r="I168" s="961"/>
    </row>
    <row r="169" spans="1:13" ht="12" customHeight="1">
      <c r="C169" s="1028" t="s">
        <v>3795</v>
      </c>
      <c r="I169" s="961"/>
    </row>
    <row r="170" spans="1:13" ht="12" customHeight="1">
      <c r="C170" s="1028" t="s">
        <v>3395</v>
      </c>
      <c r="E170" s="1076" t="s">
        <v>2947</v>
      </c>
      <c r="G170" s="961"/>
      <c r="I170" s="961"/>
    </row>
    <row r="171" spans="1:13" ht="3" customHeight="1">
      <c r="E171" s="1076"/>
      <c r="G171" s="961"/>
      <c r="I171" s="961"/>
    </row>
    <row r="172" spans="1:13" ht="12" customHeight="1">
      <c r="A172" s="1028" t="s">
        <v>3509</v>
      </c>
      <c r="C172" s="1028" t="s">
        <v>3510</v>
      </c>
      <c r="E172" s="1118">
        <f>'Preview term'!F73</f>
        <v>0</v>
      </c>
      <c r="G172" s="961"/>
      <c r="I172" s="961"/>
    </row>
    <row r="173" spans="1:13" ht="12" customHeight="1">
      <c r="C173" s="1028" t="s">
        <v>3396</v>
      </c>
      <c r="E173" s="1118">
        <f>'Preview term'!F74</f>
        <v>0</v>
      </c>
      <c r="G173" s="961"/>
      <c r="I173" s="1075"/>
      <c r="J173" s="1115"/>
      <c r="K173" s="1115"/>
      <c r="L173" s="1115"/>
      <c r="M173" s="1115"/>
    </row>
    <row r="174" spans="1:13" ht="12" customHeight="1">
      <c r="C174" s="1028" t="s">
        <v>3397</v>
      </c>
      <c r="E174" s="1113" t="e">
        <f>#REF!</f>
        <v>#REF!</v>
      </c>
      <c r="F174" s="1075" t="s">
        <v>3398</v>
      </c>
      <c r="J174" s="1115"/>
      <c r="K174" s="1115"/>
      <c r="L174" s="1115"/>
      <c r="M174" s="1115"/>
    </row>
    <row r="175" spans="1:13">
      <c r="E175" s="1118" t="e">
        <f>E174/12</f>
        <v>#REF!</v>
      </c>
      <c r="F175" s="961" t="s">
        <v>3241</v>
      </c>
    </row>
    <row r="176" spans="1:13" ht="12" customHeight="1">
      <c r="C176" s="1028" t="s">
        <v>3796</v>
      </c>
      <c r="I176" s="961"/>
    </row>
    <row r="177" spans="1:10" ht="12" customHeight="1">
      <c r="C177" s="1028" t="s">
        <v>3399</v>
      </c>
      <c r="E177" s="961" t="s">
        <v>3152</v>
      </c>
      <c r="I177" s="961"/>
    </row>
    <row r="178" spans="1:10" ht="12" customHeight="1">
      <c r="C178" s="1028" t="s">
        <v>3400</v>
      </c>
      <c r="E178" s="961" t="s">
        <v>2947</v>
      </c>
      <c r="I178" s="961"/>
    </row>
    <row r="179" spans="1:10" ht="3" customHeight="1">
      <c r="E179" s="961"/>
      <c r="F179" s="961"/>
      <c r="I179" s="961"/>
    </row>
    <row r="180" spans="1:10" ht="12" customHeight="1">
      <c r="A180" s="1028" t="s">
        <v>3505</v>
      </c>
      <c r="C180" s="1028" t="s">
        <v>3506</v>
      </c>
      <c r="E180" s="1076" t="s">
        <v>1837</v>
      </c>
      <c r="F180" s="1119"/>
      <c r="I180" s="961"/>
    </row>
    <row r="181" spans="1:10" ht="12" customHeight="1">
      <c r="C181" s="1028" t="s">
        <v>3401</v>
      </c>
      <c r="E181" s="1076" t="s">
        <v>1837</v>
      </c>
      <c r="F181" s="2000"/>
      <c r="G181" s="2000"/>
      <c r="H181" s="2000"/>
      <c r="I181" s="2000"/>
      <c r="J181" s="2000"/>
    </row>
    <row r="182" spans="1:10" ht="12" customHeight="1">
      <c r="C182" s="1028" t="s">
        <v>3797</v>
      </c>
      <c r="E182" s="961" t="s">
        <v>3337</v>
      </c>
      <c r="I182" s="961"/>
    </row>
    <row r="183" spans="1:10" ht="12" customHeight="1">
      <c r="C183" s="1028" t="s">
        <v>3402</v>
      </c>
      <c r="E183" s="961" t="s">
        <v>2947</v>
      </c>
      <c r="I183" s="961"/>
    </row>
    <row r="184" spans="1:10" ht="3" customHeight="1">
      <c r="G184" s="961"/>
      <c r="H184" s="961"/>
      <c r="I184" s="961"/>
    </row>
    <row r="185" spans="1:10" ht="12" customHeight="1">
      <c r="A185" s="1028" t="s">
        <v>3511</v>
      </c>
      <c r="C185" s="1028" t="s">
        <v>3512</v>
      </c>
      <c r="E185" s="1118">
        <f>'Preview term'!F75</f>
        <v>102702</v>
      </c>
      <c r="G185" s="961"/>
      <c r="I185" s="961"/>
    </row>
    <row r="186" spans="1:10" ht="12" customHeight="1">
      <c r="C186" s="1028" t="s">
        <v>3795</v>
      </c>
      <c r="E186" s="1076">
        <f>E169</f>
        <v>0</v>
      </c>
      <c r="G186" s="961"/>
      <c r="I186" s="961"/>
    </row>
    <row r="187" spans="1:10" ht="12" customHeight="1">
      <c r="C187" s="1028" t="s">
        <v>3403</v>
      </c>
      <c r="E187" s="1076" t="s">
        <v>3337</v>
      </c>
      <c r="G187" s="961"/>
      <c r="I187" s="961"/>
    </row>
    <row r="188" spans="1:10" ht="3" customHeight="1">
      <c r="E188" s="1076"/>
      <c r="G188" s="961"/>
      <c r="I188" s="961"/>
    </row>
    <row r="189" spans="1:10" ht="12" customHeight="1">
      <c r="A189" s="1028" t="s">
        <v>3513</v>
      </c>
      <c r="C189" s="1028" t="s">
        <v>3514</v>
      </c>
      <c r="E189" s="1076" t="s">
        <v>3337</v>
      </c>
      <c r="G189" s="961"/>
      <c r="I189" s="961"/>
    </row>
    <row r="190" spans="1:10" ht="12" customHeight="1">
      <c r="C190" s="1028" t="s">
        <v>3394</v>
      </c>
      <c r="E190" s="1094"/>
      <c r="G190" s="961"/>
      <c r="H190" s="1103"/>
      <c r="I190" s="961"/>
    </row>
    <row r="191" spans="1:10" ht="12" customHeight="1">
      <c r="C191" s="1028" t="s">
        <v>3795</v>
      </c>
      <c r="E191" s="1094"/>
      <c r="I191" s="1076"/>
    </row>
    <row r="192" spans="1:10" ht="12" customHeight="1">
      <c r="C192" s="1028" t="s">
        <v>3395</v>
      </c>
      <c r="E192" s="1094"/>
      <c r="G192" s="961"/>
      <c r="H192" s="961"/>
      <c r="I192" s="961"/>
    </row>
    <row r="193" spans="1:10" ht="9" customHeight="1">
      <c r="G193" s="961"/>
      <c r="H193" s="961"/>
      <c r="I193" s="961"/>
    </row>
    <row r="194" spans="1:10" ht="12" customHeight="1">
      <c r="A194" s="1074" t="s">
        <v>3404</v>
      </c>
      <c r="C194" s="961" t="s">
        <v>3405</v>
      </c>
      <c r="E194" s="961"/>
      <c r="I194" s="961"/>
    </row>
    <row r="195" spans="1:10" ht="9" customHeight="1">
      <c r="E195" s="961"/>
      <c r="F195" s="961"/>
      <c r="I195" s="961"/>
    </row>
    <row r="196" spans="1:10" ht="12" customHeight="1">
      <c r="A196" s="1074" t="s">
        <v>3406</v>
      </c>
      <c r="E196" s="961"/>
      <c r="F196" s="961"/>
      <c r="I196" s="961"/>
    </row>
    <row r="197" spans="1:10" ht="12" customHeight="1">
      <c r="A197" s="1028" t="s">
        <v>3407</v>
      </c>
      <c r="C197" s="961" t="s">
        <v>1837</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3504</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3408</v>
      </c>
      <c r="G204" s="961"/>
      <c r="H204" s="961"/>
      <c r="I204" s="961"/>
    </row>
    <row r="205" spans="1:10" ht="3" customHeight="1">
      <c r="G205" s="961"/>
      <c r="H205" s="961"/>
      <c r="I205" s="961"/>
    </row>
    <row r="206" spans="1:10" ht="76.5" customHeight="1">
      <c r="A206" s="1988" t="s">
        <v>3099</v>
      </c>
      <c r="B206" s="1988"/>
      <c r="C206" s="1988"/>
      <c r="D206" s="1988"/>
      <c r="E206" s="1988"/>
      <c r="F206" s="1988"/>
      <c r="G206" s="1988"/>
      <c r="H206" s="1988"/>
      <c r="I206" s="1988"/>
      <c r="J206" s="1988"/>
    </row>
    <row r="207" spans="1:10">
      <c r="A207" s="961" t="s">
        <v>3100</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3409</v>
      </c>
      <c r="H1" s="1079" t="str">
        <f>Overview!C8</f>
        <v>240 Atlanta Street Development Phase 2</v>
      </c>
    </row>
    <row r="2" spans="1:11">
      <c r="A2" s="961" t="s">
        <v>3410</v>
      </c>
    </row>
    <row r="3" spans="1:11" ht="3" customHeight="1"/>
    <row r="4" spans="1:11" ht="51.75" customHeight="1">
      <c r="A4" s="1989" t="s">
        <v>3521</v>
      </c>
      <c r="B4" s="1989"/>
      <c r="C4" s="1989"/>
      <c r="D4" s="1989"/>
      <c r="E4" s="1989"/>
      <c r="F4" s="1989"/>
      <c r="G4" s="1989"/>
      <c r="H4" s="1989"/>
      <c r="J4" s="1121">
        <f>SUM('Part VII-Pro Forma'!B14:B16)/12</f>
        <v>43002.883800000003</v>
      </c>
      <c r="K4" s="1028" t="s">
        <v>3847</v>
      </c>
    </row>
    <row r="5" spans="1:11" ht="1.5" customHeight="1">
      <c r="C5" s="1122"/>
      <c r="D5" s="1122"/>
      <c r="E5" s="1122"/>
      <c r="F5" s="1122"/>
      <c r="G5" s="1122"/>
      <c r="H5" s="1122"/>
    </row>
    <row r="6" spans="1:11" ht="12.75" customHeight="1">
      <c r="B6" s="1123" t="s">
        <v>2520</v>
      </c>
      <c r="C6" s="1989" t="s">
        <v>3411</v>
      </c>
      <c r="D6" s="1989"/>
      <c r="E6" s="1989"/>
      <c r="F6" s="1989"/>
      <c r="G6" s="1989"/>
      <c r="H6" s="1989"/>
    </row>
    <row r="7" spans="1:11" ht="12.75" customHeight="1">
      <c r="B7" s="1123" t="s">
        <v>2521</v>
      </c>
      <c r="C7" s="1989" t="s">
        <v>3412</v>
      </c>
      <c r="D7" s="1989"/>
      <c r="E7" s="1989"/>
      <c r="F7" s="1989"/>
      <c r="G7" s="1989"/>
      <c r="H7" s="1989"/>
    </row>
    <row r="8" spans="1:11" ht="3" customHeight="1"/>
    <row r="9" spans="1:11">
      <c r="A9" s="1028" t="s">
        <v>3413</v>
      </c>
    </row>
    <row r="10" spans="1:11" ht="1.5" customHeight="1"/>
    <row r="11" spans="1:11" ht="26.25" customHeight="1">
      <c r="A11" s="1124" t="s">
        <v>2058</v>
      </c>
      <c r="B11" s="2008" t="s">
        <v>3518</v>
      </c>
      <c r="C11" s="2008"/>
      <c r="D11" s="2008"/>
      <c r="E11" s="2008"/>
      <c r="F11" s="2008"/>
      <c r="G11" s="2005">
        <f>'Part III-Sources of Funds'!I45+'Part III-Sources of Funds'!I46</f>
        <v>12670000</v>
      </c>
      <c r="H11" s="2005"/>
    </row>
    <row r="12" spans="1:11" ht="1.5" customHeight="1">
      <c r="G12" s="1087"/>
      <c r="H12" s="1087"/>
    </row>
    <row r="13" spans="1:11" ht="26.25" customHeight="1">
      <c r="A13" s="1124" t="s">
        <v>2061</v>
      </c>
      <c r="B13" s="2008" t="s">
        <v>3519</v>
      </c>
      <c r="C13" s="2008"/>
      <c r="D13" s="2008"/>
      <c r="E13" s="2008"/>
      <c r="F13" s="2008"/>
      <c r="G13" s="2007" t="s">
        <v>3337</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3523</v>
      </c>
      <c r="F16" s="1115"/>
      <c r="G16" s="2006" t="s">
        <v>3155</v>
      </c>
      <c r="H16" s="2006"/>
    </row>
    <row r="17" spans="1:8" ht="1.5" customHeight="1">
      <c r="G17" s="1094"/>
    </row>
    <row r="18" spans="1:8" ht="12" customHeight="1">
      <c r="A18" s="1124" t="s">
        <v>2193</v>
      </c>
      <c r="B18" s="1087" t="s">
        <v>3520</v>
      </c>
      <c r="C18" s="1124"/>
      <c r="D18" s="1124"/>
      <c r="E18" s="1124"/>
      <c r="G18" s="1990" t="s">
        <v>2947</v>
      </c>
      <c r="H18" s="1990"/>
    </row>
    <row r="19" spans="1:8" ht="12" customHeight="1">
      <c r="B19" s="1990"/>
      <c r="C19" s="1990"/>
      <c r="D19" s="1990"/>
      <c r="E19" s="1990"/>
      <c r="F19" s="1990"/>
      <c r="G19" s="1990"/>
      <c r="H19" s="1990"/>
    </row>
    <row r="20" spans="1:8" ht="13.5" customHeight="1"/>
    <row r="21" spans="1:8" ht="12" customHeight="1">
      <c r="A21" s="961"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4"/>
    </row>
    <row r="26" spans="1:8">
      <c r="A26" s="1094" t="s">
        <v>3524</v>
      </c>
      <c r="B26" s="1125"/>
      <c r="C26" s="1094" t="s">
        <v>3525</v>
      </c>
      <c r="D26" s="1126" t="s">
        <v>3806</v>
      </c>
    </row>
    <row r="27" spans="1:8" ht="6" customHeight="1"/>
    <row r="28" spans="1:8" ht="12.75" customHeight="1">
      <c r="C28" s="1087" t="s">
        <v>3416</v>
      </c>
      <c r="D28" s="1127" t="s">
        <v>2062</v>
      </c>
      <c r="E28" s="1128"/>
      <c r="F28" s="1989" t="s">
        <v>3417</v>
      </c>
      <c r="G28" s="1989"/>
      <c r="H28" s="1989"/>
    </row>
    <row r="29" spans="1:8" ht="12.75" customHeight="1">
      <c r="C29" s="1129" t="s">
        <v>1403</v>
      </c>
      <c r="D29" s="1127" t="s">
        <v>2064</v>
      </c>
      <c r="E29" s="1989" t="s">
        <v>3529</v>
      </c>
      <c r="F29" s="1989"/>
      <c r="G29" s="1989"/>
      <c r="H29" s="1989"/>
    </row>
    <row r="30" spans="1:8" ht="12.75" customHeight="1">
      <c r="E30" s="1989" t="s">
        <v>3802</v>
      </c>
      <c r="F30" s="1989"/>
      <c r="G30" s="1989"/>
      <c r="H30" s="1989"/>
    </row>
    <row r="31" spans="1:8" ht="12.75" customHeight="1">
      <c r="D31" s="1130" t="s">
        <v>3528</v>
      </c>
      <c r="E31" s="1989" t="s">
        <v>3803</v>
      </c>
      <c r="F31" s="1989"/>
      <c r="G31" s="1989"/>
      <c r="H31" s="1989"/>
    </row>
    <row r="32" spans="1:8" ht="3" customHeight="1">
      <c r="D32" s="1127"/>
      <c r="E32" s="1131"/>
      <c r="F32" s="1131"/>
      <c r="G32" s="1131"/>
      <c r="H32" s="1131"/>
    </row>
    <row r="33" spans="1:11">
      <c r="A33" s="1094" t="s">
        <v>3524</v>
      </c>
      <c r="B33" s="1125"/>
      <c r="C33" s="1094" t="s">
        <v>3526</v>
      </c>
      <c r="D33" s="1126" t="s">
        <v>3807</v>
      </c>
    </row>
    <row r="34" spans="1:11" ht="4.5" customHeight="1"/>
    <row r="35" spans="1:11" ht="12.75" customHeight="1">
      <c r="C35" s="1087" t="s">
        <v>3416</v>
      </c>
      <c r="D35" s="1127" t="s">
        <v>2062</v>
      </c>
      <c r="E35" s="1128"/>
      <c r="F35" s="1989" t="s">
        <v>3417</v>
      </c>
      <c r="G35" s="1989"/>
      <c r="H35" s="1989"/>
    </row>
    <row r="36" spans="1:11" ht="12.75" customHeight="1">
      <c r="C36" s="1129" t="s">
        <v>1403</v>
      </c>
      <c r="D36" s="1127" t="s">
        <v>2064</v>
      </c>
      <c r="E36" s="1989" t="s">
        <v>3530</v>
      </c>
      <c r="F36" s="1989"/>
      <c r="G36" s="1989"/>
      <c r="H36" s="1989"/>
    </row>
    <row r="37" spans="1:11" ht="12.75" customHeight="1">
      <c r="E37" s="1989" t="s">
        <v>3802</v>
      </c>
      <c r="F37" s="1989"/>
      <c r="G37" s="1989"/>
      <c r="H37" s="1989"/>
    </row>
    <row r="38" spans="1:11" ht="12.75" customHeight="1">
      <c r="D38" s="1130" t="s">
        <v>3528</v>
      </c>
      <c r="E38" s="1989" t="s">
        <v>3803</v>
      </c>
      <c r="F38" s="1989"/>
      <c r="G38" s="1989"/>
      <c r="H38" s="1989"/>
    </row>
    <row r="39" spans="1:11" ht="3" customHeight="1">
      <c r="D39" s="1127"/>
      <c r="E39" s="1131"/>
      <c r="F39" s="1131"/>
      <c r="G39" s="1131"/>
      <c r="H39" s="1131"/>
    </row>
    <row r="40" spans="1:11">
      <c r="A40" s="1094" t="s">
        <v>3524</v>
      </c>
      <c r="B40" s="1125"/>
      <c r="C40" s="1094" t="s">
        <v>3527</v>
      </c>
      <c r="D40" s="1126" t="s">
        <v>3808</v>
      </c>
    </row>
    <row r="41" spans="1:11" ht="4.5" customHeight="1"/>
    <row r="42" spans="1:11" ht="12.75" customHeight="1">
      <c r="C42" s="1087" t="s">
        <v>3416</v>
      </c>
      <c r="D42" s="1127" t="s">
        <v>2062</v>
      </c>
      <c r="E42" s="1128"/>
      <c r="F42" s="1989" t="s">
        <v>3417</v>
      </c>
      <c r="G42" s="1989"/>
      <c r="H42" s="1989"/>
      <c r="K42" s="1028" t="s">
        <v>254</v>
      </c>
    </row>
    <row r="43" spans="1:11" ht="12.75" customHeight="1">
      <c r="C43" s="1129" t="s">
        <v>1403</v>
      </c>
      <c r="D43" s="1127" t="s">
        <v>2064</v>
      </c>
      <c r="E43" s="1989" t="s">
        <v>3530</v>
      </c>
      <c r="F43" s="1989"/>
      <c r="G43" s="1989"/>
      <c r="H43" s="1989"/>
    </row>
    <row r="44" spans="1:11" ht="12.75" customHeight="1">
      <c r="E44" s="1989" t="s">
        <v>3802</v>
      </c>
      <c r="F44" s="1989"/>
      <c r="G44" s="1989"/>
      <c r="H44" s="1989"/>
    </row>
    <row r="45" spans="1:11" ht="12.75" customHeight="1">
      <c r="D45" s="1130" t="s">
        <v>3528</v>
      </c>
      <c r="E45" s="1989" t="s">
        <v>3803</v>
      </c>
      <c r="F45" s="1989"/>
      <c r="G45" s="1989"/>
      <c r="H45" s="1989"/>
    </row>
    <row r="46" spans="1:11" ht="9" customHeight="1"/>
    <row r="47" spans="1:11" ht="7.5" customHeight="1">
      <c r="E47" s="1989"/>
      <c r="F47" s="1989"/>
      <c r="G47" s="1989"/>
      <c r="H47" s="1989"/>
    </row>
    <row r="48" spans="1:11">
      <c r="A48" s="1054" t="s">
        <v>3418</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3524</v>
      </c>
      <c r="B52" s="1125"/>
      <c r="C52" s="1094" t="s">
        <v>3525</v>
      </c>
      <c r="D52" s="1126" t="s">
        <v>3805</v>
      </c>
    </row>
    <row r="53" spans="1:11" ht="4.5" customHeight="1"/>
    <row r="54" spans="1:11" ht="12.75" customHeight="1">
      <c r="C54" s="1087" t="s">
        <v>3416</v>
      </c>
      <c r="D54" s="1127" t="s">
        <v>2062</v>
      </c>
      <c r="E54" s="1128"/>
      <c r="F54" s="1989" t="s">
        <v>3417</v>
      </c>
      <c r="G54" s="1989"/>
      <c r="H54" s="1989"/>
    </row>
    <row r="55" spans="1:11" ht="12.75" customHeight="1">
      <c r="C55" s="1129" t="s">
        <v>1403</v>
      </c>
      <c r="D55" s="1127" t="s">
        <v>2064</v>
      </c>
      <c r="E55" s="1989" t="s">
        <v>3811</v>
      </c>
      <c r="F55" s="1989"/>
      <c r="G55" s="1989"/>
      <c r="H55" s="1989"/>
    </row>
    <row r="56" spans="1:11" ht="3" customHeight="1">
      <c r="D56" s="1127"/>
      <c r="E56" s="1131"/>
      <c r="F56" s="1131"/>
      <c r="G56" s="1131"/>
      <c r="H56" s="1131"/>
    </row>
    <row r="57" spans="1:11">
      <c r="A57" s="1094" t="s">
        <v>3524</v>
      </c>
      <c r="B57" s="1125"/>
      <c r="C57" s="1094" t="s">
        <v>3526</v>
      </c>
      <c r="D57" s="1126" t="s">
        <v>3809</v>
      </c>
    </row>
    <row r="58" spans="1:11" ht="4.5" customHeight="1"/>
    <row r="59" spans="1:11">
      <c r="C59" s="1087" t="s">
        <v>3416</v>
      </c>
      <c r="D59" s="1127" t="s">
        <v>2062</v>
      </c>
      <c r="E59" s="1128"/>
      <c r="F59" s="1989" t="s">
        <v>3417</v>
      </c>
      <c r="G59" s="1989"/>
      <c r="H59" s="1989"/>
    </row>
    <row r="60" spans="1:11" ht="12.75" customHeight="1">
      <c r="C60" s="1129" t="s">
        <v>1403</v>
      </c>
      <c r="D60" s="1127" t="s">
        <v>2064</v>
      </c>
      <c r="E60" s="1989" t="s">
        <v>3811</v>
      </c>
      <c r="F60" s="1989"/>
      <c r="G60" s="1989"/>
      <c r="H60" s="1989"/>
    </row>
    <row r="61" spans="1:11" ht="3" customHeight="1">
      <c r="D61" s="1127"/>
      <c r="E61" s="1131"/>
      <c r="F61" s="1131"/>
      <c r="G61" s="1131"/>
      <c r="H61" s="1131"/>
    </row>
    <row r="62" spans="1:11">
      <c r="A62" s="1094" t="s">
        <v>3524</v>
      </c>
      <c r="B62" s="1125"/>
      <c r="C62" s="1094" t="s">
        <v>3527</v>
      </c>
      <c r="D62" s="1126" t="s">
        <v>3810</v>
      </c>
    </row>
    <row r="63" spans="1:11" ht="4.5" customHeight="1"/>
    <row r="64" spans="1:11">
      <c r="C64" s="1087" t="s">
        <v>3416</v>
      </c>
      <c r="D64" s="1127" t="s">
        <v>2062</v>
      </c>
      <c r="E64" s="1128"/>
      <c r="F64" s="1989" t="s">
        <v>3417</v>
      </c>
      <c r="G64" s="1989"/>
      <c r="H64" s="1989"/>
      <c r="K64" s="1028" t="s">
        <v>254</v>
      </c>
    </row>
    <row r="65" spans="3:8" ht="12.75" customHeight="1">
      <c r="C65" s="1129" t="s">
        <v>1403</v>
      </c>
      <c r="D65" s="1127" t="s">
        <v>2064</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3419</v>
      </c>
      <c r="C1" s="2010"/>
      <c r="D1" s="2010"/>
      <c r="E1" s="2010"/>
      <c r="F1" s="2010"/>
      <c r="G1" s="2010"/>
      <c r="H1" s="2010"/>
      <c r="I1" s="2011"/>
    </row>
    <row r="2" spans="2:13">
      <c r="B2" s="2012" t="s">
        <v>3420</v>
      </c>
      <c r="C2" s="2013"/>
      <c r="D2" s="2013"/>
      <c r="E2" s="2013" t="s">
        <v>3421</v>
      </c>
      <c r="F2" s="2013"/>
      <c r="G2" s="2013"/>
      <c r="H2" s="2013" t="s">
        <v>641</v>
      </c>
      <c r="I2" s="2014"/>
      <c r="J2" s="662" t="s">
        <v>3256</v>
      </c>
      <c r="K2" s="662"/>
      <c r="L2" s="663"/>
      <c r="M2" s="663"/>
    </row>
    <row r="3" spans="2:13">
      <c r="B3" s="2015" t="str">
        <f>'Closing term sheet'!C8</f>
        <v>240 Atlanta Street Phase 2, L.P.</v>
      </c>
      <c r="C3" s="2016"/>
      <c r="D3" s="2017"/>
      <c r="E3" s="2018"/>
      <c r="F3" s="2019"/>
      <c r="G3" s="2020"/>
      <c r="H3" s="2021" t="str">
        <f>'Preview term'!E15</f>
        <v>240 Atlanta Street Development Phase 2</v>
      </c>
      <c r="I3" s="2022"/>
      <c r="K3" s="660"/>
    </row>
    <row r="4" spans="2:13" ht="15" customHeight="1">
      <c r="D4" s="872"/>
      <c r="E4" s="872"/>
      <c r="F4" s="872"/>
      <c r="G4" s="872"/>
      <c r="H4" s="872"/>
      <c r="I4" s="872"/>
      <c r="K4" s="660"/>
    </row>
    <row r="5" spans="2:13">
      <c r="B5" s="2026" t="s">
        <v>3422</v>
      </c>
      <c r="C5" s="2027"/>
      <c r="D5" s="664"/>
      <c r="H5" s="2037">
        <f>'Preview term'!E9</f>
        <v>0</v>
      </c>
      <c r="I5" s="2038"/>
    </row>
    <row r="6" spans="2:13" ht="7.5" customHeight="1">
      <c r="B6" s="716"/>
      <c r="C6" s="664"/>
      <c r="D6" s="664"/>
      <c r="E6" s="664"/>
      <c r="F6" s="664"/>
      <c r="G6" s="664"/>
      <c r="H6" s="664"/>
      <c r="I6" s="717"/>
    </row>
    <row r="7" spans="2:13">
      <c r="B7" s="735" t="s">
        <v>3423</v>
      </c>
      <c r="C7" s="736"/>
      <c r="D7" s="664"/>
      <c r="E7" s="666" t="s">
        <v>3424</v>
      </c>
      <c r="F7" s="664"/>
      <c r="G7" s="664"/>
      <c r="H7" s="664"/>
      <c r="I7" s="738" t="str">
        <f>'Closing term sheet'!D12</f>
        <v>&lt;&lt;Select&gt;&gt;</v>
      </c>
    </row>
    <row r="8" spans="2:13" ht="7.5" customHeight="1">
      <c r="B8" s="716"/>
      <c r="C8" s="664"/>
      <c r="D8" s="664"/>
      <c r="E8" s="664"/>
      <c r="F8" s="664"/>
      <c r="G8" s="664"/>
      <c r="H8" s="664"/>
      <c r="I8" s="717"/>
    </row>
    <row r="9" spans="2:13">
      <c r="B9" s="718" t="s">
        <v>3425</v>
      </c>
      <c r="C9" s="664"/>
      <c r="D9" s="665"/>
      <c r="E9" s="664"/>
      <c r="F9" s="664"/>
      <c r="G9" s="664"/>
      <c r="H9" s="664"/>
      <c r="I9" s="717"/>
    </row>
    <row r="10" spans="2:13">
      <c r="B10" s="718" t="s">
        <v>3426</v>
      </c>
      <c r="C10" s="664"/>
      <c r="D10" s="664"/>
      <c r="E10" s="664"/>
      <c r="F10" s="664"/>
      <c r="G10" s="664"/>
      <c r="H10" s="664"/>
      <c r="I10" s="738" t="s">
        <v>3155</v>
      </c>
    </row>
    <row r="11" spans="2:13">
      <c r="B11" s="716"/>
      <c r="C11" s="737"/>
      <c r="D11" s="664"/>
      <c r="E11" s="666" t="s">
        <v>3427</v>
      </c>
      <c r="F11" s="664"/>
      <c r="G11" s="664"/>
      <c r="H11" s="664"/>
      <c r="I11" s="717"/>
    </row>
    <row r="12" spans="2:13" ht="7.5" customHeight="1">
      <c r="B12" s="718"/>
      <c r="C12" s="664"/>
      <c r="D12" s="664"/>
      <c r="E12" s="664"/>
      <c r="F12" s="665"/>
      <c r="G12" s="664"/>
      <c r="H12" s="664"/>
      <c r="I12" s="717"/>
    </row>
    <row r="13" spans="2:13">
      <c r="B13" s="718" t="s">
        <v>3533</v>
      </c>
      <c r="C13" s="664"/>
      <c r="D13" s="664"/>
      <c r="E13" s="664"/>
      <c r="F13" s="661"/>
      <c r="G13" s="664"/>
      <c r="H13" s="664"/>
      <c r="I13" s="739"/>
    </row>
    <row r="14" spans="2:13">
      <c r="B14" s="719" t="s">
        <v>3532</v>
      </c>
      <c r="C14" s="664"/>
      <c r="D14" s="664"/>
      <c r="E14" s="734" t="s">
        <v>3683</v>
      </c>
      <c r="F14" s="664"/>
      <c r="G14" s="664"/>
      <c r="H14" s="664"/>
      <c r="I14" s="739"/>
    </row>
    <row r="15" spans="2:13" ht="7.5" customHeight="1">
      <c r="B15" s="716"/>
      <c r="C15" s="664"/>
      <c r="D15" s="664"/>
      <c r="E15" s="664"/>
      <c r="F15" s="664"/>
      <c r="G15" s="664"/>
      <c r="H15" s="664"/>
      <c r="I15" s="717"/>
    </row>
    <row r="16" spans="2:13">
      <c r="B16" s="718" t="s">
        <v>3428</v>
      </c>
      <c r="C16" s="664"/>
      <c r="D16" s="664"/>
      <c r="E16" s="664"/>
      <c r="F16" s="664"/>
      <c r="G16" s="664"/>
      <c r="H16" s="664"/>
      <c r="I16" s="738" t="s">
        <v>3155</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3429</v>
      </c>
      <c r="C20" s="664"/>
      <c r="D20" s="708">
        <v>2</v>
      </c>
      <c r="F20" s="664"/>
      <c r="G20" s="661" t="s">
        <v>3430</v>
      </c>
      <c r="H20" s="664"/>
      <c r="I20" s="724">
        <v>2</v>
      </c>
    </row>
    <row r="21" spans="2:9">
      <c r="B21" s="716"/>
      <c r="C21" s="734" t="s">
        <v>3431</v>
      </c>
      <c r="D21" s="670"/>
      <c r="E21" s="670"/>
      <c r="F21" s="670"/>
      <c r="H21" s="670" t="s">
        <v>3432</v>
      </c>
      <c r="I21" s="717"/>
    </row>
    <row r="22" spans="2:9">
      <c r="B22" s="716"/>
      <c r="C22" s="734" t="s">
        <v>3433</v>
      </c>
      <c r="D22" s="670"/>
      <c r="E22" s="670"/>
      <c r="F22" s="670"/>
      <c r="H22" s="670" t="s">
        <v>3434</v>
      </c>
      <c r="I22" s="717"/>
    </row>
    <row r="23" spans="2:9">
      <c r="B23" s="716"/>
      <c r="C23" s="734" t="s">
        <v>3435</v>
      </c>
      <c r="D23" s="670"/>
      <c r="E23" s="670"/>
      <c r="F23" s="670"/>
      <c r="H23" s="670" t="s">
        <v>3436</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3531</v>
      </c>
      <c r="C27" s="664"/>
      <c r="D27" s="709"/>
      <c r="F27" s="741" t="s">
        <v>3437</v>
      </c>
      <c r="H27" s="664"/>
      <c r="I27" s="717"/>
    </row>
    <row r="28" spans="2:9">
      <c r="B28" s="733" t="s">
        <v>3438</v>
      </c>
      <c r="C28" s="670"/>
      <c r="D28" s="670" t="s">
        <v>3439</v>
      </c>
      <c r="E28" s="664"/>
      <c r="F28" s="2028" t="str">
        <f>'Closing term sheet'!C30</f>
        <v>240 Atlanta Street</v>
      </c>
      <c r="G28" s="2029"/>
      <c r="H28" s="2029"/>
      <c r="I28" s="2030"/>
    </row>
    <row r="29" spans="2:9">
      <c r="B29" s="733" t="s">
        <v>3440</v>
      </c>
      <c r="D29" s="670" t="s">
        <v>3441</v>
      </c>
      <c r="E29" s="664"/>
      <c r="F29" s="2028"/>
      <c r="G29" s="2029"/>
      <c r="H29" s="2029"/>
      <c r="I29" s="2030"/>
    </row>
    <row r="30" spans="2:9">
      <c r="B30" s="733" t="s">
        <v>3442</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Gainesville</v>
      </c>
      <c r="D32" s="2032"/>
      <c r="E32" s="669" t="s">
        <v>1865</v>
      </c>
      <c r="F32" s="707" t="s">
        <v>880</v>
      </c>
      <c r="G32" s="669" t="s">
        <v>3443</v>
      </c>
      <c r="H32" s="711">
        <f>'Part I-Project Information'!J28</f>
        <v>305010000</v>
      </c>
      <c r="I32" s="717"/>
    </row>
    <row r="33" spans="2:9">
      <c r="B33" s="731" t="s">
        <v>643</v>
      </c>
      <c r="C33" s="2031" t="str">
        <f>'Part I-Project Information'!J29</f>
        <v>Hall</v>
      </c>
      <c r="D33" s="2032"/>
      <c r="E33" s="664"/>
      <c r="F33" s="664"/>
      <c r="G33" s="664"/>
      <c r="H33" s="664"/>
      <c r="I33" s="717"/>
    </row>
    <row r="34" spans="2:9">
      <c r="B34" s="732" t="s">
        <v>3444</v>
      </c>
      <c r="C34" s="2033" t="e">
        <f>'Subsidy Layering WS'!D12</f>
        <v>#REF!</v>
      </c>
      <c r="D34" s="2034"/>
      <c r="E34" s="664"/>
      <c r="F34" s="666" t="s">
        <v>3445</v>
      </c>
      <c r="G34" s="664"/>
      <c r="H34" s="664"/>
      <c r="I34" s="717"/>
    </row>
    <row r="35" spans="2:9">
      <c r="B35" s="732" t="s">
        <v>3800</v>
      </c>
      <c r="C35" s="2035">
        <f>'Closing term sheet'!D64</f>
        <v>700000</v>
      </c>
      <c r="D35" s="2036"/>
      <c r="E35" s="664"/>
      <c r="F35" s="666" t="s">
        <v>3446</v>
      </c>
      <c r="G35" s="664"/>
      <c r="H35" s="664"/>
      <c r="I35" s="717"/>
    </row>
    <row r="36" spans="2:9">
      <c r="B36" s="725" t="s">
        <v>3447</v>
      </c>
      <c r="C36" s="668"/>
      <c r="D36" s="710"/>
      <c r="E36" s="664"/>
      <c r="F36" s="666" t="s">
        <v>3448</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3449</v>
      </c>
      <c r="C40" s="2024"/>
      <c r="D40" s="2024"/>
      <c r="E40" s="2024"/>
      <c r="F40" s="2024"/>
      <c r="G40" s="2024"/>
      <c r="H40" s="2024"/>
      <c r="I40" s="2025"/>
    </row>
    <row r="41" spans="2:9" ht="7.5" customHeight="1">
      <c r="B41" s="2039"/>
      <c r="C41" s="2040"/>
      <c r="D41" s="2040"/>
      <c r="E41" s="664"/>
      <c r="F41" s="664"/>
      <c r="G41" s="726"/>
      <c r="H41" s="664"/>
      <c r="I41" s="717"/>
    </row>
    <row r="42" spans="2:9">
      <c r="B42" s="727" t="s">
        <v>3451</v>
      </c>
      <c r="C42" s="664"/>
      <c r="D42" s="712">
        <v>4</v>
      </c>
      <c r="F42" s="664"/>
      <c r="G42" s="2041" t="s">
        <v>3450</v>
      </c>
      <c r="H42" s="2041"/>
      <c r="I42" s="2042"/>
    </row>
    <row r="43" spans="2:9">
      <c r="B43" s="716"/>
      <c r="C43" s="670" t="s">
        <v>3454</v>
      </c>
      <c r="D43" s="670" t="s">
        <v>3455</v>
      </c>
      <c r="F43" s="664"/>
      <c r="G43" s="884" t="s">
        <v>3452</v>
      </c>
      <c r="H43" s="664"/>
      <c r="I43" s="728" t="e">
        <f>Overview!C13</f>
        <v>#REF!</v>
      </c>
    </row>
    <row r="44" spans="2:9">
      <c r="B44" s="716"/>
      <c r="C44" s="670" t="s">
        <v>3456</v>
      </c>
      <c r="D44" s="670" t="s">
        <v>3457</v>
      </c>
      <c r="F44" s="664"/>
      <c r="G44" s="729" t="s">
        <v>3453</v>
      </c>
      <c r="H44" s="664"/>
      <c r="I44" s="728" t="e">
        <f>C34</f>
        <v>#REF!</v>
      </c>
    </row>
    <row r="45" spans="2:9">
      <c r="B45" s="733"/>
      <c r="C45" s="670" t="s">
        <v>3458</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3459</v>
      </c>
      <c r="C49" s="664"/>
      <c r="D49" s="664"/>
      <c r="E49" s="664"/>
      <c r="F49" s="664"/>
      <c r="G49" s="664"/>
      <c r="H49" s="664"/>
      <c r="I49" s="717"/>
    </row>
    <row r="50" spans="2:9" ht="7.5" customHeight="1">
      <c r="B50" s="716"/>
      <c r="C50" s="664"/>
      <c r="D50" s="664"/>
      <c r="E50" s="664"/>
      <c r="F50" s="664"/>
      <c r="G50" s="664"/>
      <c r="H50" s="664"/>
      <c r="I50" s="717"/>
    </row>
    <row r="51" spans="2:9">
      <c r="B51" s="718" t="s">
        <v>3460</v>
      </c>
      <c r="D51" s="664"/>
      <c r="E51" s="664"/>
      <c r="F51" s="664"/>
      <c r="G51" s="664"/>
      <c r="H51" s="664"/>
      <c r="I51" s="709"/>
    </row>
    <row r="52" spans="2:9" ht="7.5" customHeight="1">
      <c r="B52" s="716"/>
      <c r="C52" s="664"/>
      <c r="D52" s="664"/>
      <c r="E52" s="664"/>
      <c r="F52" s="664"/>
      <c r="G52" s="664"/>
      <c r="H52" s="664"/>
      <c r="I52" s="717"/>
    </row>
    <row r="53" spans="2:9">
      <c r="B53" s="716" t="s">
        <v>3461</v>
      </c>
      <c r="D53" s="664"/>
      <c r="E53" s="664"/>
      <c r="F53" s="664" t="s">
        <v>3534</v>
      </c>
      <c r="G53" s="664"/>
      <c r="H53" s="664"/>
      <c r="I53" s="713"/>
    </row>
    <row r="54" spans="2:9">
      <c r="B54" s="716"/>
      <c r="E54" s="664"/>
      <c r="F54" s="664" t="s">
        <v>3535</v>
      </c>
      <c r="G54" s="664"/>
      <c r="H54" s="664"/>
      <c r="I54" s="713"/>
    </row>
    <row r="55" spans="2:9">
      <c r="B55" s="716"/>
      <c r="E55" s="664"/>
      <c r="F55" s="664" t="s">
        <v>3536</v>
      </c>
      <c r="G55" s="664"/>
      <c r="H55" s="664"/>
      <c r="I55" s="713"/>
    </row>
    <row r="56" spans="2:9">
      <c r="B56" s="716"/>
      <c r="E56" s="664"/>
      <c r="F56" s="661" t="s">
        <v>3537</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3462</v>
      </c>
      <c r="C60" s="2024"/>
      <c r="D60" s="2024"/>
      <c r="E60" s="2024"/>
      <c r="F60" s="2024"/>
      <c r="G60" s="2024"/>
      <c r="H60" s="2024"/>
      <c r="I60" s="2025"/>
    </row>
    <row r="61" spans="2:9">
      <c r="B61" s="716"/>
      <c r="C61" s="664"/>
      <c r="D61" s="664"/>
      <c r="E61" s="664"/>
      <c r="F61" s="664"/>
      <c r="G61" s="664"/>
      <c r="H61" s="664"/>
      <c r="I61" s="717"/>
    </row>
    <row r="62" spans="2:9">
      <c r="B62" s="718" t="s">
        <v>3463</v>
      </c>
      <c r="C62" s="664"/>
      <c r="D62" s="664"/>
      <c r="E62" s="664"/>
      <c r="F62" s="664"/>
      <c r="G62" s="664"/>
      <c r="H62" s="664"/>
      <c r="I62" s="717"/>
    </row>
    <row r="63" spans="2:9">
      <c r="B63" s="716"/>
      <c r="C63" s="661" t="s">
        <v>3464</v>
      </c>
      <c r="D63" s="664"/>
      <c r="E63" s="664"/>
      <c r="F63" s="2043">
        <f>'Closing term sheet'!D64</f>
        <v>700000</v>
      </c>
      <c r="G63" s="2043"/>
      <c r="H63" s="664"/>
      <c r="I63" s="717"/>
    </row>
    <row r="64" spans="2:9">
      <c r="B64" s="716"/>
      <c r="C64" s="661" t="s">
        <v>3465</v>
      </c>
      <c r="D64" s="664"/>
      <c r="E64" s="664"/>
      <c r="F64" s="2044">
        <f>'Part III-Sources of Funds'!I43+'Part III-Sources of Funds'!I44</f>
        <v>0</v>
      </c>
      <c r="G64" s="2044"/>
      <c r="H64" s="664"/>
      <c r="I64" s="717"/>
    </row>
    <row r="65" spans="2:9">
      <c r="B65" s="716"/>
      <c r="C65" s="661" t="s">
        <v>3466</v>
      </c>
      <c r="D65" s="664"/>
      <c r="E65" s="664"/>
      <c r="F65" s="2045"/>
      <c r="G65" s="2045"/>
      <c r="H65" s="664"/>
      <c r="I65" s="717"/>
    </row>
    <row r="66" spans="2:9">
      <c r="B66" s="716"/>
      <c r="C66" s="670" t="s">
        <v>3467</v>
      </c>
      <c r="D66" s="664"/>
      <c r="E66" s="664"/>
      <c r="F66" s="2044">
        <v>11000</v>
      </c>
      <c r="G66" s="2044"/>
      <c r="H66" s="664"/>
      <c r="I66" s="717"/>
    </row>
    <row r="67" spans="2:9">
      <c r="B67" s="716"/>
      <c r="C67" s="661" t="s">
        <v>3468</v>
      </c>
      <c r="D67" s="664"/>
      <c r="E67" s="664"/>
      <c r="F67" s="2046"/>
      <c r="G67" s="2046"/>
      <c r="H67" s="664"/>
      <c r="I67" s="717"/>
    </row>
    <row r="68" spans="2:9">
      <c r="B68" s="716"/>
      <c r="C68" s="666" t="s">
        <v>3469</v>
      </c>
      <c r="D68" s="664"/>
      <c r="E68" s="664"/>
      <c r="F68" s="2047">
        <f>SUM(F63:G67)</f>
        <v>711000</v>
      </c>
      <c r="G68" s="2047"/>
      <c r="H68" s="664"/>
      <c r="I68" s="717"/>
    </row>
    <row r="69" spans="2:9">
      <c r="B69" s="716"/>
      <c r="C69" s="664"/>
      <c r="D69" s="664"/>
      <c r="E69" s="664"/>
      <c r="F69" s="2048"/>
      <c r="G69" s="2048"/>
      <c r="H69" s="664"/>
      <c r="I69" s="717"/>
    </row>
    <row r="70" spans="2:9">
      <c r="B70" s="718" t="s">
        <v>3470</v>
      </c>
      <c r="C70" s="664"/>
      <c r="D70" s="664"/>
      <c r="E70" s="664"/>
      <c r="F70" s="664"/>
      <c r="G70" s="664"/>
      <c r="H70" s="664"/>
      <c r="I70" s="717"/>
    </row>
    <row r="71" spans="2:9">
      <c r="B71" s="716"/>
      <c r="C71" s="661" t="s">
        <v>3471</v>
      </c>
      <c r="D71" s="664"/>
      <c r="E71" s="664"/>
      <c r="F71" s="2043"/>
      <c r="G71" s="2043"/>
      <c r="H71" s="664"/>
      <c r="I71" s="717"/>
    </row>
    <row r="72" spans="2:9">
      <c r="B72" s="716"/>
      <c r="C72" s="661" t="s">
        <v>3472</v>
      </c>
      <c r="D72" s="664"/>
      <c r="E72" s="664"/>
      <c r="F72" s="2050"/>
      <c r="G72" s="2050"/>
      <c r="H72" s="664"/>
      <c r="I72" s="717"/>
    </row>
    <row r="73" spans="2:9">
      <c r="B73" s="716"/>
      <c r="C73" s="661" t="s">
        <v>3473</v>
      </c>
      <c r="D73" s="664"/>
      <c r="E73" s="664"/>
      <c r="F73" s="2051" t="s">
        <v>3337</v>
      </c>
      <c r="G73" s="2049"/>
      <c r="H73" s="664"/>
      <c r="I73" s="717"/>
    </row>
    <row r="74" spans="2:9">
      <c r="B74" s="716"/>
      <c r="C74" s="666" t="s">
        <v>3474</v>
      </c>
      <c r="D74" s="664"/>
      <c r="E74" s="664"/>
      <c r="F74" s="2047">
        <f>+SUM(F71:G73)</f>
        <v>0</v>
      </c>
      <c r="G74" s="2047"/>
      <c r="H74" s="664"/>
      <c r="I74" s="717"/>
    </row>
    <row r="75" spans="2:9">
      <c r="B75" s="716"/>
      <c r="C75" s="664"/>
      <c r="D75" s="664"/>
      <c r="E75" s="664"/>
      <c r="F75" s="664"/>
      <c r="G75" s="664"/>
      <c r="H75" s="664"/>
      <c r="I75" s="717"/>
    </row>
    <row r="76" spans="2:9">
      <c r="B76" s="718" t="s">
        <v>3475</v>
      </c>
      <c r="C76" s="664"/>
      <c r="D76" s="664"/>
      <c r="E76" s="664"/>
      <c r="F76" s="664"/>
      <c r="G76" s="664"/>
      <c r="H76" s="664"/>
      <c r="I76" s="717"/>
    </row>
    <row r="77" spans="2:9">
      <c r="B77" s="716"/>
      <c r="C77" s="661" t="s">
        <v>3476</v>
      </c>
      <c r="D77" s="664"/>
      <c r="E77" s="664"/>
      <c r="F77" s="2043"/>
      <c r="G77" s="2043"/>
      <c r="H77" s="664"/>
      <c r="I77" s="717"/>
    </row>
    <row r="78" spans="2:9">
      <c r="B78" s="716"/>
      <c r="C78" s="661" t="s">
        <v>3477</v>
      </c>
      <c r="D78" s="664"/>
      <c r="E78" s="664"/>
      <c r="F78" s="2050"/>
      <c r="G78" s="2050"/>
      <c r="H78" s="664"/>
      <c r="I78" s="717"/>
    </row>
    <row r="79" spans="2:9">
      <c r="B79" s="716"/>
      <c r="C79" s="661" t="s">
        <v>3478</v>
      </c>
      <c r="D79" s="664"/>
      <c r="E79" s="664"/>
      <c r="F79" s="2046"/>
      <c r="G79" s="2046"/>
      <c r="H79" s="664"/>
      <c r="I79" s="717"/>
    </row>
    <row r="80" spans="2:9">
      <c r="B80" s="716"/>
      <c r="C80" s="666" t="s">
        <v>3479</v>
      </c>
      <c r="D80" s="664"/>
      <c r="E80" s="664"/>
      <c r="F80" s="2047">
        <f>+SUM(F77:G79)</f>
        <v>0</v>
      </c>
      <c r="G80" s="2047"/>
      <c r="H80" s="664"/>
      <c r="I80" s="717"/>
    </row>
    <row r="81" spans="2:9">
      <c r="B81" s="716"/>
      <c r="C81" s="664"/>
      <c r="D81" s="664"/>
      <c r="E81" s="664"/>
      <c r="F81" s="664"/>
      <c r="G81" s="664"/>
      <c r="H81" s="664"/>
      <c r="I81" s="717"/>
    </row>
    <row r="82" spans="2:9">
      <c r="B82" s="727" t="s">
        <v>3480</v>
      </c>
      <c r="C82" s="661"/>
      <c r="D82" s="664"/>
      <c r="E82" s="664"/>
      <c r="F82" s="2049">
        <f>'Part III-Sources of Funds'!I45+'Part III-Sources of Funds'!I46</f>
        <v>12670000</v>
      </c>
      <c r="G82" s="2049"/>
      <c r="H82" s="664"/>
      <c r="I82" s="717"/>
    </row>
    <row r="83" spans="2:9">
      <c r="B83" s="716"/>
      <c r="C83" s="664"/>
      <c r="D83" s="664"/>
      <c r="E83" s="664"/>
      <c r="F83" s="664"/>
      <c r="G83" s="664"/>
      <c r="H83" s="664"/>
      <c r="I83" s="730" t="s">
        <v>3481</v>
      </c>
    </row>
    <row r="84" spans="2:9">
      <c r="B84" s="718" t="s">
        <v>3482</v>
      </c>
      <c r="C84" s="664"/>
      <c r="D84" s="664"/>
      <c r="E84" s="664"/>
      <c r="F84" s="2049">
        <f>+F82+F80+F74+F68</f>
        <v>13381000</v>
      </c>
      <c r="G84" s="2049"/>
      <c r="H84" s="664"/>
      <c r="I84" s="717"/>
    </row>
    <row r="85" spans="2:9">
      <c r="B85" s="720"/>
      <c r="C85" s="721"/>
      <c r="D85" s="721"/>
      <c r="E85" s="721"/>
      <c r="F85" s="721"/>
      <c r="G85" s="721"/>
      <c r="H85" s="721"/>
      <c r="I85" s="722"/>
    </row>
    <row r="87" spans="2:9">
      <c r="C87" s="671" t="s">
        <v>3152</v>
      </c>
    </row>
    <row r="88" spans="2:9">
      <c r="C88" s="671"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2865</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1980</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4118</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4119</v>
      </c>
      <c r="C14" s="3340"/>
      <c r="D14" s="3340"/>
      <c r="E14" s="3340"/>
      <c r="F14" s="3340"/>
      <c r="G14" s="3340"/>
      <c r="H14" s="3340"/>
      <c r="I14" s="3340"/>
      <c r="J14" s="3340"/>
      <c r="K14" s="3340"/>
      <c r="L14" s="3340"/>
      <c r="M14" s="3340"/>
    </row>
    <row r="15" spans="1:26" ht="57.75" customHeight="1">
      <c r="A15" s="3339" t="s">
        <v>1804</v>
      </c>
      <c r="B15" s="3340" t="s">
        <v>4120</v>
      </c>
      <c r="C15" s="3340"/>
      <c r="D15" s="3340"/>
      <c r="E15" s="3340"/>
      <c r="F15" s="3340"/>
      <c r="G15" s="3340"/>
      <c r="H15" s="3340"/>
      <c r="I15" s="3340"/>
      <c r="J15" s="3340"/>
      <c r="K15" s="3340"/>
      <c r="L15" s="3340"/>
      <c r="M15" s="3340"/>
    </row>
    <row r="16" spans="1:26" ht="119.25" customHeight="1">
      <c r="A16" s="3339" t="s">
        <v>1805</v>
      </c>
      <c r="B16" s="3340" t="s">
        <v>4121</v>
      </c>
      <c r="C16" s="3340"/>
      <c r="D16" s="3340"/>
      <c r="E16" s="3340"/>
      <c r="F16" s="3340"/>
      <c r="G16" s="3340"/>
      <c r="H16" s="3340"/>
      <c r="I16" s="3340"/>
      <c r="J16" s="3340"/>
      <c r="K16" s="3340"/>
      <c r="L16" s="3340"/>
      <c r="M16" s="3340"/>
    </row>
    <row r="17" spans="1:13" ht="159.75" customHeight="1">
      <c r="A17" s="3339" t="s">
        <v>2448</v>
      </c>
      <c r="B17" s="3340" t="s">
        <v>3705</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3704</v>
      </c>
      <c r="C19" s="3340"/>
      <c r="D19" s="3340"/>
      <c r="E19" s="3340"/>
      <c r="F19" s="3340"/>
      <c r="G19" s="3340"/>
      <c r="H19" s="3340"/>
      <c r="I19" s="3340"/>
      <c r="J19" s="3340"/>
      <c r="K19" s="3340"/>
      <c r="L19" s="3340"/>
      <c r="M19" s="3340"/>
    </row>
    <row r="20" spans="1:13" ht="57" customHeight="1">
      <c r="A20" s="3339" t="s">
        <v>100</v>
      </c>
      <c r="B20" s="3341" t="s">
        <v>4122</v>
      </c>
      <c r="C20" s="3341"/>
      <c r="D20" s="3341"/>
      <c r="E20" s="3341"/>
      <c r="F20" s="3341"/>
      <c r="G20" s="3341"/>
      <c r="H20" s="3341"/>
      <c r="I20" s="3341"/>
      <c r="J20" s="3341"/>
      <c r="K20" s="3341"/>
      <c r="L20" s="3341"/>
      <c r="M20" s="3341"/>
    </row>
    <row r="21" spans="1:13" ht="57.75" customHeight="1">
      <c r="A21" s="3339" t="s">
        <v>530</v>
      </c>
      <c r="B21" s="3340" t="s">
        <v>3707</v>
      </c>
      <c r="C21" s="3340"/>
      <c r="D21" s="3340"/>
      <c r="E21" s="3340"/>
      <c r="F21" s="3340"/>
      <c r="G21" s="3340"/>
      <c r="H21" s="3340"/>
      <c r="I21" s="3340"/>
      <c r="J21" s="3340"/>
      <c r="K21" s="3340"/>
      <c r="L21" s="3340"/>
      <c r="M21" s="3340"/>
    </row>
    <row r="22" spans="1:13" ht="28.5" customHeight="1">
      <c r="A22" s="3339" t="s">
        <v>531</v>
      </c>
      <c r="B22" s="3340" t="s">
        <v>3761</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4" t="s">
        <v>1522</v>
      </c>
      <c r="B26" s="3340" t="s">
        <v>3762</v>
      </c>
      <c r="C26" s="3340"/>
      <c r="D26" s="3340"/>
      <c r="E26" s="3340"/>
      <c r="F26" s="3340"/>
      <c r="G26" s="3340"/>
      <c r="H26" s="3340"/>
      <c r="I26" s="3340"/>
      <c r="J26" s="3340"/>
      <c r="K26" s="3340"/>
      <c r="L26" s="3340"/>
      <c r="M26" s="3340"/>
    </row>
    <row r="27" spans="1:13" ht="28.5" customHeight="1">
      <c r="A27" s="914" t="s">
        <v>1522</v>
      </c>
      <c r="B27" s="3340" t="s">
        <v>3763</v>
      </c>
      <c r="C27" s="3340"/>
      <c r="D27" s="3340"/>
      <c r="E27" s="3340"/>
      <c r="F27" s="3340"/>
      <c r="G27" s="3340"/>
      <c r="H27" s="3340"/>
      <c r="I27" s="3340"/>
      <c r="J27" s="3340"/>
      <c r="K27" s="3340"/>
      <c r="L27" s="3340"/>
      <c r="M27" s="3340"/>
    </row>
    <row r="28" spans="1:13" ht="71.25" customHeight="1">
      <c r="A28" s="914" t="s">
        <v>1522</v>
      </c>
      <c r="B28" s="3340" t="s">
        <v>2866</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2867</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956</v>
      </c>
      <c r="B37" s="3345"/>
      <c r="C37" s="3345"/>
      <c r="D37" s="3345"/>
      <c r="E37" s="3345"/>
      <c r="F37" s="3345"/>
      <c r="G37" s="3344"/>
      <c r="H37" s="3345" t="s">
        <v>2055</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r0HnR+sxcVw/IETckVIEgBU729st6Gi9PJFwhEPbXG2NFZX6k6Fvu2fv88lkACtYVkmWsLexiHofUCc+GGG/9g==" saltValue="7TAAlTTG2VGKhUA+vYHDK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3545</v>
      </c>
      <c r="G13" s="2055"/>
      <c r="H13" s="2055"/>
      <c r="I13" s="2055"/>
      <c r="J13" s="2056"/>
      <c r="K13" s="312"/>
      <c r="L13" s="747" t="s">
        <v>3882</v>
      </c>
      <c r="M13" s="312"/>
      <c r="N13" s="2054" t="s">
        <v>3545</v>
      </c>
      <c r="O13" s="2055"/>
      <c r="P13" s="2055"/>
      <c r="Q13" s="2055"/>
      <c r="R13" s="2056"/>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3542</v>
      </c>
      <c r="L14" s="748" t="s">
        <v>2701</v>
      </c>
      <c r="M14" s="748" t="s">
        <v>1345</v>
      </c>
      <c r="N14" s="749">
        <v>0</v>
      </c>
      <c r="O14" s="750">
        <v>1</v>
      </c>
      <c r="P14" s="751">
        <v>2</v>
      </c>
      <c r="Q14" s="751">
        <v>3</v>
      </c>
      <c r="R14" s="752" t="s">
        <v>3542</v>
      </c>
      <c r="S14" s="325"/>
      <c r="T14" s="183"/>
      <c r="U14" s="183"/>
      <c r="V14" s="308"/>
      <c r="W14" s="308"/>
      <c r="X14" s="308"/>
      <c r="AA14" s="591"/>
      <c r="AB14" s="591"/>
    </row>
    <row r="15" spans="1:28" s="299" customFormat="1" ht="11.45" customHeight="1">
      <c r="A15" s="185"/>
      <c r="C15" s="348"/>
      <c r="D15" s="325" t="s">
        <v>1848</v>
      </c>
      <c r="E15" s="325" t="s">
        <v>3544</v>
      </c>
      <c r="F15" s="746">
        <v>118024</v>
      </c>
      <c r="G15" s="746">
        <v>155590</v>
      </c>
      <c r="H15" s="746">
        <v>186567</v>
      </c>
      <c r="I15" s="746">
        <v>224896</v>
      </c>
      <c r="J15" s="746">
        <v>265234</v>
      </c>
      <c r="L15" s="325" t="s">
        <v>1848</v>
      </c>
      <c r="M15" s="325" t="s">
        <v>3544</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3541</v>
      </c>
      <c r="F16" s="746">
        <v>97116</v>
      </c>
      <c r="G16" s="746">
        <v>135962</v>
      </c>
      <c r="H16" s="746">
        <v>174808</v>
      </c>
      <c r="I16" s="746">
        <v>233078</v>
      </c>
      <c r="J16" s="746">
        <v>291347</v>
      </c>
      <c r="L16" s="325" t="s">
        <v>1848</v>
      </c>
      <c r="M16" s="325" t="s">
        <v>3541</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3539</v>
      </c>
      <c r="F17" s="746">
        <v>112014</v>
      </c>
      <c r="G17" s="746">
        <v>148067</v>
      </c>
      <c r="H17" s="746">
        <v>178048</v>
      </c>
      <c r="I17" s="746">
        <v>215837</v>
      </c>
      <c r="J17" s="746">
        <v>257008</v>
      </c>
      <c r="L17" s="325" t="s">
        <v>1848</v>
      </c>
      <c r="M17" s="325" t="s">
        <v>3539</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3540</v>
      </c>
      <c r="F18" s="746">
        <v>91285</v>
      </c>
      <c r="G18" s="746">
        <v>126011</v>
      </c>
      <c r="H18" s="746">
        <v>159708</v>
      </c>
      <c r="I18" s="746">
        <v>208340</v>
      </c>
      <c r="J18" s="746">
        <v>259672</v>
      </c>
      <c r="L18" s="325" t="s">
        <v>1848</v>
      </c>
      <c r="M18" s="325" t="s">
        <v>3540</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3544</v>
      </c>
      <c r="F19" s="746">
        <v>135361</v>
      </c>
      <c r="G19" s="746">
        <v>178380</v>
      </c>
      <c r="H19" s="746">
        <v>213793</v>
      </c>
      <c r="I19" s="746">
        <v>257538</v>
      </c>
      <c r="J19" s="746">
        <v>303696</v>
      </c>
      <c r="L19" s="745" t="s">
        <v>1251</v>
      </c>
      <c r="M19" s="745" t="s">
        <v>3544</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3541</v>
      </c>
      <c r="F20" s="746">
        <v>111281</v>
      </c>
      <c r="G20" s="746">
        <v>155793</v>
      </c>
      <c r="H20" s="746">
        <v>200306</v>
      </c>
      <c r="I20" s="746">
        <v>267074</v>
      </c>
      <c r="J20" s="746">
        <v>333843</v>
      </c>
      <c r="L20" s="745" t="s">
        <v>1251</v>
      </c>
      <c r="M20" s="745" t="s">
        <v>3541</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3539</v>
      </c>
      <c r="F21" s="746">
        <v>128554</v>
      </c>
      <c r="G21" s="746">
        <v>169860</v>
      </c>
      <c r="H21" s="746">
        <v>204145</v>
      </c>
      <c r="I21" s="746">
        <v>247279</v>
      </c>
      <c r="J21" s="746">
        <v>294379</v>
      </c>
      <c r="L21" s="745" t="s">
        <v>1251</v>
      </c>
      <c r="M21" s="745" t="s">
        <v>3539</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3540</v>
      </c>
      <c r="F22" s="746">
        <v>104901</v>
      </c>
      <c r="G22" s="746">
        <v>144835</v>
      </c>
      <c r="H22" s="746">
        <v>183605</v>
      </c>
      <c r="I22" s="746">
        <v>239593</v>
      </c>
      <c r="J22" s="746">
        <v>298638</v>
      </c>
      <c r="L22" s="745" t="s">
        <v>1251</v>
      </c>
      <c r="M22" s="745" t="s">
        <v>3540</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3544</v>
      </c>
      <c r="F23" s="746">
        <v>122960</v>
      </c>
      <c r="G23" s="746">
        <v>161910</v>
      </c>
      <c r="H23" s="746">
        <v>193847</v>
      </c>
      <c r="I23" s="746">
        <v>233158</v>
      </c>
      <c r="J23" s="746">
        <v>274874</v>
      </c>
      <c r="L23" s="745" t="s">
        <v>1379</v>
      </c>
      <c r="M23" s="745" t="s">
        <v>3544</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3541</v>
      </c>
      <c r="F24" s="746">
        <v>100885</v>
      </c>
      <c r="G24" s="746">
        <v>141240</v>
      </c>
      <c r="H24" s="746">
        <v>181594</v>
      </c>
      <c r="I24" s="746">
        <v>242125</v>
      </c>
      <c r="J24" s="746">
        <v>302656</v>
      </c>
      <c r="L24" s="745" t="s">
        <v>1379</v>
      </c>
      <c r="M24" s="745" t="s">
        <v>3541</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3539</v>
      </c>
      <c r="F25" s="746">
        <v>116950</v>
      </c>
      <c r="G25" s="746">
        <v>154387</v>
      </c>
      <c r="H25" s="746">
        <v>185328</v>
      </c>
      <c r="I25" s="746">
        <v>224100</v>
      </c>
      <c r="J25" s="746">
        <v>266647</v>
      </c>
      <c r="L25" s="745" t="s">
        <v>1379</v>
      </c>
      <c r="M25" s="745" t="s">
        <v>3539</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3540</v>
      </c>
      <c r="F26" s="746">
        <v>95704</v>
      </c>
      <c r="G26" s="746">
        <v>132198</v>
      </c>
      <c r="H26" s="746">
        <v>167662</v>
      </c>
      <c r="I26" s="746">
        <v>218946</v>
      </c>
      <c r="J26" s="746">
        <v>272929</v>
      </c>
      <c r="L26" s="745" t="s">
        <v>1379</v>
      </c>
      <c r="M26" s="745" t="s">
        <v>3540</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3544</v>
      </c>
      <c r="F27" s="746">
        <v>123063</v>
      </c>
      <c r="G27" s="746">
        <v>162311</v>
      </c>
      <c r="H27" s="746">
        <v>194751</v>
      </c>
      <c r="I27" s="746">
        <v>234976</v>
      </c>
      <c r="J27" s="746">
        <v>277167</v>
      </c>
      <c r="L27" s="745" t="s">
        <v>12</v>
      </c>
      <c r="M27" s="745" t="s">
        <v>3544</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3541</v>
      </c>
      <c r="F28" s="746">
        <v>101384</v>
      </c>
      <c r="G28" s="746">
        <v>141938</v>
      </c>
      <c r="H28" s="746">
        <v>182491</v>
      </c>
      <c r="I28" s="746">
        <v>243321</v>
      </c>
      <c r="J28" s="746">
        <v>304152</v>
      </c>
      <c r="L28" s="745" t="s">
        <v>12</v>
      </c>
      <c r="M28" s="745" t="s">
        <v>3541</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3539</v>
      </c>
      <c r="F29" s="746">
        <v>116690</v>
      </c>
      <c r="G29" s="746">
        <v>154334</v>
      </c>
      <c r="H29" s="746">
        <v>185719</v>
      </c>
      <c r="I29" s="746">
        <v>225372</v>
      </c>
      <c r="J29" s="746">
        <v>268445</v>
      </c>
      <c r="L29" s="745" t="s">
        <v>12</v>
      </c>
      <c r="M29" s="745" t="s">
        <v>3539</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3540</v>
      </c>
      <c r="F30" s="746">
        <v>94930</v>
      </c>
      <c r="G30" s="746">
        <v>131005</v>
      </c>
      <c r="H30" s="746">
        <v>165990</v>
      </c>
      <c r="I30" s="746">
        <v>216440</v>
      </c>
      <c r="J30" s="746">
        <v>269751</v>
      </c>
      <c r="L30" s="745" t="s">
        <v>12</v>
      </c>
      <c r="M30" s="745" t="s">
        <v>3540</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3544</v>
      </c>
      <c r="F31" s="746">
        <v>120492</v>
      </c>
      <c r="G31" s="746">
        <v>158750</v>
      </c>
      <c r="H31" s="746">
        <v>190207</v>
      </c>
      <c r="I31" s="746">
        <v>229027</v>
      </c>
      <c r="J31" s="746">
        <v>270054</v>
      </c>
      <c r="L31" s="325" t="s">
        <v>166</v>
      </c>
      <c r="M31" s="325" t="s">
        <v>3544</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3541</v>
      </c>
      <c r="F32" s="746">
        <v>99001</v>
      </c>
      <c r="G32" s="746">
        <v>138601</v>
      </c>
      <c r="H32" s="746">
        <v>178201</v>
      </c>
      <c r="I32" s="746">
        <v>237601</v>
      </c>
      <c r="J32" s="746">
        <v>297002</v>
      </c>
      <c r="L32" s="325" t="s">
        <v>166</v>
      </c>
      <c r="M32" s="325" t="s">
        <v>3541</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3539</v>
      </c>
      <c r="F33" s="746">
        <v>114482</v>
      </c>
      <c r="G33" s="746">
        <v>151227</v>
      </c>
      <c r="H33" s="746">
        <v>181688</v>
      </c>
      <c r="I33" s="746">
        <v>219969</v>
      </c>
      <c r="J33" s="746">
        <v>261827</v>
      </c>
      <c r="L33" s="325" t="s">
        <v>166</v>
      </c>
      <c r="M33" s="325" t="s">
        <v>3539</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3540</v>
      </c>
      <c r="F34" s="746">
        <v>93495</v>
      </c>
      <c r="G34" s="746">
        <v>129104</v>
      </c>
      <c r="H34" s="746">
        <v>163685</v>
      </c>
      <c r="I34" s="746">
        <v>213643</v>
      </c>
      <c r="J34" s="746">
        <v>266301</v>
      </c>
      <c r="L34" s="325" t="s">
        <v>166</v>
      </c>
      <c r="M34" s="325" t="s">
        <v>3540</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3544</v>
      </c>
      <c r="F35" s="746">
        <v>121705</v>
      </c>
      <c r="G35" s="746">
        <v>160465</v>
      </c>
      <c r="H35" s="746">
        <v>192448</v>
      </c>
      <c r="I35" s="746">
        <v>232045</v>
      </c>
      <c r="J35" s="746">
        <v>273679</v>
      </c>
      <c r="L35" s="745" t="s">
        <v>1369</v>
      </c>
      <c r="M35" s="745" t="s">
        <v>3544</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3541</v>
      </c>
      <c r="F36" s="746">
        <v>100179</v>
      </c>
      <c r="G36" s="746">
        <v>140251</v>
      </c>
      <c r="H36" s="746">
        <v>180323</v>
      </c>
      <c r="I36" s="746">
        <v>240430</v>
      </c>
      <c r="J36" s="746">
        <v>300538</v>
      </c>
      <c r="L36" s="745" t="s">
        <v>1369</v>
      </c>
      <c r="M36" s="745" t="s">
        <v>3541</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3539</v>
      </c>
      <c r="F37" s="746">
        <v>115478</v>
      </c>
      <c r="G37" s="746">
        <v>152670</v>
      </c>
      <c r="H37" s="746">
        <v>183621</v>
      </c>
      <c r="I37" s="746">
        <v>222660</v>
      </c>
      <c r="J37" s="746">
        <v>265155</v>
      </c>
      <c r="L37" s="745" t="s">
        <v>1369</v>
      </c>
      <c r="M37" s="745" t="s">
        <v>3539</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3540</v>
      </c>
      <c r="F38" s="746">
        <v>94061</v>
      </c>
      <c r="G38" s="746">
        <v>129832</v>
      </c>
      <c r="H38" s="746">
        <v>164538</v>
      </c>
      <c r="I38" s="746">
        <v>214614</v>
      </c>
      <c r="J38" s="746">
        <v>267487</v>
      </c>
      <c r="L38" s="745" t="s">
        <v>1369</v>
      </c>
      <c r="M38" s="745" t="s">
        <v>3540</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3544</v>
      </c>
      <c r="F39" s="746">
        <v>131289</v>
      </c>
      <c r="G39" s="746">
        <v>172843</v>
      </c>
      <c r="H39" s="746">
        <v>206884</v>
      </c>
      <c r="I39" s="746">
        <v>248747</v>
      </c>
      <c r="J39" s="746">
        <v>293233</v>
      </c>
      <c r="L39" s="745" t="s">
        <v>2348</v>
      </c>
      <c r="M39" s="745" t="s">
        <v>3544</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3541</v>
      </c>
      <c r="F40" s="746">
        <v>107667</v>
      </c>
      <c r="G40" s="746">
        <v>150734</v>
      </c>
      <c r="H40" s="746">
        <v>193800</v>
      </c>
      <c r="I40" s="746">
        <v>258401</v>
      </c>
      <c r="J40" s="746">
        <v>323001</v>
      </c>
      <c r="L40" s="745" t="s">
        <v>2348</v>
      </c>
      <c r="M40" s="745" t="s">
        <v>3541</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3539</v>
      </c>
      <c r="F41" s="746">
        <v>124917</v>
      </c>
      <c r="G41" s="746">
        <v>164867</v>
      </c>
      <c r="H41" s="746">
        <v>197852</v>
      </c>
      <c r="I41" s="746">
        <v>239143</v>
      </c>
      <c r="J41" s="746">
        <v>284510</v>
      </c>
      <c r="L41" s="745" t="s">
        <v>2348</v>
      </c>
      <c r="M41" s="745" t="s">
        <v>3539</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3540</v>
      </c>
      <c r="F42" s="746">
        <v>102295</v>
      </c>
      <c r="G42" s="746">
        <v>141317</v>
      </c>
      <c r="H42" s="746">
        <v>179248</v>
      </c>
      <c r="I42" s="746">
        <v>234116</v>
      </c>
      <c r="J42" s="746">
        <v>291847</v>
      </c>
      <c r="L42" s="745" t="s">
        <v>2348</v>
      </c>
      <c r="M42" s="745" t="s">
        <v>3540</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3544</v>
      </c>
      <c r="F43" s="746">
        <v>123885</v>
      </c>
      <c r="G43" s="746">
        <v>163364</v>
      </c>
      <c r="H43" s="746">
        <v>195965</v>
      </c>
      <c r="I43" s="746">
        <v>236353</v>
      </c>
      <c r="J43" s="746">
        <v>278774</v>
      </c>
      <c r="L43" s="745" t="s">
        <v>1375</v>
      </c>
      <c r="M43" s="745" t="s">
        <v>3544</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3541</v>
      </c>
      <c r="F44" s="746">
        <v>102012</v>
      </c>
      <c r="G44" s="746">
        <v>142817</v>
      </c>
      <c r="H44" s="746">
        <v>183622</v>
      </c>
      <c r="I44" s="746">
        <v>244829</v>
      </c>
      <c r="J44" s="746">
        <v>306037</v>
      </c>
      <c r="L44" s="745" t="s">
        <v>1375</v>
      </c>
      <c r="M44" s="745" t="s">
        <v>3541</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3539</v>
      </c>
      <c r="F45" s="746">
        <v>117513</v>
      </c>
      <c r="G45" s="746">
        <v>155388</v>
      </c>
      <c r="H45" s="746">
        <v>186932</v>
      </c>
      <c r="I45" s="746">
        <v>226749</v>
      </c>
      <c r="J45" s="746">
        <v>270051</v>
      </c>
      <c r="L45" s="745" t="s">
        <v>1375</v>
      </c>
      <c r="M45" s="745" t="s">
        <v>3539</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3540</v>
      </c>
      <c r="F46" s="746">
        <v>95666</v>
      </c>
      <c r="G46" s="746">
        <v>132036</v>
      </c>
      <c r="H46" s="746">
        <v>167316</v>
      </c>
      <c r="I46" s="746">
        <v>218207</v>
      </c>
      <c r="J46" s="746">
        <v>271960</v>
      </c>
      <c r="L46" s="745" t="s">
        <v>1375</v>
      </c>
      <c r="M46" s="745" t="s">
        <v>3540</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3544</v>
      </c>
      <c r="F47" s="746">
        <v>116379</v>
      </c>
      <c r="G47" s="746">
        <v>153483</v>
      </c>
      <c r="H47" s="746">
        <v>184141</v>
      </c>
      <c r="I47" s="746">
        <v>222141</v>
      </c>
      <c r="J47" s="746">
        <v>262021</v>
      </c>
      <c r="L47" s="745" t="s">
        <v>1760</v>
      </c>
      <c r="M47" s="745" t="s">
        <v>3544</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3541</v>
      </c>
      <c r="F48" s="746">
        <v>95859</v>
      </c>
      <c r="G48" s="746">
        <v>134203</v>
      </c>
      <c r="H48" s="746">
        <v>172546</v>
      </c>
      <c r="I48" s="746">
        <v>230062</v>
      </c>
      <c r="J48" s="746">
        <v>287577</v>
      </c>
      <c r="L48" s="745" t="s">
        <v>1760</v>
      </c>
      <c r="M48" s="745" t="s">
        <v>3541</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3539</v>
      </c>
      <c r="F49" s="746">
        <v>110368</v>
      </c>
      <c r="G49" s="746">
        <v>145960</v>
      </c>
      <c r="H49" s="746">
        <v>175622</v>
      </c>
      <c r="I49" s="746">
        <v>213083</v>
      </c>
      <c r="J49" s="746">
        <v>253794</v>
      </c>
      <c r="L49" s="745" t="s">
        <v>1760</v>
      </c>
      <c r="M49" s="745" t="s">
        <v>3539</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3540</v>
      </c>
      <c r="F50" s="746">
        <v>89812</v>
      </c>
      <c r="G50" s="746">
        <v>123948</v>
      </c>
      <c r="H50" s="746">
        <v>157056</v>
      </c>
      <c r="I50" s="746">
        <v>204805</v>
      </c>
      <c r="J50" s="746">
        <v>255253</v>
      </c>
      <c r="L50" s="745" t="s">
        <v>1760</v>
      </c>
      <c r="M50" s="745" t="s">
        <v>3540</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4093</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4092</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3680</v>
      </c>
      <c r="G91" s="185"/>
      <c r="H91" s="183"/>
      <c r="I91" s="183"/>
      <c r="J91" s="185" t="s">
        <v>3681</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3" t="s">
        <v>2943</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4138</v>
      </c>
      <c r="B124" s="185"/>
      <c r="C124" s="185"/>
      <c r="D124" s="183"/>
      <c r="E124" s="183"/>
      <c r="F124" s="185" t="s">
        <v>4141</v>
      </c>
      <c r="G124" s="185"/>
      <c r="H124" s="183"/>
      <c r="I124" s="183"/>
      <c r="J124" s="185" t="s">
        <v>4142</v>
      </c>
      <c r="K124" s="185"/>
      <c r="L124" s="185"/>
      <c r="M124" s="185"/>
      <c r="N124" s="185"/>
      <c r="O124" s="185"/>
      <c r="P124" s="183"/>
      <c r="Q124" s="2063">
        <v>0.05</v>
      </c>
      <c r="R124" s="2063"/>
      <c r="S124" s="183"/>
      <c r="T124" s="183"/>
      <c r="U124" s="183"/>
      <c r="V124" s="1340"/>
      <c r="W124" s="1340"/>
      <c r="X124" s="186"/>
      <c r="AA124" s="591"/>
      <c r="AB124" s="591"/>
    </row>
    <row r="125" spans="1:28" s="299" customFormat="1" ht="12.75" customHeight="1">
      <c r="A125" s="304"/>
      <c r="B125" s="185"/>
      <c r="C125" s="185"/>
      <c r="D125" s="183"/>
      <c r="E125" s="183"/>
      <c r="F125" s="185"/>
      <c r="G125" s="185" t="s">
        <v>4139</v>
      </c>
      <c r="H125" s="183"/>
      <c r="I125" s="183"/>
      <c r="J125" s="185" t="s">
        <v>4143</v>
      </c>
      <c r="K125" s="185"/>
      <c r="L125" s="185"/>
      <c r="M125" s="185"/>
      <c r="N125" s="185"/>
      <c r="O125" s="185"/>
      <c r="P125" s="183"/>
      <c r="Q125" s="2063">
        <v>0.4</v>
      </c>
      <c r="R125" s="2063"/>
      <c r="S125" s="183"/>
      <c r="T125" s="183"/>
      <c r="U125" s="183"/>
      <c r="V125" s="1340"/>
      <c r="W125" s="1340"/>
      <c r="X125" s="186"/>
      <c r="AA125" s="591"/>
      <c r="AB125" s="591"/>
    </row>
    <row r="126" spans="1:28" s="299" customFormat="1" ht="12.75" customHeight="1">
      <c r="A126" s="304"/>
      <c r="B126" s="185"/>
      <c r="C126" s="185"/>
      <c r="D126" s="183"/>
      <c r="E126" s="183"/>
      <c r="F126" s="185" t="s">
        <v>4140</v>
      </c>
      <c r="G126" s="185"/>
      <c r="H126" s="183"/>
      <c r="I126" s="183"/>
      <c r="J126" s="185" t="s">
        <v>4142</v>
      </c>
      <c r="K126" s="185"/>
      <c r="L126" s="185"/>
      <c r="M126" s="185"/>
      <c r="N126" s="185"/>
      <c r="O126" s="185"/>
      <c r="P126" s="183"/>
      <c r="Q126" s="2063">
        <v>0.02</v>
      </c>
      <c r="R126" s="206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3591</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3592</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3592</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3592</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3592</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3592</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3592</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3592</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3592</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3592</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3592</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3592</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3592</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3592</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3592</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3592</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3592</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3592</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3592</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3592</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3592</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3592</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3592</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3592</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3592</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3592</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3592</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3592</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3592</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3592</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3592</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3592</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3592</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3592</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3592</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3592</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3592</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3592</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3592</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3592</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3592</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3592</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3592</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3592</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3592</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3592</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3592</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3592</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3592</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3592</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3592</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3592</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3592</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3592</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3592</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3592</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3592</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3592</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3592</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3592</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3592</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3592</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3592</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3592</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3592</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3592</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3592</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3592</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3592</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3592</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3592</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3592</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3592</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2986</v>
      </c>
      <c r="S213" s="579" t="s">
        <v>652</v>
      </c>
      <c r="U213" s="484" t="s">
        <v>745</v>
      </c>
      <c r="V213" s="484" t="s">
        <v>3592</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3592</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3592</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3592</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3592</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3592</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3592</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3592</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3592</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3592</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3592</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3592</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3592</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3582</v>
      </c>
      <c r="V226" s="484" t="s">
        <v>3592</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3592</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2987</v>
      </c>
      <c r="S228" s="579" t="s">
        <v>695</v>
      </c>
      <c r="U228" s="484" t="s">
        <v>2473</v>
      </c>
      <c r="V228" s="484" t="s">
        <v>3592</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3592</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3592</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3592</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3592</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2988</v>
      </c>
      <c r="S233" s="579" t="s">
        <v>2322</v>
      </c>
      <c r="U233" s="484" t="s">
        <v>819</v>
      </c>
      <c r="V233" s="484" t="s">
        <v>3592</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3583</v>
      </c>
      <c r="V234" s="484" t="s">
        <v>3592</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3584</v>
      </c>
      <c r="V235" s="484" t="s">
        <v>3592</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3592</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3592</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3592</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3592</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3592</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3592</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2989</v>
      </c>
      <c r="S242" s="579" t="s">
        <v>907</v>
      </c>
      <c r="U242" s="484" t="s">
        <v>595</v>
      </c>
      <c r="V242" s="484" t="s">
        <v>3592</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3592</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3592</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3592</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3592</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3592</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3592</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3592</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3592</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2990</v>
      </c>
      <c r="S251" s="579" t="s">
        <v>688</v>
      </c>
      <c r="U251" s="484" t="s">
        <v>2368</v>
      </c>
      <c r="V251" s="484" t="s">
        <v>3592</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3592</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3592</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3592</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3592</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3592</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3592</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3592</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3592</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3592</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3592</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3592</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3592</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3592</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3585</v>
      </c>
      <c r="V265" s="484" t="s">
        <v>3592</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3586</v>
      </c>
      <c r="V266" s="484" t="s">
        <v>3592</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3592</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3592</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3592</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3592</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3592</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3592</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3592</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3592</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3592</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3592</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3592</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3592</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3592</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3592</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3592</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3592</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2991</v>
      </c>
      <c r="S283" s="579" t="s">
        <v>1139</v>
      </c>
      <c r="U283" s="484" t="s">
        <v>1632</v>
      </c>
      <c r="V283" s="484" t="s">
        <v>3592</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3592</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3592</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3592</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3592</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3587</v>
      </c>
      <c r="V288" s="484" t="s">
        <v>3592</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3588</v>
      </c>
      <c r="V289" s="484" t="s">
        <v>3592</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3592</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3592</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3592</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3592</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3592</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3592</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3589</v>
      </c>
      <c r="V296" s="484" t="s">
        <v>3592</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3592</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3592</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3592</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3592</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3592</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3592</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3592</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3592</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3592</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3592</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3592</v>
      </c>
      <c r="AA307" s="1335"/>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3592</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3592</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3592</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3592</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3590</v>
      </c>
      <c r="V312" s="484" t="s">
        <v>3592</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3592</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3592</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3592</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3592</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3592</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3592</v>
      </c>
      <c r="AA318" s="1336"/>
    </row>
    <row r="319" spans="6:27" ht="10.5" customHeight="1">
      <c r="F319" s="371"/>
      <c r="G319" s="348"/>
      <c r="H319" s="348"/>
      <c r="I319" s="348"/>
      <c r="J319" s="348"/>
      <c r="K319" s="348"/>
      <c r="L319" s="348"/>
      <c r="M319" s="348"/>
      <c r="N319" s="678" t="s">
        <v>1183</v>
      </c>
      <c r="O319" s="325"/>
      <c r="P319" s="185"/>
      <c r="Q319" s="433"/>
      <c r="R319" s="579" t="s">
        <v>2993</v>
      </c>
      <c r="S319" s="579" t="s">
        <v>2570</v>
      </c>
      <c r="U319" s="484" t="s">
        <v>974</v>
      </c>
      <c r="V319" s="484" t="s">
        <v>3592</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3592</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3592</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3592</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3592</v>
      </c>
      <c r="AA323" s="1335"/>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3592</v>
      </c>
      <c r="AA324" s="1335"/>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2501</v>
      </c>
      <c r="V325" s="484" t="s">
        <v>3592</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3592</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3592</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3592</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3592</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3592</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3592</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3592</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3592</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3592</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3592</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3592</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3592</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3592</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3592</v>
      </c>
      <c r="AA339" s="1336"/>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3592</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3592</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3592</v>
      </c>
      <c r="AA342" s="1335"/>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3592</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3592</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3592</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3592</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3592</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3592</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3592</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3592</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3592</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3592</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3592</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3592</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3592</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3592</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3592</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3592</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3592</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3592</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3592</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3592</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3592</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3592</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3592</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3592</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3592</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3592</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3592</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3592</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3592</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3592</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3592</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2998</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2999</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3000</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3001</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3002</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3003</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3004</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3005</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3006</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3007</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3008</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3009</v>
      </c>
      <c r="S643" s="579" t="s">
        <v>339</v>
      </c>
      <c r="AA643" s="1335"/>
    </row>
    <row r="644" spans="6:27" ht="10.5" customHeight="1">
      <c r="F644" s="371"/>
      <c r="G644" s="348"/>
      <c r="H644" s="348"/>
      <c r="I644" s="348"/>
      <c r="J644" s="348"/>
      <c r="K644" s="348"/>
      <c r="L644" s="348"/>
      <c r="M644" s="348"/>
      <c r="N644" s="678" t="s">
        <v>1196</v>
      </c>
      <c r="O644" s="325"/>
      <c r="P644" s="185"/>
      <c r="Q644" s="433"/>
      <c r="R644" s="680" t="s">
        <v>3010</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3011</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3012</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0"/>
      <c r="O680" s="2061"/>
      <c r="P680" s="2061"/>
      <c r="Q680" s="2062"/>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3013</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3014</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3E/pQF1zvz4ss30mGAH9XuOIMYte5p9hksPvDY+xO+dO02y7X3i50trPgaCEl7nskB6J3gcQmOanxrzrtlE5w==" saltValue="N0zTW8/TQPBA39/YX2SW2g=="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0" workbookViewId="0">
      <selection activeCell="A1010" sqref="A1:XFD1048576"/>
    </sheetView>
  </sheetViews>
  <sheetFormatPr defaultColWidth="9.140625" defaultRowHeight="12.75"/>
  <cols>
    <col min="1" max="1" width="9.5703125" style="877" bestFit="1" customWidth="1"/>
    <col min="2" max="2" width="10.7109375" style="877" bestFit="1" customWidth="1"/>
    <col min="3" max="4" width="10.28515625" style="877" bestFit="1" customWidth="1"/>
    <col min="5" max="6" width="11.85546875" style="877" bestFit="1" customWidth="1"/>
    <col min="7" max="7" width="10" style="877" bestFit="1" customWidth="1"/>
    <col min="8" max="8" width="14.7109375" style="877" bestFit="1" customWidth="1"/>
    <col min="9" max="9" width="14.5703125" style="877" bestFit="1" customWidth="1"/>
    <col min="10" max="10" width="10" style="877" bestFit="1" customWidth="1"/>
    <col min="11" max="11" width="9.5703125" style="877" bestFit="1" customWidth="1"/>
    <col min="12" max="12" width="13" style="877" bestFit="1" customWidth="1"/>
    <col min="13" max="13" width="11.85546875" style="877" bestFit="1" customWidth="1"/>
    <col min="14" max="14" width="9.5703125" style="877" bestFit="1" customWidth="1"/>
    <col min="15" max="15" width="12.42578125" style="877" bestFit="1" customWidth="1"/>
    <col min="16" max="16" width="15.5703125" style="877" bestFit="1" customWidth="1"/>
    <col min="17" max="17" width="11.85546875" style="877" bestFit="1" customWidth="1"/>
    <col min="18" max="278" width="9.5703125" style="877" bestFit="1" customWidth="1"/>
    <col min="279" max="16384" width="9.140625" style="877"/>
  </cols>
  <sheetData>
    <row r="1" spans="1:1" ht="15.75">
      <c r="A1" s="2065" t="s">
        <v>1015</v>
      </c>
    </row>
    <row r="2" spans="1:1" ht="16.5">
      <c r="A2" s="2066" t="str">
        <f>'Part I-Project Information'!F24</f>
        <v>240 Atlanta Street Development Phase 2</v>
      </c>
    </row>
    <row r="3" spans="1:1" ht="16.5">
      <c r="A3" s="2066" t="str">
        <f>CONCATENATE('Part I-Project Information'!F28,", ", 'Part I-Project Information'!J29," County")</f>
        <v>Gainesville, Hall County</v>
      </c>
    </row>
    <row r="5" spans="1:1" ht="12.75" customHeight="1">
      <c r="A5" s="2067" t="str">
        <f>'Project Narrative'!A5</f>
        <v>240 Atlanta Street Development (Phase 2) will be developed, built and managed through the joint efforts of Walton Communities and the Gainesville Housing Authority.  This development will consist of +/- 90 one- and two-bedroom units displaying exceptional interior appointments with the highest quality elevations.  The units serve moderate-income seniors of 55 years of age and older earning 60% or less of the area median income.  In order to reach these potential residents, marketing efforts will reach out to senior centers, churches, work-force employment centers such as the call centers in the area, retail and service industries, local government employees, teachers and seniors.  
240 Atlanta Street Development (Phase 2) will offer a laundry facility, a community room set aside for resident use and a covered porch as well as a pavilion and landscaped courtyard.  Programs will also be available for adults;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Floorplans at 240 Atlanta Street Development (Phase 2) will include spacious one and two-bedroom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Amenities
Standard Site Amenities
1. Community Room
2. Gazebo
3. On-site laundry with a minimum of 1 washer and 1 dryer per 25 units
4. Washer / Dryer Hookups in each unit
5. Furnished Exercise/Fitness Center
6. Furnished Library
Unit Amenities
1. HVAC Systems
2. Energy Star Refrigerators
3. Built in Energy Star Dishwasher
4. Stoves
5. Powder-based stovetop fire suppression canisters installed above the range cook top
Services:
- Games, Senior Proms, Day Trips and other events are planned/overseen
- Exercise and cultural classes are provided.
- Cultural Enrichment Program - Walton Communities offers a 90% reimbursment towards various cultural attractions</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4414</v>
      </c>
      <c r="H28" s="2070"/>
      <c r="I28" s="2070"/>
      <c r="J28" s="2070"/>
      <c r="K28" s="2070"/>
      <c r="L28" s="2069"/>
      <c r="M28" s="2070"/>
      <c r="N28" s="2070"/>
      <c r="O28" s="2068" t="s">
        <v>2779</v>
      </c>
      <c r="P28" s="2068"/>
    </row>
    <row r="29" spans="1:16" ht="13.5">
      <c r="A29" s="2069"/>
      <c r="B29" s="2068"/>
      <c r="C29" s="2070"/>
      <c r="D29" s="2070"/>
      <c r="E29" s="2070"/>
      <c r="F29" s="2069"/>
      <c r="G29" s="2072" t="s">
        <v>4415</v>
      </c>
      <c r="H29" s="2073"/>
      <c r="I29" s="2073"/>
      <c r="J29" s="2073"/>
      <c r="K29" s="2070"/>
      <c r="L29" s="2070"/>
      <c r="M29" s="2070"/>
      <c r="N29" s="2070"/>
      <c r="O29" s="2068" t="str">
        <f>'Part I-Project Information'!O4</f>
        <v>2016-032</v>
      </c>
      <c r="P29" s="2068"/>
    </row>
    <row r="30" spans="1:16">
      <c r="A30" s="2069"/>
      <c r="B30" s="2068" t="str">
        <f>'Part I-Project Information'!B5</f>
        <v>May 2016 Revision v6</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4416</v>
      </c>
      <c r="K35" s="2068"/>
      <c r="L35" s="2073"/>
      <c r="M35" s="2070"/>
      <c r="N35" s="2070"/>
      <c r="O35" s="2070" t="str">
        <f>'Part I-Project Information'!O10</f>
        <v>2016PA-052</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David K. Loeffel</v>
      </c>
      <c r="G40" s="2070"/>
      <c r="H40" s="2070"/>
      <c r="I40" s="2070"/>
      <c r="J40" s="2070"/>
      <c r="K40" s="2070"/>
      <c r="L40" s="2070"/>
      <c r="M40" s="2076" t="s">
        <v>2055</v>
      </c>
      <c r="N40" s="2070" t="str">
        <f>'Part I-Project Information'!N15</f>
        <v>Principal - Affordable Housing Investments</v>
      </c>
      <c r="O40" s="2070"/>
      <c r="P40" s="2070"/>
    </row>
    <row r="41" spans="1:16">
      <c r="A41" s="2070"/>
      <c r="B41" s="2076" t="s">
        <v>2056</v>
      </c>
      <c r="C41" s="2070"/>
      <c r="D41" s="2070"/>
      <c r="E41" s="2070"/>
      <c r="F41" s="2070" t="str">
        <f>'Part I-Project Information'!F16</f>
        <v>2181 Newmarket Parkway</v>
      </c>
      <c r="G41" s="2070"/>
      <c r="H41" s="2070"/>
      <c r="I41" s="2070"/>
      <c r="J41" s="2070"/>
      <c r="K41" s="2070"/>
      <c r="L41" s="2070"/>
      <c r="M41" s="2076" t="s">
        <v>1787</v>
      </c>
      <c r="N41" s="2070"/>
      <c r="O41" s="2085">
        <f>'Part I-Project Information'!O16</f>
        <v>4049695367</v>
      </c>
      <c r="P41" s="2085"/>
    </row>
    <row r="42" spans="1:16">
      <c r="A42" s="2070"/>
      <c r="B42" s="2076" t="s">
        <v>642</v>
      </c>
      <c r="C42" s="2070"/>
      <c r="D42" s="2070"/>
      <c r="E42" s="2070"/>
      <c r="F42" s="2070" t="str">
        <f>'Part I-Project Information'!F17</f>
        <v>Marietta</v>
      </c>
      <c r="G42" s="2070"/>
      <c r="H42" s="2070"/>
      <c r="I42" s="2070"/>
      <c r="J42" s="2070"/>
      <c r="K42" s="2070"/>
      <c r="L42" s="2070"/>
      <c r="M42" s="2076" t="s">
        <v>1868</v>
      </c>
      <c r="N42" s="2070"/>
      <c r="O42" s="2085">
        <f>'Part I-Project Information'!O17</f>
        <v>6783034132</v>
      </c>
      <c r="P42" s="2085"/>
    </row>
    <row r="43" spans="1:16">
      <c r="A43" s="2070"/>
      <c r="B43" s="2076" t="s">
        <v>1865</v>
      </c>
      <c r="C43" s="2070"/>
      <c r="D43" s="2070"/>
      <c r="E43" s="2070"/>
      <c r="F43" s="2086" t="str">
        <f>'Part I-Project Information'!F18</f>
        <v>GA</v>
      </c>
      <c r="G43" s="2070"/>
      <c r="H43" s="2070"/>
      <c r="I43" s="2073" t="s">
        <v>2308</v>
      </c>
      <c r="J43" s="2087">
        <f>'Part I-Project Information'!J18</f>
        <v>300678770</v>
      </c>
      <c r="K43" s="2087"/>
      <c r="L43" s="2070"/>
      <c r="M43" s="2076" t="s">
        <v>2054</v>
      </c>
      <c r="N43" s="2070"/>
      <c r="O43" s="2085">
        <f>'Part I-Project Information'!O18</f>
        <v>4049695367</v>
      </c>
      <c r="P43" s="2085"/>
    </row>
    <row r="44" spans="1:16">
      <c r="A44" s="2070"/>
      <c r="B44" s="2076" t="s">
        <v>1786</v>
      </c>
      <c r="C44" s="2070"/>
      <c r="D44" s="2070"/>
      <c r="E44" s="2070"/>
      <c r="F44" s="2085">
        <f>'Part I-Project Information'!F19</f>
        <v>6783034127</v>
      </c>
      <c r="G44" s="2085"/>
      <c r="H44" s="2085"/>
      <c r="I44" s="2073" t="s">
        <v>1785</v>
      </c>
      <c r="J44" s="2073">
        <f>'Part I-Project Information'!J19</f>
        <v>0</v>
      </c>
      <c r="K44" s="2073" t="s">
        <v>2059</v>
      </c>
      <c r="L44" s="2070" t="str">
        <f>'Part I-Project Information'!L19</f>
        <v>dloeffel@waltoncommunities.com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240 Atlanta Street Development Phase 2</v>
      </c>
      <c r="G49" s="2089"/>
      <c r="H49" s="2089"/>
      <c r="I49" s="2089"/>
      <c r="J49" s="2089"/>
      <c r="K49" s="2089"/>
      <c r="L49" s="2076" t="s">
        <v>2271</v>
      </c>
      <c r="M49" s="2070"/>
      <c r="N49" s="2070"/>
      <c r="O49" s="2070" t="str">
        <f>'Part I-Project Information'!O24</f>
        <v>Yes- w/Master Plan</v>
      </c>
      <c r="P49" s="2070"/>
    </row>
    <row r="50" spans="1:16">
      <c r="A50" s="2090"/>
      <c r="B50" s="2070" t="s">
        <v>2802</v>
      </c>
      <c r="C50" s="2070"/>
      <c r="D50" s="2082"/>
      <c r="E50" s="2070"/>
      <c r="F50" s="2089" t="str">
        <f>'Part I-Project Information'!F25</f>
        <v>240 Atlanta Street</v>
      </c>
      <c r="G50" s="2089"/>
      <c r="H50" s="2089"/>
      <c r="I50" s="2089"/>
      <c r="J50" s="2089"/>
      <c r="K50" s="2089"/>
      <c r="L50" s="2070" t="s">
        <v>4126</v>
      </c>
      <c r="M50" s="2070"/>
      <c r="N50" s="2070"/>
      <c r="O50" s="2070" t="str">
        <f>'Part I-Project Information'!O25</f>
        <v>2015-046</v>
      </c>
      <c r="P50" s="2070"/>
    </row>
    <row r="51" spans="1:16">
      <c r="A51" s="2090"/>
      <c r="B51" s="2070" t="s">
        <v>4417</v>
      </c>
      <c r="C51" s="2070"/>
      <c r="D51" s="2082"/>
      <c r="E51" s="2070"/>
      <c r="F51" s="2089">
        <f>'Part I-Project Information'!F26</f>
        <v>0</v>
      </c>
      <c r="G51" s="2089"/>
      <c r="H51" s="2089"/>
      <c r="I51" s="2089"/>
      <c r="J51" s="2089"/>
      <c r="K51" s="2089"/>
      <c r="L51" s="2076" t="s">
        <v>2128</v>
      </c>
      <c r="M51" s="2070"/>
      <c r="N51" s="2070" t="str">
        <f>'Part I-Project Information'!N26</f>
        <v>No</v>
      </c>
      <c r="O51" s="2073" t="s">
        <v>4125</v>
      </c>
      <c r="P51" s="2070">
        <f>'Part I-Project Information'!P26</f>
        <v>0</v>
      </c>
    </row>
    <row r="52" spans="1:16" ht="13.5">
      <c r="A52" s="2090"/>
      <c r="B52" s="2070" t="s">
        <v>2898</v>
      </c>
      <c r="C52" s="2070"/>
      <c r="D52" s="2082"/>
      <c r="E52" s="2070"/>
      <c r="F52" s="2091" t="s">
        <v>4375</v>
      </c>
      <c r="G52" s="2092" t="str">
        <f>'Part I-Project Information'!$G$27</f>
        <v>34°17'43.65"N</v>
      </c>
      <c r="H52" s="2092"/>
      <c r="I52" s="2091" t="s">
        <v>4376</v>
      </c>
      <c r="J52" s="2092" t="str">
        <f>'Part I-Project Information'!$J$27</f>
        <v>83°49'12.06"W</v>
      </c>
      <c r="K52" s="2089"/>
      <c r="L52" s="2076" t="s">
        <v>2363</v>
      </c>
      <c r="M52" s="2070"/>
      <c r="N52" s="2070"/>
      <c r="O52" s="2093">
        <f>'Part I-Project Information'!O27</f>
        <v>2.93</v>
      </c>
      <c r="P52" s="2093"/>
    </row>
    <row r="53" spans="1:16" ht="16.5">
      <c r="A53" s="2069"/>
      <c r="B53" s="2070" t="s">
        <v>642</v>
      </c>
      <c r="C53" s="2070"/>
      <c r="D53" s="2070"/>
      <c r="E53" s="2070"/>
      <c r="F53" s="2070" t="str">
        <f>'Part I-Project Information'!F28</f>
        <v>Gainesville</v>
      </c>
      <c r="G53" s="2070"/>
      <c r="H53" s="2070"/>
      <c r="I53" s="2084" t="s">
        <v>4418</v>
      </c>
      <c r="J53" s="2087">
        <f>'Part I-Project Information'!J28</f>
        <v>305010000</v>
      </c>
      <c r="K53" s="2087"/>
      <c r="L53" s="2068" t="str">
        <f>IF(AND(NOT(F49=""),NOT(F53="Select from list"),J53=""),"Enter Zip!","")</f>
        <v/>
      </c>
      <c r="M53" s="2094" t="s">
        <v>3060</v>
      </c>
      <c r="N53" s="2070"/>
      <c r="O53" s="2095" t="str">
        <f>'Part I-Project Information'!O28</f>
        <v>12.01</v>
      </c>
      <c r="P53" s="2096"/>
    </row>
    <row r="54" spans="1:16">
      <c r="A54" s="2069"/>
      <c r="B54" s="2070" t="s">
        <v>3853</v>
      </c>
      <c r="C54" s="2070"/>
      <c r="D54" s="2070"/>
      <c r="E54" s="2070"/>
      <c r="F54" s="2070" t="str">
        <f>'Part I-Project Information'!F29</f>
        <v>Within City Limits</v>
      </c>
      <c r="G54" s="2070"/>
      <c r="H54" s="2070"/>
      <c r="I54" s="2097" t="s">
        <v>643</v>
      </c>
      <c r="J54" s="2089" t="str">
        <f>'Part I-Project Information'!J29</f>
        <v>Hall</v>
      </c>
      <c r="K54" s="2089"/>
      <c r="L54" s="2070"/>
      <c r="M54" s="2076" t="s">
        <v>468</v>
      </c>
      <c r="N54" s="2098" t="str">
        <f>'Part I-Project Information'!N29</f>
        <v>Yes</v>
      </c>
      <c r="O54" s="2073" t="s">
        <v>469</v>
      </c>
      <c r="P54" s="2098" t="str">
        <f>'Part I-Project Information'!P29</f>
        <v>No</v>
      </c>
    </row>
    <row r="55" spans="1:16">
      <c r="A55" s="2069"/>
      <c r="B55" s="2068"/>
      <c r="C55" s="2070" t="s">
        <v>1615</v>
      </c>
      <c r="D55" s="2070"/>
      <c r="E55" s="2070"/>
      <c r="F55" s="2076" t="str">
        <f>'Part I-Project Information'!F30</f>
        <v>No</v>
      </c>
      <c r="G55" s="2070" t="s">
        <v>2899</v>
      </c>
      <c r="H55" s="2070"/>
      <c r="I55" s="2073" t="str">
        <f>'Part I-Project Information'!I30</f>
        <v>No</v>
      </c>
      <c r="J55" s="2073" t="s">
        <v>2920</v>
      </c>
      <c r="K55" s="2073" t="str">
        <f>'Part I-Project Information'!K30</f>
        <v>Urban</v>
      </c>
      <c r="L55" s="2070"/>
      <c r="M55" s="2076" t="s">
        <v>2699</v>
      </c>
      <c r="N55" s="2069" t="e">
        <f>VLOOKUP($J$29,'DCA Underwriting Assumptions'!$G$141:$J$300,4)</f>
        <v>#N/A</v>
      </c>
      <c r="O55" s="2070" t="str">
        <f>'Part I-Project Information'!O30</f>
        <v>Gainesville</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4419</v>
      </c>
      <c r="D57" s="2070"/>
      <c r="E57" s="2070"/>
      <c r="F57" s="2100" t="s">
        <v>2878</v>
      </c>
      <c r="G57" s="2100"/>
      <c r="H57" s="2070" t="s">
        <v>766</v>
      </c>
      <c r="I57" s="2070"/>
      <c r="J57" s="2070" t="s">
        <v>767</v>
      </c>
      <c r="K57" s="2070"/>
      <c r="L57" s="2101" t="s">
        <v>4157</v>
      </c>
      <c r="M57" s="2070"/>
      <c r="N57" s="2070"/>
      <c r="O57" s="2070"/>
      <c r="P57" s="2070"/>
    </row>
    <row r="58" spans="1:16">
      <c r="A58" s="2069"/>
      <c r="B58" s="2070" t="s">
        <v>4420</v>
      </c>
      <c r="C58" s="2070"/>
      <c r="D58" s="2068"/>
      <c r="E58" s="2070"/>
      <c r="F58" s="2102">
        <f>'Part I-Project Information'!F33</f>
        <v>9</v>
      </c>
      <c r="G58" s="2102"/>
      <c r="H58" s="2102">
        <f>'Part I-Project Information'!H33</f>
        <v>49</v>
      </c>
      <c r="I58" s="2102"/>
      <c r="J58" s="2102">
        <f>'Part I-Project Information'!J33</f>
        <v>27</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Gainesville, Georgia</v>
      </c>
      <c r="G61" s="2105"/>
      <c r="H61" s="2105"/>
      <c r="I61" s="2105"/>
      <c r="J61" s="2105"/>
      <c r="K61" s="2105"/>
      <c r="L61" s="2106" t="s">
        <v>2808</v>
      </c>
      <c r="M61" s="2070" t="str">
        <f>'Part I-Project Information'!M36</f>
        <v>http://www.gainesville.org/city-council</v>
      </c>
      <c r="N61" s="2070"/>
      <c r="O61" s="2070"/>
      <c r="P61" s="2070"/>
    </row>
    <row r="62" spans="1:16">
      <c r="A62" s="2069"/>
      <c r="B62" s="2070" t="s">
        <v>662</v>
      </c>
      <c r="C62" s="2070"/>
      <c r="D62" s="2070"/>
      <c r="E62" s="2070"/>
      <c r="F62" s="2105" t="str">
        <f>'Part I-Project Information'!F37</f>
        <v>Danny Dunagan</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300 Henry Ward Way, Suite 303</v>
      </c>
      <c r="G63" s="2105"/>
      <c r="H63" s="2105"/>
      <c r="I63" s="2105"/>
      <c r="J63" s="2105"/>
      <c r="K63" s="2105"/>
      <c r="L63" s="2076" t="s">
        <v>642</v>
      </c>
      <c r="M63" s="2105" t="str">
        <f>'Part I-Project Information'!M38</f>
        <v>Gainesville</v>
      </c>
      <c r="N63" s="2105"/>
      <c r="O63" s="2105"/>
      <c r="P63" s="2105"/>
    </row>
    <row r="64" spans="1:16">
      <c r="A64" s="2069"/>
      <c r="B64" s="2076" t="s">
        <v>2308</v>
      </c>
      <c r="C64" s="2070"/>
      <c r="D64" s="2070"/>
      <c r="E64" s="2070"/>
      <c r="F64" s="2087">
        <f>'Part I-Project Information'!F39</f>
        <v>305013573</v>
      </c>
      <c r="G64" s="2087"/>
      <c r="H64" s="2073" t="s">
        <v>2057</v>
      </c>
      <c r="I64" s="2085">
        <f>'Part I-Project Information'!I39</f>
        <v>7707187877</v>
      </c>
      <c r="J64" s="2085"/>
      <c r="K64" s="2085"/>
      <c r="L64" s="2076" t="s">
        <v>1866</v>
      </c>
      <c r="M64" s="2105" t="str">
        <f>'Part I-Project Information'!M39</f>
        <v>citycouncil@gainesville.org</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4421</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90</v>
      </c>
      <c r="I69" s="2075"/>
      <c r="J69" s="2075"/>
      <c r="K69" s="2076" t="s">
        <v>4108</v>
      </c>
      <c r="L69" s="2070"/>
      <c r="M69" s="2110" t="s">
        <v>4107</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3066</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3848</v>
      </c>
      <c r="J75" s="2090" t="s">
        <v>2193</v>
      </c>
      <c r="K75" s="2117" t="s">
        <v>2382</v>
      </c>
      <c r="L75" s="2070"/>
      <c r="M75" s="2070"/>
      <c r="N75" s="2070"/>
      <c r="O75" s="2070"/>
      <c r="P75" s="2073"/>
    </row>
    <row r="76" spans="1:16">
      <c r="A76" s="2069"/>
      <c r="B76" s="2086"/>
      <c r="C76" s="2075" t="s">
        <v>2357</v>
      </c>
      <c r="D76" s="2070"/>
      <c r="E76" s="2070"/>
      <c r="F76" s="2070"/>
      <c r="G76" s="2070"/>
      <c r="H76" s="2118">
        <f>SUM(H77:H78)</f>
        <v>70</v>
      </c>
      <c r="I76" s="2118">
        <f>SUM(I77:I78)</f>
        <v>0</v>
      </c>
      <c r="J76" s="2069"/>
      <c r="K76" s="2075" t="s">
        <v>2890</v>
      </c>
      <c r="L76" s="2070"/>
      <c r="M76" s="2070"/>
      <c r="N76" s="2070"/>
      <c r="O76" s="2070"/>
      <c r="P76" s="2118">
        <f>'Part VI-Revenues &amp; Expenses'!$O$115</f>
        <v>53480</v>
      </c>
    </row>
    <row r="77" spans="1:16">
      <c r="A77" s="2069"/>
      <c r="B77" s="2075"/>
      <c r="C77" s="2070"/>
      <c r="D77" s="2100" t="s">
        <v>399</v>
      </c>
      <c r="E77" s="2070"/>
      <c r="F77" s="2070"/>
      <c r="G77" s="2070"/>
      <c r="H77" s="2118">
        <f>'Part VI-Revenues &amp; Expenses'!$O$57</f>
        <v>25</v>
      </c>
      <c r="I77" s="2118">
        <f>'Part VI-Revenues &amp; Expenses'!$O$65</f>
        <v>0</v>
      </c>
      <c r="J77" s="2070"/>
      <c r="K77" s="2075" t="s">
        <v>2891</v>
      </c>
      <c r="L77" s="2070"/>
      <c r="M77" s="2070"/>
      <c r="N77" s="2070"/>
      <c r="O77" s="2070"/>
      <c r="P77" s="2118">
        <f>'Part VI-Revenues &amp; Expenses'!$O$116</f>
        <v>19600</v>
      </c>
    </row>
    <row r="78" spans="1:16">
      <c r="A78" s="2069"/>
      <c r="B78" s="2070"/>
      <c r="C78" s="2070"/>
      <c r="D78" s="2100" t="s">
        <v>1890</v>
      </c>
      <c r="E78" s="2100"/>
      <c r="F78" s="2070"/>
      <c r="G78" s="2070"/>
      <c r="H78" s="2118">
        <f>'Part VI-Revenues &amp; Expenses'!$O$56</f>
        <v>45</v>
      </c>
      <c r="I78" s="2118">
        <f>'Part VI-Revenues &amp; Expenses'!$O$64</f>
        <v>0</v>
      </c>
      <c r="J78" s="2070"/>
      <c r="K78" s="2075" t="s">
        <v>2892</v>
      </c>
      <c r="L78" s="2070"/>
      <c r="M78" s="2070"/>
      <c r="N78" s="2070"/>
      <c r="O78" s="2070"/>
      <c r="P78" s="2118">
        <f>P76+P77</f>
        <v>73080</v>
      </c>
    </row>
    <row r="79" spans="1:16">
      <c r="A79" s="2069"/>
      <c r="B79" s="2070"/>
      <c r="C79" s="2075" t="s">
        <v>264</v>
      </c>
      <c r="D79" s="2070"/>
      <c r="E79" s="2070"/>
      <c r="F79" s="2070"/>
      <c r="G79" s="2070"/>
      <c r="H79" s="2118">
        <f>'Part VI-Revenues &amp; Expenses'!$O$59</f>
        <v>20</v>
      </c>
      <c r="I79" s="2070"/>
      <c r="J79" s="2069"/>
      <c r="K79" s="2075" t="s">
        <v>2893</v>
      </c>
      <c r="L79" s="2070"/>
      <c r="M79" s="2070"/>
      <c r="N79" s="2070"/>
      <c r="O79" s="2070"/>
      <c r="P79" s="2118">
        <f>'Part VI-Revenues &amp; Expenses'!$O$118</f>
        <v>0</v>
      </c>
    </row>
    <row r="80" spans="1:16">
      <c r="A80" s="2069"/>
      <c r="B80" s="2070"/>
      <c r="C80" s="2075" t="s">
        <v>2492</v>
      </c>
      <c r="D80" s="2070"/>
      <c r="E80" s="2070"/>
      <c r="F80" s="2070"/>
      <c r="G80" s="2070"/>
      <c r="H80" s="2118">
        <f>H76+H79</f>
        <v>90</v>
      </c>
      <c r="I80" s="2070"/>
      <c r="J80" s="2069"/>
      <c r="K80" s="2075" t="s">
        <v>1474</v>
      </c>
      <c r="L80" s="2070"/>
      <c r="M80" s="2070"/>
      <c r="N80" s="2070"/>
      <c r="O80" s="2070"/>
      <c r="P80" s="2118">
        <f>+P78+P79</f>
        <v>73080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90</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v>
      </c>
      <c r="I84" s="2070"/>
      <c r="J84" s="2070"/>
      <c r="K84" s="2075" t="s">
        <v>1165</v>
      </c>
      <c r="L84" s="2070"/>
      <c r="M84" s="2070"/>
      <c r="N84" s="2070"/>
      <c r="O84" s="2070"/>
      <c r="P84" s="2118">
        <f>'Part I-Project Information'!P59</f>
        <v>3800</v>
      </c>
    </row>
    <row r="85" spans="1:16">
      <c r="A85" s="2069"/>
      <c r="B85" s="2069"/>
      <c r="C85" s="2070"/>
      <c r="D85" s="2086" t="s">
        <v>2073</v>
      </c>
      <c r="E85" s="2070"/>
      <c r="F85" s="2070"/>
      <c r="G85" s="2070"/>
      <c r="H85" s="2118">
        <f>'Part I-Project Information'!H60</f>
        <v>0</v>
      </c>
      <c r="I85" s="2070"/>
      <c r="J85" s="2070"/>
      <c r="K85" s="2075" t="s">
        <v>263</v>
      </c>
      <c r="L85" s="2070"/>
      <c r="M85" s="2070"/>
      <c r="N85" s="2070"/>
      <c r="O85" s="2070"/>
      <c r="P85" s="2118">
        <f>+P80+P84</f>
        <v>76880</v>
      </c>
    </row>
    <row r="86" spans="1:16">
      <c r="A86" s="2069"/>
      <c r="B86" s="2069"/>
      <c r="C86" s="2070"/>
      <c r="D86" s="2086" t="s">
        <v>2074</v>
      </c>
      <c r="E86" s="2070"/>
      <c r="F86" s="2070"/>
      <c r="G86" s="2070"/>
      <c r="H86" s="2118">
        <f>+H84+H85</f>
        <v>1</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2979</v>
      </c>
      <c r="D88" s="2070"/>
      <c r="E88" s="2070"/>
      <c r="F88" s="2070"/>
      <c r="G88" s="2070"/>
      <c r="H88" s="2118">
        <f>'Part I-Project Information'!H63</f>
        <v>110</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4422</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5</v>
      </c>
      <c r="I98" s="2070"/>
      <c r="J98" s="2070"/>
      <c r="K98" s="2070" t="s">
        <v>539</v>
      </c>
      <c r="L98" s="2070"/>
      <c r="M98" s="2070"/>
      <c r="N98" s="2123">
        <f>IF('Part VI-Revenues &amp; Expenses'!$O$62=0,0,H98/'Part VI-Revenues &amp; Expenses'!$O$62)</f>
        <v>5.5555555555555552E-2</v>
      </c>
      <c r="O98" s="2082" t="s">
        <v>4144</v>
      </c>
      <c r="P98" s="2124">
        <f>'DCA Underwriting Assumptions'!$Q$124</f>
        <v>0.05</v>
      </c>
    </row>
    <row r="99" spans="1:16">
      <c r="A99" s="2069"/>
      <c r="B99" s="2069"/>
      <c r="C99" s="2070"/>
      <c r="D99" s="2086" t="s">
        <v>2977</v>
      </c>
      <c r="E99" s="2086"/>
      <c r="F99" s="2086" t="s">
        <v>828</v>
      </c>
      <c r="G99" s="2070"/>
      <c r="H99" s="2118">
        <f>'Part I-Project Information'!H74</f>
        <v>2</v>
      </c>
      <c r="I99" s="2070"/>
      <c r="J99" s="2070"/>
      <c r="K99" s="2070" t="s">
        <v>2978</v>
      </c>
      <c r="L99" s="2070"/>
      <c r="M99" s="2070"/>
      <c r="N99" s="2123">
        <f>IF(H98=0,0,H99/H98)</f>
        <v>0.4</v>
      </c>
      <c r="O99" s="2082" t="s">
        <v>4144</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2.2222222222222223E-2</v>
      </c>
      <c r="O101" s="2082" t="s">
        <v>4144</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Yes</v>
      </c>
      <c r="I111" s="2070"/>
      <c r="J111" s="2070"/>
      <c r="K111" s="2100" t="s">
        <v>3653</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f>'Part I-Project Information'!H88</f>
        <v>0</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4095</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1785000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1 L. Barry Teague</v>
      </c>
      <c r="D135" s="2083"/>
      <c r="E135" s="2083"/>
      <c r="F135" s="2083" t="str">
        <f>'Part I-Project Information'!F110</f>
        <v>15th Street Development Phase 2</v>
      </c>
      <c r="G135" s="2083"/>
      <c r="H135" s="2083"/>
      <c r="I135" s="2083" t="str">
        <f>'Part I-Project Information'!I110</f>
        <v>Direct</v>
      </c>
      <c r="J135" s="2083" t="str">
        <f>'Part I-Project Information'!J110</f>
        <v>7 Ben Teague</v>
      </c>
      <c r="K135" s="2083"/>
      <c r="L135" s="2083"/>
      <c r="M135" s="2083" t="str">
        <f>'Part I-Project Information'!M110</f>
        <v>15th Street Development Phase 2</v>
      </c>
      <c r="N135" s="2083"/>
      <c r="O135" s="2083"/>
      <c r="P135" s="2083" t="str">
        <f>'Part I-Project Information'!P110</f>
        <v>Direct</v>
      </c>
    </row>
    <row r="136" spans="1:16" ht="13.5">
      <c r="A136" s="2069"/>
      <c r="B136" s="2069"/>
      <c r="C136" s="2083" t="str">
        <f>'Part I-Project Information'!C111</f>
        <v>2 Lynda T. Ausburn</v>
      </c>
      <c r="D136" s="2083"/>
      <c r="E136" s="2083"/>
      <c r="F136" s="2083" t="str">
        <f>'Part I-Project Information'!F111</f>
        <v>15th Street Development Phase 2</v>
      </c>
      <c r="G136" s="2083"/>
      <c r="H136" s="2083"/>
      <c r="I136" s="2083" t="str">
        <f>'Part I-Project Information'!I111</f>
        <v>Direct</v>
      </c>
      <c r="J136" s="2083" t="str">
        <f>'Part I-Project Information'!J111</f>
        <v>8 Matthew L. Teague</v>
      </c>
      <c r="K136" s="2083"/>
      <c r="L136" s="2083"/>
      <c r="M136" s="2083" t="str">
        <f>'Part I-Project Information'!M111</f>
        <v>15th Street Development Phase 2</v>
      </c>
      <c r="N136" s="2083"/>
      <c r="O136" s="2083"/>
      <c r="P136" s="2083" t="str">
        <f>'Part I-Project Information'!P111</f>
        <v>Direct</v>
      </c>
    </row>
    <row r="137" spans="1:16" ht="13.5">
      <c r="A137" s="2069"/>
      <c r="B137" s="2069"/>
      <c r="C137" s="2083" t="str">
        <f>'Part I-Project Information'!C112</f>
        <v>3 W. David Knight</v>
      </c>
      <c r="D137" s="2083"/>
      <c r="E137" s="2083"/>
      <c r="F137" s="2083" t="str">
        <f>'Part I-Project Information'!F112</f>
        <v>15th Street Development Phase 2</v>
      </c>
      <c r="G137" s="2083"/>
      <c r="H137" s="2083"/>
      <c r="I137" s="2083" t="str">
        <f>'Part I-Project Information'!I112</f>
        <v>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4 Keith A. Davidson</v>
      </c>
      <c r="D138" s="2083"/>
      <c r="E138" s="2083"/>
      <c r="F138" s="2083" t="str">
        <f>'Part I-Project Information'!F113</f>
        <v>15th Street Development Phase 2</v>
      </c>
      <c r="G138" s="2083"/>
      <c r="H138" s="2083"/>
      <c r="I138" s="2083" t="str">
        <f>'Part I-Project Information'!I113</f>
        <v>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t="str">
        <f>'Part I-Project Information'!C114</f>
        <v>5 Thomas L. Wilkes</v>
      </c>
      <c r="D139" s="2083"/>
      <c r="E139" s="2083"/>
      <c r="F139" s="2083" t="str">
        <f>'Part I-Project Information'!F114</f>
        <v>15th Street Development Phase 2</v>
      </c>
      <c r="G139" s="2083"/>
      <c r="H139" s="2083"/>
      <c r="I139" s="2083" t="str">
        <f>'Part I-Project Information'!I114</f>
        <v>Direct</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t="str">
        <f>'Part I-Project Information'!C115</f>
        <v>6 David K. Loeffel</v>
      </c>
      <c r="D140" s="2083"/>
      <c r="E140" s="2083"/>
      <c r="F140" s="2083" t="str">
        <f>'Part I-Project Information'!F115</f>
        <v>15th Street Development Phase 2</v>
      </c>
      <c r="G140" s="2083"/>
      <c r="H140" s="2083"/>
      <c r="I140" s="2083" t="str">
        <f>'Part I-Project Information'!I115</f>
        <v>Direct</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4423</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Yes</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13</v>
      </c>
      <c r="L170" s="2076" t="s">
        <v>1861</v>
      </c>
      <c r="M170" s="2070"/>
      <c r="N170" s="2070"/>
      <c r="O170" s="2070"/>
      <c r="P170" s="2135">
        <f>IF('Part VI-Revenues &amp; Expenses'!O$60=0,0,K170/'Part VI-Revenues &amp; Expenses'!$O$60)</f>
        <v>0.14444444444444443</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t="str">
        <f>'Part I-Project Information'!E147</f>
        <v>The Housing Authority of the City of Gainesville, Georgia</v>
      </c>
      <c r="F172" s="2070"/>
      <c r="G172" s="2070"/>
      <c r="H172" s="2070"/>
      <c r="I172" s="2070"/>
      <c r="J172" s="2070"/>
      <c r="K172" s="2070"/>
      <c r="L172" s="2076" t="s">
        <v>1863</v>
      </c>
      <c r="M172" s="2070" t="str">
        <f>'Part I-Project Information'!M147</f>
        <v>Beth Brown</v>
      </c>
      <c r="N172" s="2070"/>
      <c r="O172" s="2070"/>
      <c r="P172" s="2070"/>
    </row>
    <row r="173" spans="1:16">
      <c r="A173" s="2069"/>
      <c r="B173" s="2069"/>
      <c r="C173" s="2076" t="s">
        <v>1864</v>
      </c>
      <c r="D173" s="2082"/>
      <c r="E173" s="2070" t="str">
        <f>'Part I-Project Information'!E148</f>
        <v>750 Pearl Nix Parkway</v>
      </c>
      <c r="F173" s="2070"/>
      <c r="G173" s="2070"/>
      <c r="H173" s="2070"/>
      <c r="I173" s="2070"/>
      <c r="J173" s="2070"/>
      <c r="K173" s="2070"/>
      <c r="L173" s="2076" t="s">
        <v>1869</v>
      </c>
      <c r="M173" s="2085">
        <f>'Part I-Project Information'!M148</f>
        <v>7705361294</v>
      </c>
      <c r="N173" s="2085"/>
      <c r="O173" s="2085"/>
      <c r="P173" s="2070"/>
    </row>
    <row r="174" spans="1:16">
      <c r="A174" s="2069"/>
      <c r="B174" s="2069"/>
      <c r="C174" s="2076" t="s">
        <v>642</v>
      </c>
      <c r="D174" s="2070"/>
      <c r="E174" s="2070" t="str">
        <f>'Part I-Project Information'!E149</f>
        <v>Gainesville</v>
      </c>
      <c r="F174" s="2070"/>
      <c r="G174" s="2070"/>
      <c r="H174" s="2070"/>
      <c r="I174" s="2073" t="s">
        <v>2308</v>
      </c>
      <c r="J174" s="2087">
        <f>'Part I-Project Information'!J149</f>
        <v>305014534</v>
      </c>
      <c r="K174" s="2087"/>
      <c r="L174" s="2076" t="s">
        <v>2054</v>
      </c>
      <c r="M174" s="2085">
        <f>'Part I-Project Information'!M149</f>
        <v>0</v>
      </c>
      <c r="N174" s="2085"/>
      <c r="O174" s="2085"/>
      <c r="P174" s="2070"/>
    </row>
    <row r="175" spans="1:16">
      <c r="A175" s="2069"/>
      <c r="B175" s="2069"/>
      <c r="C175" s="2076" t="s">
        <v>1867</v>
      </c>
      <c r="D175" s="2070"/>
      <c r="E175" s="2085">
        <f>'Part I-Project Information'!E150</f>
        <v>7705361294</v>
      </c>
      <c r="F175" s="2085"/>
      <c r="G175" s="2085"/>
      <c r="H175" s="2073"/>
      <c r="I175" s="2073" t="s">
        <v>1866</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0</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Yes</v>
      </c>
      <c r="J183" s="2137" t="s">
        <v>2868</v>
      </c>
      <c r="K183" s="2070"/>
      <c r="L183" s="2100" t="s">
        <v>1532</v>
      </c>
      <c r="M183" s="2100"/>
      <c r="N183" s="2120"/>
      <c r="O183" s="2120"/>
      <c r="P183" s="2138">
        <f>'Part I-Project Information'!P158</f>
        <v>131</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83</v>
      </c>
    </row>
    <row r="185" spans="1:16">
      <c r="A185" s="2069"/>
      <c r="B185" s="2069"/>
      <c r="C185" s="2070"/>
      <c r="D185" s="2070"/>
      <c r="E185" s="2070"/>
      <c r="F185" s="2070"/>
      <c r="G185" s="2070"/>
      <c r="H185" s="2070"/>
      <c r="I185" s="2070"/>
      <c r="J185" s="2070"/>
      <c r="K185" s="2070"/>
      <c r="L185" s="2070" t="s">
        <v>1857</v>
      </c>
      <c r="M185" s="2070"/>
      <c r="N185" s="2120"/>
      <c r="O185" s="2120"/>
      <c r="P185" s="2139">
        <f>IF(P183="","",P184/P183)</f>
        <v>0.63358778625954193</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Yes</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No</v>
      </c>
      <c r="J188" s="2070"/>
      <c r="K188" s="2070"/>
      <c r="L188" s="2070" t="s">
        <v>2983</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3751</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2331</v>
      </c>
      <c r="L199" s="2117" t="s">
        <v>81</v>
      </c>
      <c r="M199" s="2075"/>
      <c r="N199" s="2075"/>
      <c r="O199" s="2075"/>
      <c r="P199" s="2075"/>
    </row>
    <row r="200" spans="1:19" ht="409.5">
      <c r="A200" s="2143" t="str">
        <f>'Part I-Project Information'!A175</f>
        <v>V. There are 85 spaces in within the Phase 2 boundary, but an additional 25 spaces in the common access easement are dedicated to Phase 2. So the overall total for Phase 2 is 110 spaces. This is sufficient per the zoning, which is site plan specific. See tab 10 for zoning details.
XIII Additional Project Information: B. Extension of Cancelation Option. The expiration year depends on when we actually take our first year credits. At this time we do not know when that will be. 
We previously received our development team's Qualification Determination during the pre-application process, and the development team has not changed since then.</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2016-032 240 Atlanta Street Development Phase 2,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240 Atlanta Street Phase 2, L.P.</v>
      </c>
      <c r="I209" s="2100"/>
      <c r="J209" s="2100"/>
      <c r="K209" s="2100"/>
      <c r="L209" s="2100"/>
      <c r="M209" s="2100"/>
      <c r="N209" s="2100"/>
      <c r="O209" s="2076" t="s">
        <v>2065</v>
      </c>
      <c r="P209" s="2076"/>
      <c r="Q209" s="2070" t="str">
        <f>'Part II-Development Team'!Q5</f>
        <v>Beth Brown</v>
      </c>
      <c r="R209" s="2100"/>
      <c r="S209" s="2100"/>
    </row>
    <row r="210" spans="1:19">
      <c r="A210" s="2070"/>
      <c r="B210" s="2070"/>
      <c r="C210" s="2070"/>
      <c r="D210" s="2144"/>
      <c r="E210" s="2076" t="s">
        <v>1058</v>
      </c>
      <c r="F210" s="2082"/>
      <c r="G210" s="2070"/>
      <c r="H210" s="2070" t="str">
        <f>'Part II-Development Team'!H6</f>
        <v>750 Pearl Nix Parkway</v>
      </c>
      <c r="I210" s="2100"/>
      <c r="J210" s="2100"/>
      <c r="K210" s="2100"/>
      <c r="L210" s="2100"/>
      <c r="M210" s="2100"/>
      <c r="N210" s="2100"/>
      <c r="O210" s="2076" t="s">
        <v>1813</v>
      </c>
      <c r="P210" s="2070"/>
      <c r="Q210" s="2070" t="str">
        <f>'Part II-Development Team'!Q6</f>
        <v>ED of NonProfit Sponsor</v>
      </c>
      <c r="R210" s="2100"/>
      <c r="S210" s="2100"/>
    </row>
    <row r="211" spans="1:19">
      <c r="A211" s="2070"/>
      <c r="B211" s="2070"/>
      <c r="C211" s="2070"/>
      <c r="D211" s="2144"/>
      <c r="E211" s="2076" t="s">
        <v>642</v>
      </c>
      <c r="F211" s="2070"/>
      <c r="G211" s="2070"/>
      <c r="H211" s="2070" t="str">
        <f>'Part II-Development Team'!H7</f>
        <v>Gainesville</v>
      </c>
      <c r="I211" s="2100"/>
      <c r="J211" s="2100"/>
      <c r="K211" s="2073" t="s">
        <v>793</v>
      </c>
      <c r="L211" s="2070">
        <f>'Part II-Development Team'!L7</f>
        <v>0</v>
      </c>
      <c r="M211" s="2100"/>
      <c r="N211" s="2100"/>
      <c r="O211" s="2076" t="s">
        <v>1869</v>
      </c>
      <c r="P211" s="2070"/>
      <c r="Q211" s="2085">
        <f>'Part II-Development Team'!Q7</f>
        <v>7705361294</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305018528</v>
      </c>
      <c r="K212" s="2100"/>
      <c r="L212" s="2070" t="s">
        <v>4136</v>
      </c>
      <c r="M212" s="2070" t="str">
        <f>'Part II-Development Team'!M8</f>
        <v>Non Profit</v>
      </c>
      <c r="N212" s="2070"/>
      <c r="O212" s="2076" t="s">
        <v>2054</v>
      </c>
      <c r="P212" s="2070"/>
      <c r="Q212" s="2085">
        <f>'Part II-Development Team'!Q8</f>
        <v>0</v>
      </c>
      <c r="R212" s="2085"/>
      <c r="S212" s="2085"/>
    </row>
    <row r="213" spans="1:19">
      <c r="A213" s="2070"/>
      <c r="B213" s="2070"/>
      <c r="C213" s="2070"/>
      <c r="D213" s="2144"/>
      <c r="E213" s="2076" t="s">
        <v>2060</v>
      </c>
      <c r="F213" s="2070"/>
      <c r="G213" s="2070"/>
      <c r="H213" s="2085">
        <f>'Part II-Development Team'!H9</f>
        <v>7705361294</v>
      </c>
      <c r="I213" s="2085"/>
      <c r="J213" s="2084">
        <f>'Part II-Development Team'!J9</f>
        <v>0</v>
      </c>
      <c r="K213" s="2073" t="s">
        <v>2059</v>
      </c>
      <c r="L213" s="2089" t="str">
        <f>'Part II-Development Team'!L9</f>
        <v>bbrown@gainesvillehousing.org</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4158</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240 Atlanta Street Phase 2 GP, LLC</v>
      </c>
      <c r="I218" s="2100"/>
      <c r="J218" s="2100"/>
      <c r="K218" s="2100"/>
      <c r="L218" s="2100"/>
      <c r="M218" s="2100"/>
      <c r="N218" s="2100"/>
      <c r="O218" s="2076" t="s">
        <v>2065</v>
      </c>
      <c r="P218" s="2076"/>
      <c r="Q218" s="2070" t="str">
        <f>'Part II-Development Team'!Q14</f>
        <v>Beth Brown</v>
      </c>
      <c r="R218" s="2100"/>
      <c r="S218" s="2100"/>
    </row>
    <row r="219" spans="1:19">
      <c r="A219" s="2070"/>
      <c r="B219" s="2070"/>
      <c r="C219" s="2070"/>
      <c r="D219" s="2144"/>
      <c r="E219" s="2076" t="s">
        <v>1058</v>
      </c>
      <c r="F219" s="2082"/>
      <c r="G219" s="2070"/>
      <c r="H219" s="2070" t="str">
        <f>'Part II-Development Team'!H15</f>
        <v>750 Pearl Nix Parkway</v>
      </c>
      <c r="I219" s="2100"/>
      <c r="J219" s="2100"/>
      <c r="K219" s="2100"/>
      <c r="L219" s="2100"/>
      <c r="M219" s="2100"/>
      <c r="N219" s="2100"/>
      <c r="O219" s="2076" t="s">
        <v>1813</v>
      </c>
      <c r="P219" s="2070"/>
      <c r="Q219" s="2070" t="str">
        <f>'Part II-Development Team'!Q15</f>
        <v>ED of NonProfit Sponsor</v>
      </c>
      <c r="R219" s="2100"/>
      <c r="S219" s="2100"/>
    </row>
    <row r="220" spans="1:19">
      <c r="A220" s="2070"/>
      <c r="B220" s="2070"/>
      <c r="C220" s="2070"/>
      <c r="D220" s="2144"/>
      <c r="E220" s="2076" t="s">
        <v>642</v>
      </c>
      <c r="F220" s="2070"/>
      <c r="G220" s="2070"/>
      <c r="H220" s="2070" t="str">
        <f>'Part II-Development Team'!H16</f>
        <v>Gainesville</v>
      </c>
      <c r="I220" s="2100"/>
      <c r="J220" s="2100"/>
      <c r="K220" s="2073" t="s">
        <v>2808</v>
      </c>
      <c r="L220" s="2070" t="str">
        <f>'Part II-Development Team'!L16</f>
        <v>www.gainesvillehousing.org</v>
      </c>
      <c r="M220" s="2100"/>
      <c r="N220" s="2100"/>
      <c r="O220" s="2076" t="s">
        <v>1869</v>
      </c>
      <c r="P220" s="2070"/>
      <c r="Q220" s="2085">
        <f>'Part II-Development Team'!Q16</f>
        <v>7705361294</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305018528</v>
      </c>
      <c r="M221" s="2100"/>
      <c r="N221" s="2070"/>
      <c r="O221" s="2076" t="s">
        <v>2054</v>
      </c>
      <c r="P221" s="2070"/>
      <c r="Q221" s="2085">
        <f>'Part II-Development Team'!Q17</f>
        <v>0</v>
      </c>
      <c r="R221" s="2085"/>
      <c r="S221" s="2085"/>
    </row>
    <row r="222" spans="1:19">
      <c r="A222" s="2070"/>
      <c r="B222" s="2070"/>
      <c r="C222" s="2070"/>
      <c r="D222" s="2144"/>
      <c r="E222" s="2076" t="s">
        <v>2060</v>
      </c>
      <c r="F222" s="2070"/>
      <c r="G222" s="2070"/>
      <c r="H222" s="2085">
        <f>'Part II-Development Team'!H18</f>
        <v>7705361294</v>
      </c>
      <c r="I222" s="2085"/>
      <c r="J222" s="2084">
        <f>'Part II-Development Team'!J18</f>
        <v>0</v>
      </c>
      <c r="K222" s="2073" t="s">
        <v>2059</v>
      </c>
      <c r="L222" s="2089" t="str">
        <f>'Part II-Development Team'!L18</f>
        <v>bbrown@gainesvillehousing.org</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Wells Fargo Community Lending and Investment</v>
      </c>
      <c r="I237" s="2100"/>
      <c r="J237" s="2100"/>
      <c r="K237" s="2100"/>
      <c r="L237" s="2100"/>
      <c r="M237" s="2100"/>
      <c r="N237" s="2100"/>
      <c r="O237" s="2076" t="s">
        <v>2065</v>
      </c>
      <c r="P237" s="2076"/>
      <c r="Q237" s="2070" t="str">
        <f>'Part II-Development Team'!Q33</f>
        <v>J. Frederick Davis, III</v>
      </c>
      <c r="R237" s="2100"/>
      <c r="S237" s="2100"/>
    </row>
    <row r="238" spans="1:19">
      <c r="A238" s="2070"/>
      <c r="B238" s="2070"/>
      <c r="C238" s="2070"/>
      <c r="D238" s="2144"/>
      <c r="E238" s="2076" t="s">
        <v>1058</v>
      </c>
      <c r="F238" s="2082"/>
      <c r="G238" s="2070"/>
      <c r="H238" s="2070" t="str">
        <f>'Part II-Development Team'!H34</f>
        <v>301 South College Street</v>
      </c>
      <c r="I238" s="2100"/>
      <c r="J238" s="2100"/>
      <c r="K238" s="2100"/>
      <c r="L238" s="2100"/>
      <c r="M238" s="2100"/>
      <c r="N238" s="2100"/>
      <c r="O238" s="2076" t="s">
        <v>1813</v>
      </c>
      <c r="P238" s="2070"/>
      <c r="Q238" s="2070" t="str">
        <f>'Part II-Development Team'!Q34</f>
        <v>Senior Vice President</v>
      </c>
      <c r="R238" s="2100"/>
      <c r="S238" s="2100"/>
    </row>
    <row r="239" spans="1:19">
      <c r="A239" s="2070"/>
      <c r="B239" s="2070"/>
      <c r="C239" s="2070"/>
      <c r="D239" s="2144"/>
      <c r="E239" s="2076" t="s">
        <v>642</v>
      </c>
      <c r="F239" s="2070"/>
      <c r="G239" s="2070"/>
      <c r="H239" s="2070" t="str">
        <f>'Part II-Development Team'!H35</f>
        <v>Charlotte</v>
      </c>
      <c r="I239" s="2100"/>
      <c r="J239" s="2100"/>
      <c r="K239" s="2073" t="s">
        <v>2808</v>
      </c>
      <c r="L239" s="2070">
        <f>'Part II-Development Team'!L35</f>
        <v>0</v>
      </c>
      <c r="M239" s="2100"/>
      <c r="N239" s="2100"/>
      <c r="O239" s="2076" t="s">
        <v>1869</v>
      </c>
      <c r="P239" s="2070"/>
      <c r="Q239" s="2085">
        <f>'Part II-Development Team'!Q35</f>
        <v>7043839705</v>
      </c>
      <c r="R239" s="2085"/>
      <c r="S239" s="2085"/>
    </row>
    <row r="240" spans="1:19">
      <c r="A240" s="2070"/>
      <c r="B240" s="2070"/>
      <c r="C240" s="2070"/>
      <c r="D240" s="2070"/>
      <c r="E240" s="2076" t="s">
        <v>1865</v>
      </c>
      <c r="F240" s="2070"/>
      <c r="G240" s="2070"/>
      <c r="H240" s="2073" t="str">
        <f>'Part II-Development Team'!H36</f>
        <v>NC</v>
      </c>
      <c r="I240" s="2070"/>
      <c r="J240" s="2070"/>
      <c r="K240" s="2073" t="s">
        <v>2308</v>
      </c>
      <c r="L240" s="2087">
        <f>'Part II-Development Team'!L36</f>
        <v>282885640</v>
      </c>
      <c r="M240" s="2100"/>
      <c r="N240" s="2070"/>
      <c r="O240" s="2076" t="s">
        <v>2054</v>
      </c>
      <c r="P240" s="2070"/>
      <c r="Q240" s="2085">
        <f>'Part II-Development Team'!Q36</f>
        <v>0</v>
      </c>
      <c r="R240" s="2085"/>
      <c r="S240" s="2085"/>
    </row>
    <row r="241" spans="1:19">
      <c r="A241" s="2070"/>
      <c r="B241" s="2070"/>
      <c r="C241" s="2070"/>
      <c r="D241" s="2144"/>
      <c r="E241" s="2076" t="s">
        <v>2060</v>
      </c>
      <c r="F241" s="2070"/>
      <c r="G241" s="2070"/>
      <c r="H241" s="2085">
        <f>'Part II-Development Team'!H37</f>
        <v>7043839705</v>
      </c>
      <c r="I241" s="2085"/>
      <c r="J241" s="2084">
        <f>'Part II-Development Team'!J37</f>
        <v>0</v>
      </c>
      <c r="K241" s="2073" t="s">
        <v>2059</v>
      </c>
      <c r="L241" s="2089" t="str">
        <f>'Part II-Development Team'!L37</f>
        <v>rick.davis@wellsfargo.com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240 Atlanta Street Phase 2 Walton Limited, LLC</v>
      </c>
      <c r="I243" s="2100"/>
      <c r="J243" s="2100"/>
      <c r="K243" s="2100"/>
      <c r="L243" s="2100"/>
      <c r="M243" s="2100"/>
      <c r="N243" s="2100"/>
      <c r="O243" s="2076" t="s">
        <v>2065</v>
      </c>
      <c r="P243" s="2076"/>
      <c r="Q243" s="2070" t="str">
        <f>'Part II-Development Team'!Q39</f>
        <v>Keith A. Davidson</v>
      </c>
      <c r="R243" s="2100"/>
      <c r="S243" s="2100"/>
    </row>
    <row r="244" spans="1:19">
      <c r="A244" s="2070"/>
      <c r="B244" s="2070"/>
      <c r="C244" s="2070"/>
      <c r="D244" s="2144"/>
      <c r="E244" s="2076" t="s">
        <v>1058</v>
      </c>
      <c r="F244" s="2082"/>
      <c r="G244" s="2070"/>
      <c r="H244" s="2070" t="str">
        <f>'Part II-Development Team'!H40</f>
        <v>2181 Newmarket Parkway</v>
      </c>
      <c r="I244" s="2100"/>
      <c r="J244" s="2100"/>
      <c r="K244" s="2100"/>
      <c r="L244" s="2100"/>
      <c r="M244" s="2100"/>
      <c r="N244" s="2100"/>
      <c r="O244" s="2076" t="s">
        <v>1813</v>
      </c>
      <c r="P244" s="2070"/>
      <c r="Q244" s="2070" t="str">
        <f>'Part II-Development Team'!Q40</f>
        <v>Co-Manager</v>
      </c>
      <c r="R244" s="2100"/>
      <c r="S244" s="2100"/>
    </row>
    <row r="245" spans="1:19">
      <c r="A245" s="2070"/>
      <c r="B245" s="2070"/>
      <c r="C245" s="2070"/>
      <c r="D245" s="2144"/>
      <c r="E245" s="2076" t="s">
        <v>642</v>
      </c>
      <c r="F245" s="2070"/>
      <c r="G245" s="2070"/>
      <c r="H245" s="2070" t="str">
        <f>'Part II-Development Team'!H41</f>
        <v>Marietta</v>
      </c>
      <c r="I245" s="2100"/>
      <c r="J245" s="2100"/>
      <c r="K245" s="2073" t="s">
        <v>2808</v>
      </c>
      <c r="L245" s="2070">
        <f>'Part II-Development Team'!L41</f>
        <v>0</v>
      </c>
      <c r="M245" s="2100"/>
      <c r="N245" s="2100"/>
      <c r="O245" s="2076" t="s">
        <v>1869</v>
      </c>
      <c r="P245" s="2070"/>
      <c r="Q245" s="2085">
        <f>'Part II-Development Team'!Q41</f>
        <v>6783034135</v>
      </c>
      <c r="R245" s="2085"/>
      <c r="S245" s="2085"/>
    </row>
    <row r="246" spans="1:19">
      <c r="A246" s="2070"/>
      <c r="B246" s="2070"/>
      <c r="C246" s="2070"/>
      <c r="D246" s="2068"/>
      <c r="E246" s="2076" t="s">
        <v>1865</v>
      </c>
      <c r="F246" s="2070"/>
      <c r="G246" s="2070"/>
      <c r="H246" s="2073" t="str">
        <f>'Part II-Development Team'!H42</f>
        <v>GA</v>
      </c>
      <c r="I246" s="2070"/>
      <c r="J246" s="2070"/>
      <c r="K246" s="2073" t="s">
        <v>2308</v>
      </c>
      <c r="L246" s="2087">
        <f>'Part II-Development Team'!L42</f>
        <v>300678770</v>
      </c>
      <c r="M246" s="2100"/>
      <c r="N246" s="2070"/>
      <c r="O246" s="2076" t="s">
        <v>2054</v>
      </c>
      <c r="P246" s="2070"/>
      <c r="Q246" s="2085">
        <f>'Part II-Development Team'!Q42</f>
        <v>0</v>
      </c>
      <c r="R246" s="2085"/>
      <c r="S246" s="2085"/>
    </row>
    <row r="247" spans="1:19">
      <c r="A247" s="2070"/>
      <c r="B247" s="2070"/>
      <c r="C247" s="2070"/>
      <c r="D247" s="2144"/>
      <c r="E247" s="2076" t="s">
        <v>2060</v>
      </c>
      <c r="F247" s="2070"/>
      <c r="G247" s="2070"/>
      <c r="H247" s="2085">
        <f>'Part II-Development Team'!H43</f>
        <v>6783034135</v>
      </c>
      <c r="I247" s="2085"/>
      <c r="J247" s="2084">
        <f>'Part II-Development Team'!J43</f>
        <v>0</v>
      </c>
      <c r="K247" s="2073" t="s">
        <v>2059</v>
      </c>
      <c r="L247" s="2089" t="str">
        <f>'Part II-Development Team'!L43</f>
        <v>kdavidson@waltoncommunities.com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Gainesville Housing Corporation</v>
      </c>
      <c r="I250" s="2100"/>
      <c r="J250" s="2100"/>
      <c r="K250" s="2100"/>
      <c r="L250" s="2100"/>
      <c r="M250" s="2100"/>
      <c r="N250" s="2100"/>
      <c r="O250" s="2076" t="s">
        <v>2065</v>
      </c>
      <c r="P250" s="2076"/>
      <c r="Q250" s="2070" t="str">
        <f>'Part II-Development Team'!Q46</f>
        <v>Beth Brown</v>
      </c>
      <c r="R250" s="2100"/>
      <c r="S250" s="2100"/>
    </row>
    <row r="251" spans="1:19">
      <c r="A251" s="2070"/>
      <c r="B251" s="2070"/>
      <c r="C251" s="2070"/>
      <c r="D251" s="2144"/>
      <c r="E251" s="2076" t="s">
        <v>1058</v>
      </c>
      <c r="F251" s="2082"/>
      <c r="G251" s="2070"/>
      <c r="H251" s="2070" t="str">
        <f>'Part II-Development Team'!H47</f>
        <v>750 Pearl Nix Parkway</v>
      </c>
      <c r="I251" s="2100"/>
      <c r="J251" s="2100"/>
      <c r="K251" s="2100"/>
      <c r="L251" s="2100"/>
      <c r="M251" s="2100"/>
      <c r="N251" s="2100"/>
      <c r="O251" s="2076" t="s">
        <v>1813</v>
      </c>
      <c r="P251" s="2070"/>
      <c r="Q251" s="2070" t="str">
        <f>'Part II-Development Team'!Q47</f>
        <v>ED of NonProfit Sponsor</v>
      </c>
      <c r="R251" s="2100"/>
      <c r="S251" s="2100"/>
    </row>
    <row r="252" spans="1:19">
      <c r="A252" s="2070"/>
      <c r="B252" s="2070"/>
      <c r="C252" s="2070"/>
      <c r="D252" s="2144"/>
      <c r="E252" s="2076" t="s">
        <v>642</v>
      </c>
      <c r="F252" s="2070"/>
      <c r="G252" s="2070"/>
      <c r="H252" s="2070" t="str">
        <f>'Part II-Development Team'!H48</f>
        <v>Gainesville</v>
      </c>
      <c r="I252" s="2100"/>
      <c r="J252" s="2100"/>
      <c r="K252" s="2073" t="s">
        <v>2808</v>
      </c>
      <c r="L252" s="2070" t="str">
        <f>'Part II-Development Team'!L48</f>
        <v>www.gainesvillehousing.org</v>
      </c>
      <c r="M252" s="2100"/>
      <c r="N252" s="2100"/>
      <c r="O252" s="2076" t="s">
        <v>1869</v>
      </c>
      <c r="P252" s="2070"/>
      <c r="Q252" s="2085">
        <f>'Part II-Development Team'!Q48</f>
        <v>7065361294</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305018528</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7705361294</v>
      </c>
      <c r="I254" s="2085"/>
      <c r="J254" s="2084">
        <f>'Part II-Development Team'!J50</f>
        <v>0</v>
      </c>
      <c r="K254" s="2073" t="s">
        <v>2059</v>
      </c>
      <c r="L254" s="2089" t="str">
        <f>'Part II-Development Team'!L50</f>
        <v>bbrown@gainesvillehousing.org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Gainesville Housing Corporation</v>
      </c>
      <c r="I258" s="2100"/>
      <c r="J258" s="2100"/>
      <c r="K258" s="2100"/>
      <c r="L258" s="2100"/>
      <c r="M258" s="2100"/>
      <c r="N258" s="2100"/>
      <c r="O258" s="2076" t="s">
        <v>2065</v>
      </c>
      <c r="P258" s="2076"/>
      <c r="Q258" s="2070" t="str">
        <f>'Part II-Development Team'!Q54</f>
        <v>Beth Brown</v>
      </c>
      <c r="R258" s="2100"/>
      <c r="S258" s="2100"/>
    </row>
    <row r="259" spans="1:19">
      <c r="A259" s="2070"/>
      <c r="B259" s="2070"/>
      <c r="C259" s="2070"/>
      <c r="D259" s="2144"/>
      <c r="E259" s="2076" t="s">
        <v>1058</v>
      </c>
      <c r="F259" s="2082"/>
      <c r="G259" s="2070"/>
      <c r="H259" s="2070" t="str">
        <f>'Part II-Development Team'!H55</f>
        <v>750 Pearl Nix Parkway</v>
      </c>
      <c r="I259" s="2100"/>
      <c r="J259" s="2100"/>
      <c r="K259" s="2100"/>
      <c r="L259" s="2100"/>
      <c r="M259" s="2100"/>
      <c r="N259" s="2100"/>
      <c r="O259" s="2076" t="s">
        <v>1813</v>
      </c>
      <c r="P259" s="2070"/>
      <c r="Q259" s="2070" t="str">
        <f>'Part II-Development Team'!Q55</f>
        <v>ED of NonProfit Sponsor</v>
      </c>
      <c r="R259" s="2100"/>
      <c r="S259" s="2100"/>
    </row>
    <row r="260" spans="1:19">
      <c r="A260" s="2070"/>
      <c r="B260" s="2070"/>
      <c r="C260" s="2070"/>
      <c r="D260" s="2144"/>
      <c r="E260" s="2076" t="s">
        <v>642</v>
      </c>
      <c r="F260" s="2070"/>
      <c r="G260" s="2070"/>
      <c r="H260" s="2070" t="str">
        <f>'Part II-Development Team'!H56</f>
        <v>Gainesville</v>
      </c>
      <c r="I260" s="2100"/>
      <c r="J260" s="2100"/>
      <c r="K260" s="2073" t="s">
        <v>2808</v>
      </c>
      <c r="L260" s="2070">
        <f>'Part II-Development Team'!L56</f>
        <v>0</v>
      </c>
      <c r="M260" s="2100"/>
      <c r="N260" s="2100"/>
      <c r="O260" s="2076" t="s">
        <v>1869</v>
      </c>
      <c r="P260" s="2070"/>
      <c r="Q260" s="2085">
        <f>'Part II-Development Team'!Q56</f>
        <v>7065361294</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305018528</v>
      </c>
      <c r="M261" s="2100"/>
      <c r="N261" s="2070"/>
      <c r="O261" s="2076" t="s">
        <v>2054</v>
      </c>
      <c r="P261" s="2070"/>
      <c r="Q261" s="2085">
        <f>'Part II-Development Team'!Q57</f>
        <v>0</v>
      </c>
      <c r="R261" s="2085"/>
      <c r="S261" s="2085"/>
    </row>
    <row r="262" spans="1:19">
      <c r="A262" s="2070"/>
      <c r="B262" s="2070"/>
      <c r="C262" s="2070"/>
      <c r="D262" s="2144"/>
      <c r="E262" s="2076" t="s">
        <v>2060</v>
      </c>
      <c r="F262" s="2070"/>
      <c r="G262" s="2070"/>
      <c r="H262" s="2085">
        <f>'Part II-Development Team'!H58</f>
        <v>7705361294</v>
      </c>
      <c r="I262" s="2085"/>
      <c r="J262" s="2084">
        <f>'Part II-Development Team'!J58</f>
        <v>0</v>
      </c>
      <c r="K262" s="2073" t="s">
        <v>2059</v>
      </c>
      <c r="L262" s="2089" t="str">
        <f>'Part II-Development Team'!L58</f>
        <v>bbrown@gainesvillehousing.org</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t="str">
        <f>'Part II-Development Team'!H60</f>
        <v>KDTA Development, Inc.</v>
      </c>
      <c r="I264" s="2100"/>
      <c r="J264" s="2100"/>
      <c r="K264" s="2100"/>
      <c r="L264" s="2100"/>
      <c r="M264" s="2100"/>
      <c r="N264" s="2100"/>
      <c r="O264" s="2076" t="s">
        <v>2065</v>
      </c>
      <c r="P264" s="2076"/>
      <c r="Q264" s="2070" t="str">
        <f>'Part II-Development Team'!Q60</f>
        <v>Keith A. Davidson</v>
      </c>
      <c r="R264" s="2100"/>
      <c r="S264" s="2100"/>
    </row>
    <row r="265" spans="1:19">
      <c r="A265" s="2070"/>
      <c r="B265" s="2070"/>
      <c r="C265" s="2070"/>
      <c r="D265" s="2144"/>
      <c r="E265" s="2076" t="s">
        <v>1058</v>
      </c>
      <c r="F265" s="2082"/>
      <c r="G265" s="2070"/>
      <c r="H265" s="2070" t="str">
        <f>'Part II-Development Team'!H61</f>
        <v>2181 Newmarket Parkway</v>
      </c>
      <c r="I265" s="2100"/>
      <c r="J265" s="2100"/>
      <c r="K265" s="2100"/>
      <c r="L265" s="2100"/>
      <c r="M265" s="2100"/>
      <c r="N265" s="2100"/>
      <c r="O265" s="2076" t="s">
        <v>1813</v>
      </c>
      <c r="P265" s="2070"/>
      <c r="Q265" s="2070" t="str">
        <f>'Part II-Development Team'!Q61</f>
        <v>Treasurer</v>
      </c>
      <c r="R265" s="2100"/>
      <c r="S265" s="2100"/>
    </row>
    <row r="266" spans="1:19">
      <c r="A266" s="2070"/>
      <c r="B266" s="2070"/>
      <c r="C266" s="2070"/>
      <c r="D266" s="2144"/>
      <c r="E266" s="2076" t="s">
        <v>642</v>
      </c>
      <c r="F266" s="2070"/>
      <c r="G266" s="2070"/>
      <c r="H266" s="2070" t="str">
        <f>'Part II-Development Team'!H62</f>
        <v>Marietta</v>
      </c>
      <c r="I266" s="2100"/>
      <c r="J266" s="2100"/>
      <c r="K266" s="2073" t="s">
        <v>2808</v>
      </c>
      <c r="L266" s="2070">
        <f>'Part II-Development Team'!L62</f>
        <v>0</v>
      </c>
      <c r="M266" s="2100"/>
      <c r="N266" s="2100"/>
      <c r="O266" s="2076" t="s">
        <v>1869</v>
      </c>
      <c r="P266" s="2070"/>
      <c r="Q266" s="2085">
        <f>'Part II-Development Team'!Q62</f>
        <v>6783034135</v>
      </c>
      <c r="R266" s="2085"/>
      <c r="S266" s="2085"/>
    </row>
    <row r="267" spans="1:19">
      <c r="A267" s="2070"/>
      <c r="B267" s="2070"/>
      <c r="C267" s="2070"/>
      <c r="D267" s="2070"/>
      <c r="E267" s="2076" t="s">
        <v>1865</v>
      </c>
      <c r="F267" s="2070"/>
      <c r="G267" s="2070"/>
      <c r="H267" s="2073" t="str">
        <f>'Part II-Development Team'!H63</f>
        <v>GA</v>
      </c>
      <c r="I267" s="2070"/>
      <c r="J267" s="2070"/>
      <c r="K267" s="2073" t="s">
        <v>2308</v>
      </c>
      <c r="L267" s="2087">
        <f>'Part II-Development Team'!L63</f>
        <v>300678770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6783034135</v>
      </c>
      <c r="I268" s="2085"/>
      <c r="J268" s="2084">
        <f>'Part II-Development Team'!J64</f>
        <v>0</v>
      </c>
      <c r="K268" s="2073" t="s">
        <v>2059</v>
      </c>
      <c r="L268" s="2089" t="str">
        <f>'Part II-Development Team'!L64</f>
        <v>kdavidson@waltoncommunities.com</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Walton Construction Services, LP</v>
      </c>
      <c r="I290" s="2100"/>
      <c r="J290" s="2100"/>
      <c r="K290" s="2100"/>
      <c r="L290" s="2100"/>
      <c r="M290" s="2100"/>
      <c r="N290" s="2100"/>
      <c r="O290" s="2076" t="s">
        <v>2065</v>
      </c>
      <c r="P290" s="2076"/>
      <c r="Q290" s="2070" t="str">
        <f>'Part II-Development Team'!Q86</f>
        <v>Mark Stovall</v>
      </c>
      <c r="R290" s="2100"/>
      <c r="S290" s="2100"/>
    </row>
    <row r="291" spans="1:19">
      <c r="A291" s="2070"/>
      <c r="B291" s="2070"/>
      <c r="C291" s="2070"/>
      <c r="D291" s="2144"/>
      <c r="E291" s="2076" t="s">
        <v>1058</v>
      </c>
      <c r="F291" s="2082"/>
      <c r="G291" s="2070"/>
      <c r="H291" s="2070" t="str">
        <f>'Part II-Development Team'!H87</f>
        <v>6640 Akers Mill Road, Building 1700</v>
      </c>
      <c r="I291" s="2100"/>
      <c r="J291" s="2100"/>
      <c r="K291" s="2100"/>
      <c r="L291" s="2100"/>
      <c r="M291" s="2100"/>
      <c r="N291" s="2100"/>
      <c r="O291" s="2076" t="s">
        <v>1813</v>
      </c>
      <c r="P291" s="2070"/>
      <c r="Q291" s="2070" t="str">
        <f>'Part II-Development Team'!Q87</f>
        <v>President</v>
      </c>
      <c r="R291" s="2100"/>
      <c r="S291" s="2100"/>
    </row>
    <row r="292" spans="1:19">
      <c r="A292" s="2070"/>
      <c r="B292" s="2070"/>
      <c r="C292" s="2070"/>
      <c r="D292" s="2144"/>
      <c r="E292" s="2076" t="s">
        <v>642</v>
      </c>
      <c r="F292" s="2070"/>
      <c r="G292" s="2070"/>
      <c r="H292" s="2070" t="str">
        <f>'Part II-Development Team'!H88</f>
        <v>Atlanta</v>
      </c>
      <c r="I292" s="2100"/>
      <c r="J292" s="2100"/>
      <c r="K292" s="2073" t="s">
        <v>2808</v>
      </c>
      <c r="L292" s="2070" t="str">
        <f>'Part II-Development Team'!L88</f>
        <v>www.wcsatl.com</v>
      </c>
      <c r="M292" s="2100"/>
      <c r="N292" s="2100"/>
      <c r="O292" s="2076" t="s">
        <v>1869</v>
      </c>
      <c r="P292" s="2070"/>
      <c r="Q292" s="2085">
        <f>'Part II-Development Team'!Q88</f>
        <v>7702729256</v>
      </c>
      <c r="R292" s="2085"/>
      <c r="S292" s="2085"/>
    </row>
    <row r="293" spans="1:19">
      <c r="A293" s="2070"/>
      <c r="B293" s="2070"/>
      <c r="C293" s="2070"/>
      <c r="D293" s="2070"/>
      <c r="E293" s="2076" t="s">
        <v>1865</v>
      </c>
      <c r="F293" s="2070"/>
      <c r="G293" s="2070"/>
      <c r="H293" s="2073" t="str">
        <f>'Part II-Development Team'!H89</f>
        <v>GA</v>
      </c>
      <c r="I293" s="2070"/>
      <c r="J293" s="2070"/>
      <c r="K293" s="2073" t="s">
        <v>2308</v>
      </c>
      <c r="L293" s="2087">
        <f>'Part II-Development Team'!L89</f>
        <v>303392715</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7702729256</v>
      </c>
      <c r="I294" s="2085"/>
      <c r="J294" s="2084">
        <f>'Part II-Development Team'!J90</f>
        <v>0</v>
      </c>
      <c r="K294" s="2073" t="s">
        <v>2059</v>
      </c>
      <c r="L294" s="2089" t="str">
        <f>'Part II-Development Team'!L90</f>
        <v>mstovall@wcsatl.com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Walton Communities, LLC</v>
      </c>
      <c r="I296" s="2100"/>
      <c r="J296" s="2100"/>
      <c r="K296" s="2100"/>
      <c r="L296" s="2100"/>
      <c r="M296" s="2100"/>
      <c r="N296" s="2100"/>
      <c r="O296" s="2076" t="s">
        <v>2065</v>
      </c>
      <c r="P296" s="2076"/>
      <c r="Q296" s="2070" t="str">
        <f>'Part II-Development Team'!Q92</f>
        <v>Keith A. Davidson</v>
      </c>
      <c r="R296" s="2100"/>
      <c r="S296" s="2100"/>
    </row>
    <row r="297" spans="1:19">
      <c r="A297" s="2070"/>
      <c r="B297" s="2070"/>
      <c r="C297" s="2070"/>
      <c r="D297" s="2144"/>
      <c r="E297" s="2076" t="s">
        <v>1058</v>
      </c>
      <c r="F297" s="2082"/>
      <c r="G297" s="2070"/>
      <c r="H297" s="2070" t="str">
        <f>'Part II-Development Team'!H93</f>
        <v>2181 Newmarket Parkway</v>
      </c>
      <c r="I297" s="2100"/>
      <c r="J297" s="2100"/>
      <c r="K297" s="2100"/>
      <c r="L297" s="2100"/>
      <c r="M297" s="2100"/>
      <c r="N297" s="2100"/>
      <c r="O297" s="2076" t="s">
        <v>1813</v>
      </c>
      <c r="P297" s="2070"/>
      <c r="Q297" s="2070" t="str">
        <f>'Part II-Development Team'!Q93</f>
        <v>Co-Manager</v>
      </c>
      <c r="R297" s="2100"/>
      <c r="S297" s="2100"/>
    </row>
    <row r="298" spans="1:19">
      <c r="A298" s="2070"/>
      <c r="B298" s="2070"/>
      <c r="C298" s="2070"/>
      <c r="D298" s="2144"/>
      <c r="E298" s="2076" t="s">
        <v>642</v>
      </c>
      <c r="F298" s="2070"/>
      <c r="G298" s="2070"/>
      <c r="H298" s="2070" t="str">
        <f>'Part II-Development Team'!H94</f>
        <v>Marietta</v>
      </c>
      <c r="I298" s="2100"/>
      <c r="J298" s="2100"/>
      <c r="K298" s="2073" t="s">
        <v>2808</v>
      </c>
      <c r="L298" s="2070" t="str">
        <f>'Part II-Development Team'!L94</f>
        <v>www.waltoncommunities.com</v>
      </c>
      <c r="M298" s="2100"/>
      <c r="N298" s="2100"/>
      <c r="O298" s="2076" t="s">
        <v>1869</v>
      </c>
      <c r="P298" s="2070"/>
      <c r="Q298" s="2085">
        <f>'Part II-Development Team'!Q94</f>
        <v>6783034135</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300678770</v>
      </c>
      <c r="M299" s="2100"/>
      <c r="N299" s="2070"/>
      <c r="O299" s="2076" t="s">
        <v>2054</v>
      </c>
      <c r="P299" s="2070"/>
      <c r="Q299" s="2085">
        <f>'Part II-Development Team'!Q95</f>
        <v>0</v>
      </c>
      <c r="R299" s="2085"/>
      <c r="S299" s="2085"/>
    </row>
    <row r="300" spans="1:19">
      <c r="A300" s="2070"/>
      <c r="B300" s="2070"/>
      <c r="C300" s="2070"/>
      <c r="D300" s="2144"/>
      <c r="E300" s="2076" t="s">
        <v>2060</v>
      </c>
      <c r="F300" s="2070"/>
      <c r="G300" s="2070"/>
      <c r="H300" s="2085">
        <f>'Part II-Development Team'!H96</f>
        <v>6783034135</v>
      </c>
      <c r="I300" s="2085"/>
      <c r="J300" s="2084">
        <f>'Part II-Development Team'!J96</f>
        <v>0</v>
      </c>
      <c r="K300" s="2073" t="s">
        <v>2059</v>
      </c>
      <c r="L300" s="2089" t="str">
        <f>'Part II-Development Team'!L96</f>
        <v>kdavidson@waltoncommunities.com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Arnall Golden Gregory LLP</v>
      </c>
      <c r="I302" s="2100"/>
      <c r="J302" s="2100"/>
      <c r="K302" s="2100"/>
      <c r="L302" s="2100"/>
      <c r="M302" s="2100"/>
      <c r="N302" s="2100"/>
      <c r="O302" s="2076" t="s">
        <v>2065</v>
      </c>
      <c r="P302" s="2076"/>
      <c r="Q302" s="2070" t="str">
        <f>'Part II-Development Team'!Q98</f>
        <v>Jeff Adams</v>
      </c>
      <c r="R302" s="2100"/>
      <c r="S302" s="2100"/>
    </row>
    <row r="303" spans="1:19">
      <c r="A303" s="2070"/>
      <c r="B303" s="2070"/>
      <c r="C303" s="2070"/>
      <c r="D303" s="2144"/>
      <c r="E303" s="2076" t="s">
        <v>1058</v>
      </c>
      <c r="F303" s="2082"/>
      <c r="G303" s="2070"/>
      <c r="H303" s="2070" t="str">
        <f>'Part II-Development Team'!H99</f>
        <v>171 17th St., NW, Suite 2100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Atlanta</v>
      </c>
      <c r="I304" s="2100"/>
      <c r="J304" s="2100"/>
      <c r="K304" s="2073" t="s">
        <v>2808</v>
      </c>
      <c r="L304" s="2070" t="str">
        <f>'Part II-Development Team'!L100</f>
        <v>www.agg.com</v>
      </c>
      <c r="M304" s="2100"/>
      <c r="N304" s="2100"/>
      <c r="O304" s="2076" t="s">
        <v>1869</v>
      </c>
      <c r="P304" s="2070"/>
      <c r="Q304" s="2085">
        <f>'Part II-Development Team'!Q100</f>
        <v>4048737014</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303631031</v>
      </c>
      <c r="M305" s="2100"/>
      <c r="N305" s="2070"/>
      <c r="O305" s="2076" t="s">
        <v>2054</v>
      </c>
      <c r="P305" s="2070"/>
      <c r="Q305" s="2085">
        <f>'Part II-Development Team'!Q101</f>
        <v>0</v>
      </c>
      <c r="R305" s="2085"/>
      <c r="S305" s="2085"/>
    </row>
    <row r="306" spans="1:19">
      <c r="A306" s="2075"/>
      <c r="B306" s="2075"/>
      <c r="C306" s="2075"/>
      <c r="D306" s="2075"/>
      <c r="E306" s="2076" t="s">
        <v>2060</v>
      </c>
      <c r="F306" s="2070"/>
      <c r="G306" s="2070"/>
      <c r="H306" s="2085">
        <f>'Part II-Development Team'!H102</f>
        <v>4048737014</v>
      </c>
      <c r="I306" s="2085"/>
      <c r="J306" s="2084">
        <f>'Part II-Development Team'!J102</f>
        <v>0</v>
      </c>
      <c r="K306" s="2073" t="s">
        <v>2059</v>
      </c>
      <c r="L306" s="2089" t="str">
        <f>'Part II-Development Team'!L102</f>
        <v>jeffrey.adams@agg.com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CohnReznick LLP</v>
      </c>
      <c r="I309" s="2100"/>
      <c r="J309" s="2100"/>
      <c r="K309" s="2100"/>
      <c r="L309" s="2100"/>
      <c r="M309" s="2100"/>
      <c r="N309" s="2100"/>
      <c r="O309" s="2076" t="s">
        <v>2065</v>
      </c>
      <c r="P309" s="2076"/>
      <c r="Q309" s="2070" t="str">
        <f>'Part II-Development Team'!Q105</f>
        <v>Wendy R. Langlais-Tillery</v>
      </c>
      <c r="R309" s="2100"/>
      <c r="S309" s="2100"/>
    </row>
    <row r="310" spans="1:19">
      <c r="A310" s="2070"/>
      <c r="B310" s="2070"/>
      <c r="C310" s="2070"/>
      <c r="D310" s="2144"/>
      <c r="E310" s="2076" t="s">
        <v>1058</v>
      </c>
      <c r="F310" s="2082"/>
      <c r="G310" s="2070"/>
      <c r="H310" s="2070" t="str">
        <f>'Part II-Development Team'!H106</f>
        <v>3560 Lenox Rd., Suite 2800</v>
      </c>
      <c r="I310" s="2100"/>
      <c r="J310" s="2100"/>
      <c r="K310" s="2100"/>
      <c r="L310" s="2100"/>
      <c r="M310" s="2100"/>
      <c r="N310" s="2100"/>
      <c r="O310" s="2076" t="s">
        <v>1813</v>
      </c>
      <c r="P310" s="2070"/>
      <c r="Q310" s="2070" t="str">
        <f>'Part II-Development Team'!Q106</f>
        <v>Office Manager Partner</v>
      </c>
      <c r="R310" s="2100"/>
      <c r="S310" s="2100"/>
    </row>
    <row r="311" spans="1:19">
      <c r="A311" s="2070"/>
      <c r="B311" s="2070"/>
      <c r="C311" s="2070"/>
      <c r="D311" s="2144"/>
      <c r="E311" s="2076" t="s">
        <v>642</v>
      </c>
      <c r="F311" s="2070"/>
      <c r="G311" s="2070"/>
      <c r="H311" s="2070" t="str">
        <f>'Part II-Development Team'!H107</f>
        <v>Atlanta</v>
      </c>
      <c r="I311" s="2100"/>
      <c r="J311" s="2100"/>
      <c r="K311" s="2073" t="s">
        <v>2808</v>
      </c>
      <c r="L311" s="2070" t="str">
        <f>'Part II-Development Team'!L107</f>
        <v>www.cohnreznick.com</v>
      </c>
      <c r="M311" s="2100"/>
      <c r="N311" s="2100"/>
      <c r="O311" s="2076" t="s">
        <v>1869</v>
      </c>
      <c r="P311" s="2070"/>
      <c r="Q311" s="2085">
        <f>'Part II-Development Team'!Q107</f>
        <v>4048477774</v>
      </c>
      <c r="R311" s="2085"/>
      <c r="S311" s="2085"/>
    </row>
    <row r="312" spans="1:19">
      <c r="A312" s="2070"/>
      <c r="B312" s="2070"/>
      <c r="C312" s="2070"/>
      <c r="D312" s="2144"/>
      <c r="E312" s="2076" t="s">
        <v>1865</v>
      </c>
      <c r="F312" s="2070"/>
      <c r="G312" s="2070"/>
      <c r="H312" s="2073" t="str">
        <f>'Part II-Development Team'!H108</f>
        <v>GA</v>
      </c>
      <c r="I312" s="2070"/>
      <c r="J312" s="2070"/>
      <c r="K312" s="2073" t="s">
        <v>2308</v>
      </c>
      <c r="L312" s="2087">
        <f>'Part II-Development Team'!L108</f>
        <v>303294276</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4048479447</v>
      </c>
      <c r="I313" s="2085"/>
      <c r="J313" s="2084">
        <f>'Part II-Development Team'!J109</f>
        <v>0</v>
      </c>
      <c r="K313" s="2073" t="s">
        <v>2059</v>
      </c>
      <c r="L313" s="2089" t="str">
        <f>'Part II-Development Team'!L109</f>
        <v>wendy.langlais@cohnreznick.com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Arrive Architecture Group (fka Gailer Tolson French)</v>
      </c>
      <c r="I315" s="2100"/>
      <c r="J315" s="2100"/>
      <c r="K315" s="2100"/>
      <c r="L315" s="2100"/>
      <c r="M315" s="2100"/>
      <c r="N315" s="2100"/>
      <c r="O315" s="2076" t="s">
        <v>2065</v>
      </c>
      <c r="P315" s="2076"/>
      <c r="Q315" s="2070" t="str">
        <f>'Part II-Development Team'!Q111</f>
        <v>Marc Tolson</v>
      </c>
      <c r="R315" s="2100"/>
      <c r="S315" s="2100"/>
    </row>
    <row r="316" spans="1:19">
      <c r="A316" s="2070"/>
      <c r="B316" s="2070"/>
      <c r="C316" s="2070"/>
      <c r="D316" s="2144"/>
      <c r="E316" s="2076" t="s">
        <v>1058</v>
      </c>
      <c r="F316" s="2082"/>
      <c r="G316" s="2070"/>
      <c r="H316" s="2070" t="str">
        <f>'Part II-Development Team'!H112</f>
        <v>2344 Highway 121, Suite 100</v>
      </c>
      <c r="I316" s="2100"/>
      <c r="J316" s="2100"/>
      <c r="K316" s="2100"/>
      <c r="L316" s="2100"/>
      <c r="M316" s="2100"/>
      <c r="N316" s="2100"/>
      <c r="O316" s="2076" t="s">
        <v>1813</v>
      </c>
      <c r="P316" s="2070"/>
      <c r="Q316" s="2070" t="str">
        <f>'Part II-Development Team'!Q112</f>
        <v>Owner</v>
      </c>
      <c r="R316" s="2100"/>
      <c r="S316" s="2100"/>
    </row>
    <row r="317" spans="1:19">
      <c r="A317" s="2070"/>
      <c r="B317" s="2070"/>
      <c r="C317" s="2070"/>
      <c r="D317" s="2144"/>
      <c r="E317" s="2076" t="s">
        <v>642</v>
      </c>
      <c r="F317" s="2070"/>
      <c r="G317" s="2070"/>
      <c r="H317" s="2070" t="str">
        <f>'Part II-Development Team'!H113</f>
        <v>Bedford</v>
      </c>
      <c r="I317" s="2100"/>
      <c r="J317" s="2100"/>
      <c r="K317" s="2073" t="s">
        <v>2808</v>
      </c>
      <c r="L317" s="2070" t="str">
        <f>'Part II-Development Team'!L113</f>
        <v>http://arriveag.com</v>
      </c>
      <c r="M317" s="2100"/>
      <c r="N317" s="2100"/>
      <c r="O317" s="2076" t="s">
        <v>1869</v>
      </c>
      <c r="P317" s="2070"/>
      <c r="Q317" s="2085">
        <f>'Part II-Development Team'!Q113</f>
        <v>8175140584</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760215987</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8175140584</v>
      </c>
      <c r="I319" s="2085"/>
      <c r="J319" s="2084">
        <f>'Part II-Development Team'!J115</f>
        <v>0</v>
      </c>
      <c r="K319" s="2073" t="s">
        <v>2059</v>
      </c>
      <c r="L319" s="2089" t="str">
        <f>'Part II-Development Team'!L115</f>
        <v>marc@arriveag.com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4424</v>
      </c>
      <c r="D322" s="2070"/>
      <c r="E322" s="2070"/>
      <c r="F322" s="2070"/>
      <c r="G322" s="2070"/>
      <c r="H322" s="2070">
        <f>'Part II-Development Team'!H118</f>
        <v>0</v>
      </c>
      <c r="I322" s="2070"/>
      <c r="J322" s="2070"/>
      <c r="K322" s="2073" t="s">
        <v>2560</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2308</v>
      </c>
      <c r="J324" s="2087">
        <f>'Part II-Development Team'!J120</f>
        <v>0</v>
      </c>
      <c r="K324" s="2100"/>
      <c r="L324" s="2073" t="s">
        <v>2059</v>
      </c>
      <c r="M324" s="2089">
        <f>'Part II-Development Team'!M120</f>
        <v>0</v>
      </c>
      <c r="N324" s="2089"/>
      <c r="O324" s="2089"/>
      <c r="P324" s="2089"/>
      <c r="Q324" s="2089"/>
      <c r="R324" s="2089"/>
      <c r="S324" s="2089"/>
    </row>
    <row r="325" spans="1:19">
      <c r="A325" s="2075"/>
      <c r="B325" s="2068" t="s">
        <v>2061</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2597</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2973</v>
      </c>
      <c r="E327" s="2067"/>
      <c r="F327" s="2150" t="str">
        <f>'Part II-Development Team'!F123</f>
        <v>Yes</v>
      </c>
      <c r="G327" s="2151" t="str">
        <f>'Part II-Development Team'!G123</f>
        <v>Co-developer, KDTA Development, Inc. is managed by Keith A. Davidson, who is a partner in Walton Construction Services. Additionally, David Knight is a principal in both entities.</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3044</v>
      </c>
      <c r="E328" s="2067"/>
      <c r="F328" s="2150" t="str">
        <f>'Part II-Development Team'!F124</f>
        <v>Yes</v>
      </c>
      <c r="G328" s="2151" t="str">
        <f>'Part II-Development Team'!G124</f>
        <v>The property will be leased by the Gainesville Housing Authority to the Project Parnership in which the Gainesville Housing Corporation is the managing member of the GP. The Gainesville Housing Authority is affiliated with the Gainesvile Housing Corporation.</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3016</v>
      </c>
      <c r="E329" s="2067"/>
      <c r="F329" s="2150" t="str">
        <f>'Part II-Development Team'!F125</f>
        <v>Yes</v>
      </c>
      <c r="G329" s="2151" t="str">
        <f>'Part II-Development Team'!G125</f>
        <v>The minority member of the GP is 240 Atlanta Street Phase 2 Walton GP, LLC and is managed by Keith A. Davidson, who is a partner in Walton Construction Services. Additionally, David Knight is an owner in both entities.</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2974</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Yes</v>
      </c>
      <c r="G331" s="2151" t="str">
        <f>'Part II-Development Team'!G127</f>
        <v>The Limited Partner, 240 Atlanta Street Phase 2 Walton Limited, LLC is managed by Keith A. Davidson, who also manages KDTA Development, Inc. Additionally, all the owners of KDTA Development, Inc. will be participating in the syndication through 240 Atlanta Street Phase 2 Walton Limited, LLC.</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3724</v>
      </c>
      <c r="E332" s="2067"/>
      <c r="F332" s="2150" t="str">
        <f>'Part II-Development Team'!F128</f>
        <v>Yes</v>
      </c>
      <c r="G332" s="2151" t="str">
        <f>'Part II-Development Team'!G128</f>
        <v>The Limited Partner, 240 Atlanta Street Phase 2 Walton Limited, LLC is managed by Keith A. Davidson, who is a partner in Walton Construction Services. Additionally, one of the owners of KDTA Development, Inc. (i.e. David Knight) will be participating in the syndication through 240 Atlanta Street Phase 2 Walton Limited, LLC.</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2975</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53">
      <c r="A334" s="2070"/>
      <c r="B334" s="2134"/>
      <c r="C334" s="2149" t="s">
        <v>522</v>
      </c>
      <c r="D334" s="2067" t="s">
        <v>1659</v>
      </c>
      <c r="E334" s="2067"/>
      <c r="F334" s="2150" t="str">
        <f>'Part II-Development Team'!F130</f>
        <v>Yes</v>
      </c>
      <c r="G334" s="2151" t="str">
        <f>'Part II-Development Team'!G130</f>
        <v>Keith A. Davidson and David Knight are principals in the Management Company, Co-Developer, Syndicator (State Limited Parnter) and Contractor</v>
      </c>
      <c r="H334" s="2151"/>
      <c r="I334" s="2151"/>
      <c r="J334" s="2151"/>
      <c r="K334" s="2151"/>
      <c r="L334" s="2151"/>
      <c r="M334" s="2151"/>
      <c r="N334" s="2151"/>
      <c r="O334" s="2151"/>
      <c r="P334" s="2151"/>
      <c r="Q334" s="2151"/>
      <c r="R334" s="2151"/>
      <c r="S334" s="2151"/>
    </row>
    <row r="335" spans="1:19">
      <c r="A335" s="2068" t="s">
        <v>1858</v>
      </c>
      <c r="B335" s="2068" t="s">
        <v>4425</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3690</v>
      </c>
      <c r="F338" s="2152"/>
      <c r="G338" s="2152"/>
      <c r="H338" s="2152"/>
      <c r="I338" s="2152"/>
      <c r="J338" s="2067" t="s">
        <v>3691</v>
      </c>
      <c r="K338" s="2152" t="s">
        <v>4426</v>
      </c>
      <c r="L338" s="2152" t="s">
        <v>4427</v>
      </c>
      <c r="M338" s="2152" t="s">
        <v>4428</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f>'Part II-Development Team'!N139</f>
        <v>0</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Yes</v>
      </c>
      <c r="N347" s="2151">
        <f>'Part II-Development Team'!N143</f>
        <v>0</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Yes</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For Profit</v>
      </c>
      <c r="L350" s="2156">
        <f>'Part II-Development Team'!L146</f>
        <v>0</v>
      </c>
      <c r="M350" s="2150" t="str">
        <f>'Part II-Development Team'!M146</f>
        <v>Yes</v>
      </c>
      <c r="N350" s="2151">
        <f>'Part II-Development Team'!N146</f>
        <v>0</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Yes</v>
      </c>
      <c r="N354" s="2151">
        <f>'Part II-Development Team'!N150</f>
        <v>0</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The NonProfit Sponsor will have a 51% interest in the General Partner entity. As such, the NonProfit Sponsor will have ownership. For the purposes of the chart above, we are putting 0% ownership to avoid double counting ownership which would result in the total ownership exceeding 100%.All Identity of Interest is noted in Section IV.B.</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2016-032 240 Atlanta Street Development Phase 2, Gainesville, Hall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1594</v>
      </c>
      <c r="J368" s="2083"/>
      <c r="K368" s="2083"/>
      <c r="L368" s="2073">
        <f>'Part III-Sources of Funds'!L5</f>
        <v>0</v>
      </c>
      <c r="M368" s="2076" t="s">
        <v>4124</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2697</v>
      </c>
      <c r="N369" s="2083"/>
      <c r="O369" s="2083"/>
      <c r="P369" s="2083"/>
      <c r="Q369" s="2134"/>
    </row>
    <row r="370" spans="1:17" ht="13.5">
      <c r="A370" s="2070"/>
      <c r="B370" s="2073">
        <f>'Part III-Sources of Funds'!B7</f>
        <v>0</v>
      </c>
      <c r="C370" s="2076" t="s">
        <v>4096</v>
      </c>
      <c r="D370" s="2083"/>
      <c r="E370" s="2128">
        <f>'Part III-Sources of Funds'!E7</f>
        <v>0</v>
      </c>
      <c r="F370" s="2128"/>
      <c r="G370" s="2083"/>
      <c r="H370" s="2073" t="str">
        <f>'Part III-Sources of Funds'!H7</f>
        <v>Yes</v>
      </c>
      <c r="I370" s="2076" t="s">
        <v>4123</v>
      </c>
      <c r="J370" s="2083"/>
      <c r="K370" s="2083"/>
      <c r="L370" s="2073">
        <f>'Part III-Sources of Funds'!L7</f>
        <v>0</v>
      </c>
      <c r="M370" s="2076" t="s">
        <v>4131</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4429</v>
      </c>
      <c r="D373" s="2070"/>
      <c r="E373" s="2128">
        <f>'Part III-Sources of Funds'!E10</f>
        <v>0</v>
      </c>
      <c r="F373" s="2128"/>
      <c r="G373" s="2158"/>
      <c r="H373" s="2073">
        <f>'Part III-Sources of Funds'!H10</f>
        <v>0</v>
      </c>
      <c r="I373" s="2067" t="s">
        <v>2914</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4129</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4130</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4132</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4134</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Gainesville Housing Corporation RHF Funds</v>
      </c>
      <c r="I382" s="2070"/>
      <c r="J382" s="2070"/>
      <c r="K382" s="2070"/>
      <c r="L382" s="2098">
        <f>'Part III-Sources of Funds'!L19</f>
        <v>700000</v>
      </c>
      <c r="M382" s="2098"/>
      <c r="N382" s="2159">
        <f>'Part III-Sources of Funds'!N19</f>
        <v>0</v>
      </c>
      <c r="O382" s="2159"/>
      <c r="P382" s="2160">
        <f>'Part III-Sources of Funds'!P19</f>
        <v>24</v>
      </c>
      <c r="Q382" s="2160"/>
    </row>
    <row r="383" spans="1:17">
      <c r="A383" s="2070"/>
      <c r="B383" s="2070" t="s">
        <v>1649</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Wells Fargo Securities</v>
      </c>
      <c r="I388" s="2070"/>
      <c r="J388" s="2070"/>
      <c r="K388" s="2070"/>
      <c r="L388" s="2098">
        <f>'Part III-Sources of Funds'!L25</f>
        <v>6067545</v>
      </c>
      <c r="M388" s="2098"/>
      <c r="N388" s="2070"/>
      <c r="O388" s="2070"/>
      <c r="P388" s="2070"/>
      <c r="Q388" s="2070"/>
    </row>
    <row r="389" spans="1:17" ht="13.5">
      <c r="A389" s="2070"/>
      <c r="B389" s="2070" t="s">
        <v>835</v>
      </c>
      <c r="C389" s="2070"/>
      <c r="D389" s="2070"/>
      <c r="E389" s="2070"/>
      <c r="F389" s="2083"/>
      <c r="G389" s="2083"/>
      <c r="H389" s="2070" t="str">
        <f>'Part III-Sources of Funds'!H26</f>
        <v>240 Atlanta Street Phase 2 Walton Limited, LLC</v>
      </c>
      <c r="I389" s="2070"/>
      <c r="J389" s="2070"/>
      <c r="K389" s="2070"/>
      <c r="L389" s="2098">
        <f>'Part III-Sources of Funds'!L26</f>
        <v>4072500</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10840045</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10840045</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Gainesville Housing Corporation RHF</v>
      </c>
      <c r="F400" s="2070"/>
      <c r="G400" s="2070"/>
      <c r="H400" s="2070"/>
      <c r="I400" s="2105">
        <f>'Part III-Sources of Funds'!I37</f>
        <v>700000</v>
      </c>
      <c r="J400" s="2070"/>
      <c r="K400" s="2164">
        <f>'Part III-Sources of Funds'!K37</f>
        <v>0</v>
      </c>
      <c r="L400" s="2073">
        <f>'Part III-Sources of Funds'!L37</f>
        <v>18</v>
      </c>
      <c r="M400" s="2073">
        <f>'Part III-Sources of Funds'!M37</f>
        <v>0</v>
      </c>
      <c r="N400" s="2165" t="str">
        <f>'Part III-Sources of Funds'!N37</f>
        <v/>
      </c>
      <c r="O400" s="2165"/>
      <c r="P400" s="2070" t="str">
        <f>'Part III-Sources of Funds'!P37</f>
        <v>Cash Flow</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6.0608955223880601E-3</v>
      </c>
      <c r="E405" s="2070" t="str">
        <f>'Part III-Sources of Funds'!E42</f>
        <v>KDTA Development</v>
      </c>
      <c r="F405" s="2070"/>
      <c r="G405" s="2070"/>
      <c r="H405" s="2070"/>
      <c r="I405" s="2105">
        <f>'Part III-Sources of Funds'!I42</f>
        <v>10152</v>
      </c>
      <c r="J405" s="2070"/>
      <c r="K405" s="2164">
        <f>'Part III-Sources of Funds'!K42</f>
        <v>0</v>
      </c>
      <c r="L405" s="2073">
        <f>'Part III-Sources of Funds'!L42</f>
        <v>10</v>
      </c>
      <c r="M405" s="2073">
        <f>'Part III-Sources of Funds'!M42</f>
        <v>10</v>
      </c>
      <c r="N405" s="2165">
        <f>'Part III-Sources of Funds'!N42</f>
        <v>1015.1999999999999</v>
      </c>
      <c r="O405" s="2165"/>
      <c r="P405" s="2070" t="str">
        <f>'Part III-Sources of Funds'!P42</f>
        <v>Amortizing</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Wells Fargo Securities</v>
      </c>
      <c r="F408" s="2070"/>
      <c r="G408" s="2070"/>
      <c r="H408" s="2070"/>
      <c r="I408" s="2105">
        <f>'Part III-Sources of Funds'!I45</f>
        <v>8597500</v>
      </c>
      <c r="J408" s="2070"/>
      <c r="K408" s="2083"/>
      <c r="L408" s="2169">
        <f>'Part IV-Uses of Funds'!$J$174*10*'Part IV-Uses of Funds'!$N$167</f>
        <v>8597500</v>
      </c>
      <c r="M408" s="2169"/>
      <c r="N408" s="2170">
        <f>I408-L408</f>
        <v>0</v>
      </c>
      <c r="O408" s="2170"/>
      <c r="P408" s="2171" t="s">
        <v>2648</v>
      </c>
      <c r="Q408" s="2070"/>
    </row>
    <row r="409" spans="1:17" ht="13.5">
      <c r="A409" s="2070"/>
      <c r="B409" s="2070" t="s">
        <v>835</v>
      </c>
      <c r="C409" s="2070"/>
      <c r="D409" s="2070"/>
      <c r="E409" s="2070" t="str">
        <f>'Part III-Sources of Funds'!E46</f>
        <v>240 Atlanta Street Phase 2 Walton Limited, LLC</v>
      </c>
      <c r="F409" s="2070"/>
      <c r="G409" s="2070"/>
      <c r="H409" s="2070"/>
      <c r="I409" s="2105">
        <f>'Part III-Sources of Funds'!I46</f>
        <v>4072500</v>
      </c>
      <c r="J409" s="2070"/>
      <c r="K409" s="2083"/>
      <c r="L409" s="2169">
        <f>'Part IV-Uses of Funds'!$J$174*10*'Part IV-Uses of Funds'!$Q$167</f>
        <v>4072500</v>
      </c>
      <c r="M409" s="2169"/>
      <c r="N409" s="2170">
        <f>I409-L409</f>
        <v>0</v>
      </c>
      <c r="O409" s="2170"/>
      <c r="P409" s="2172">
        <f>I408/I418</f>
        <v>0.64255622806078738</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0.30436873960774136</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0.94692496766852874</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13380152</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13380152</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This project will be funded in part by a loan from an Instrumentatlity of the Housing Authority using RHF funds and in part through a nominal lease from the housing authority.</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2016-032 240 Atlanta Street Development Phase 2,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2016-032 240 Atlanta Street Development Phase 2,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5500</v>
      </c>
      <c r="H437" s="2098"/>
      <c r="I437" s="2070"/>
      <c r="J437" s="2098">
        <f>'Part IV-Uses of Funds'!J8</f>
        <v>5500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11000</v>
      </c>
      <c r="H438" s="2098"/>
      <c r="I438" s="2070"/>
      <c r="J438" s="2098">
        <f>'Part IV-Uses of Funds'!J9</f>
        <v>11000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17000</v>
      </c>
      <c r="H439" s="2098"/>
      <c r="I439" s="2070"/>
      <c r="J439" s="2098">
        <f>'Part IV-Uses of Funds'!J10</f>
        <v>17000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3500</v>
      </c>
      <c r="H440" s="2098"/>
      <c r="I440" s="2070"/>
      <c r="J440" s="2098">
        <f>'Part IV-Uses of Funds'!J11</f>
        <v>3500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10000</v>
      </c>
      <c r="H441" s="2098"/>
      <c r="I441" s="2070"/>
      <c r="J441" s="2098">
        <f>'Part IV-Uses of Funds'!J12</f>
        <v>10000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Construction Cost Review</v>
      </c>
      <c r="D443" s="2070"/>
      <c r="E443" s="2070"/>
      <c r="F443" s="2070"/>
      <c r="G443" s="2098">
        <f>'Part IV-Uses of Funds'!G14</f>
        <v>4000</v>
      </c>
      <c r="H443" s="2098"/>
      <c r="I443" s="2070"/>
      <c r="J443" s="2098">
        <f>'Part IV-Uses of Funds'!J14</f>
        <v>4000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51000</v>
      </c>
      <c r="H446" s="2098"/>
      <c r="I446" s="2070"/>
      <c r="J446" s="2098">
        <f>SUM(J437:K445)</f>
        <v>51000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875000</v>
      </c>
      <c r="H454" s="2098"/>
      <c r="I454" s="2070"/>
      <c r="J454" s="2098">
        <f>'Part IV-Uses of Funds'!J25</f>
        <v>600000</v>
      </c>
      <c r="K454" s="2098"/>
      <c r="L454" s="2099"/>
      <c r="M454" s="2098">
        <f>'Part IV-Uses of Funds'!M25</f>
        <v>0</v>
      </c>
      <c r="N454" s="2098"/>
      <c r="O454" s="2070"/>
      <c r="P454" s="2098">
        <f>'Part IV-Uses of Funds'!P25</f>
        <v>0</v>
      </c>
      <c r="Q454" s="2098"/>
      <c r="R454" s="2070"/>
      <c r="S454" s="2098">
        <f>'Part IV-Uses of Funds'!S25</f>
        <v>275000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875000</v>
      </c>
      <c r="H456" s="2098"/>
      <c r="I456" s="2070"/>
      <c r="J456" s="2098">
        <f>SUM(J454:K455)</f>
        <v>600000</v>
      </c>
      <c r="K456" s="2098"/>
      <c r="L456" s="2099"/>
      <c r="M456" s="2098">
        <f>M454</f>
        <v>0</v>
      </c>
      <c r="N456" s="2098"/>
      <c r="O456" s="2070"/>
      <c r="P456" s="2098">
        <f>P454</f>
        <v>0</v>
      </c>
      <c r="Q456" s="2098"/>
      <c r="R456" s="2070"/>
      <c r="S456" s="2098">
        <f>SUM(S454:T455)</f>
        <v>275000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7350000</v>
      </c>
      <c r="H458" s="2098"/>
      <c r="I458" s="2070"/>
      <c r="J458" s="2098">
        <f>'Part IV-Uses of Funds'!J29</f>
        <v>7350000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300000</v>
      </c>
      <c r="H460" s="2098"/>
      <c r="I460" s="2070"/>
      <c r="J460" s="2098">
        <f>'Part IV-Uses of Funds'!J31</f>
        <v>300000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7650000</v>
      </c>
      <c r="H462" s="2098"/>
      <c r="I462" s="2070"/>
      <c r="J462" s="2098">
        <f>SUM(J458:K461)</f>
        <v>7650000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511500</v>
      </c>
      <c r="G464" s="2098">
        <f>'Part IV-Uses of Funds'!G35</f>
        <v>511500</v>
      </c>
      <c r="H464" s="2098"/>
      <c r="I464" s="2075"/>
      <c r="J464" s="2098">
        <f>'Part IV-Uses of Funds'!J35</f>
        <v>511500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170500</v>
      </c>
      <c r="G465" s="2098">
        <f>'Part IV-Uses of Funds'!G36</f>
        <v>170500</v>
      </c>
      <c r="H465" s="2098"/>
      <c r="I465" s="2075"/>
      <c r="J465" s="2098">
        <f>'Part IV-Uses of Funds'!J36</f>
        <v>170500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511500</v>
      </c>
      <c r="G466" s="2098">
        <f>'Part IV-Uses of Funds'!G37</f>
        <v>511500</v>
      </c>
      <c r="H466" s="2098"/>
      <c r="I466" s="2075"/>
      <c r="J466" s="2098">
        <f>'Part IV-Uses of Funds'!J37</f>
        <v>511500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1193500</v>
      </c>
      <c r="H467" s="2098"/>
      <c r="I467" s="2070"/>
      <c r="J467" s="2098">
        <f>SUM(J464:K466)</f>
        <v>1193500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4430</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4431</v>
      </c>
      <c r="C472" s="2193"/>
      <c r="D472" s="2070"/>
      <c r="E472" s="2178" t="s">
        <v>2859</v>
      </c>
      <c r="F472" s="2194">
        <f>B473/'Part VI-Revenues &amp; Expenses'!$O$60</f>
        <v>107983.33333333333</v>
      </c>
      <c r="G472" s="2195" t="s">
        <v>4432</v>
      </c>
      <c r="H472" s="2070"/>
      <c r="I472" s="2070"/>
      <c r="J472" s="2196">
        <f>B473/'Part VI-Revenues &amp; Expenses'!$O$62</f>
        <v>107983.33333333333</v>
      </c>
      <c r="K472" s="2196"/>
      <c r="L472" s="2070"/>
      <c r="M472" s="2197" t="s">
        <v>1454</v>
      </c>
      <c r="N472" s="2197"/>
      <c r="O472" s="2070"/>
      <c r="P472" s="2196">
        <f>B473/'Part I-Project Information'!$P$60</f>
        <v>126.41129032258064</v>
      </c>
      <c r="Q472" s="2196"/>
      <c r="R472" s="2070"/>
      <c r="S472" s="2193" t="s">
        <v>2895</v>
      </c>
      <c r="T472" s="2193"/>
      <c r="U472" s="2070"/>
      <c r="V472" s="2070"/>
      <c r="W472" s="2181"/>
      <c r="X472" s="2181"/>
    </row>
    <row r="473" spans="1:24">
      <c r="A473" s="2070"/>
      <c r="B473" s="2198">
        <f>G456+G462+G467+G470</f>
        <v>9718500</v>
      </c>
      <c r="C473" s="2198"/>
      <c r="D473" s="2070"/>
      <c r="E473" s="2178"/>
      <c r="F473" s="2194">
        <f>B473/'Part VI-Revenues &amp; Expenses'!$O$117</f>
        <v>132.98440065681444</v>
      </c>
      <c r="G473" s="2108" t="s">
        <v>4433</v>
      </c>
      <c r="H473" s="2070"/>
      <c r="I473" s="2070"/>
      <c r="J473" s="2196">
        <f>B473/'Part VI-Revenues &amp; Expenses'!$O$119</f>
        <v>132.98440065681444</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4.6303441889180431E-2</v>
      </c>
      <c r="G476" s="2098">
        <f>'Part IV-Uses of Funds'!G47</f>
        <v>450000</v>
      </c>
      <c r="H476" s="2098"/>
      <c r="I476" s="2070"/>
      <c r="J476" s="2098">
        <f>'Part IV-Uses of Funds'!J47</f>
        <v>450000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4434</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0</v>
      </c>
      <c r="H483" s="2098"/>
      <c r="I483" s="2070"/>
      <c r="J483" s="2098">
        <f>'Part IV-Uses of Funds'!J54</f>
        <v>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0</v>
      </c>
      <c r="H484" s="2098"/>
      <c r="I484" s="2070"/>
      <c r="J484" s="2098">
        <f>'Part IV-Uses of Funds'!J55</f>
        <v>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0</v>
      </c>
      <c r="H485" s="2098"/>
      <c r="I485" s="2070"/>
      <c r="J485" s="2098">
        <f>'Part IV-Uses of Funds'!J56</f>
        <v>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12000</v>
      </c>
      <c r="H486" s="2098"/>
      <c r="I486" s="2070"/>
      <c r="J486" s="2098">
        <f>'Part IV-Uses of Funds'!J57</f>
        <v>4000</v>
      </c>
      <c r="K486" s="2098"/>
      <c r="L486" s="2099"/>
      <c r="M486" s="2098">
        <f>'Part IV-Uses of Funds'!M57</f>
        <v>0</v>
      </c>
      <c r="N486" s="2098"/>
      <c r="O486" s="2070"/>
      <c r="P486" s="2098">
        <f>'Part IV-Uses of Funds'!P57</f>
        <v>0</v>
      </c>
      <c r="Q486" s="2098"/>
      <c r="R486" s="2070"/>
      <c r="S486" s="2098">
        <f>'Part IV-Uses of Funds'!S57</f>
        <v>8000</v>
      </c>
      <c r="T486" s="2098"/>
      <c r="U486" s="2070"/>
      <c r="V486" s="2128">
        <f>'Part IV-Uses of Funds'!V57</f>
        <v>0</v>
      </c>
      <c r="W486" s="2181"/>
      <c r="X486" s="2181"/>
    </row>
    <row r="487" spans="1:24">
      <c r="A487" s="2070"/>
      <c r="B487" s="2070" t="s">
        <v>753</v>
      </c>
      <c r="C487" s="2070"/>
      <c r="D487" s="2070"/>
      <c r="E487" s="2070"/>
      <c r="F487" s="2070"/>
      <c r="G487" s="2098">
        <f>'Part IV-Uses of Funds'!G58</f>
        <v>0</v>
      </c>
      <c r="H487" s="2098"/>
      <c r="I487" s="2070"/>
      <c r="J487" s="2098">
        <f>'Part IV-Uses of Funds'!J58</f>
        <v>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28500</v>
      </c>
      <c r="H488" s="2098"/>
      <c r="I488" s="2070"/>
      <c r="J488" s="2098">
        <f>'Part IV-Uses of Funds'!J59</f>
        <v>10000</v>
      </c>
      <c r="K488" s="2098"/>
      <c r="L488" s="2099"/>
      <c r="M488" s="2098">
        <f>'Part IV-Uses of Funds'!M59</f>
        <v>0</v>
      </c>
      <c r="N488" s="2098"/>
      <c r="O488" s="2070"/>
      <c r="P488" s="2098">
        <f>'Part IV-Uses of Funds'!P59</f>
        <v>0</v>
      </c>
      <c r="Q488" s="2098"/>
      <c r="R488" s="2070"/>
      <c r="S488" s="2098">
        <f>'Part IV-Uses of Funds'!S59</f>
        <v>18500</v>
      </c>
      <c r="T488" s="2098"/>
      <c r="U488" s="2070"/>
      <c r="V488" s="2128">
        <f>'Part IV-Uses of Funds'!V59</f>
        <v>0</v>
      </c>
      <c r="W488" s="2181"/>
      <c r="X488" s="2181"/>
    </row>
    <row r="489" spans="1:24">
      <c r="A489" s="2070"/>
      <c r="B489" s="2070" t="s">
        <v>1323</v>
      </c>
      <c r="C489" s="2070"/>
      <c r="D489" s="2070"/>
      <c r="E489" s="2070"/>
      <c r="F489" s="2070"/>
      <c r="G489" s="2098">
        <f>'Part IV-Uses of Funds'!G60</f>
        <v>33000</v>
      </c>
      <c r="H489" s="2098"/>
      <c r="I489" s="2070"/>
      <c r="J489" s="2098">
        <f>'Part IV-Uses of Funds'!J60</f>
        <v>11000</v>
      </c>
      <c r="K489" s="2098"/>
      <c r="L489" s="2099"/>
      <c r="M489" s="2098">
        <f>'Part IV-Uses of Funds'!M60</f>
        <v>0</v>
      </c>
      <c r="N489" s="2098"/>
      <c r="O489" s="2070"/>
      <c r="P489" s="2098">
        <f>'Part IV-Uses of Funds'!P60</f>
        <v>0</v>
      </c>
      <c r="Q489" s="2098"/>
      <c r="R489" s="2070"/>
      <c r="S489" s="2098">
        <f>'Part IV-Uses of Funds'!S60</f>
        <v>22000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73500</v>
      </c>
      <c r="H493" s="2098"/>
      <c r="I493" s="2070"/>
      <c r="J493" s="2098">
        <f>SUM(J482:K492)</f>
        <v>25000</v>
      </c>
      <c r="K493" s="2098"/>
      <c r="L493" s="2099"/>
      <c r="M493" s="2098">
        <f>SUM(M482:N492)</f>
        <v>0</v>
      </c>
      <c r="N493" s="2098"/>
      <c r="O493" s="2070"/>
      <c r="P493" s="2098">
        <f>SUM(P482:Q492)</f>
        <v>0</v>
      </c>
      <c r="Q493" s="2098"/>
      <c r="R493" s="2070"/>
      <c r="S493" s="2098">
        <f>SUM(S482:T492)</f>
        <v>48500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250000</v>
      </c>
      <c r="H495" s="2098"/>
      <c r="I495" s="2070"/>
      <c r="J495" s="2098">
        <f>'Part IV-Uses of Funds'!J66</f>
        <v>250000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30000</v>
      </c>
      <c r="H496" s="2098"/>
      <c r="I496" s="2070"/>
      <c r="J496" s="2098">
        <f>'Part IV-Uses of Funds'!J67</f>
        <v>30000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20450</v>
      </c>
      <c r="H498" s="2098"/>
      <c r="I498" s="2070"/>
      <c r="J498" s="2098">
        <f>'Part IV-Uses of Funds'!J69</f>
        <v>20450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8000</v>
      </c>
      <c r="H499" s="2098"/>
      <c r="I499" s="2070"/>
      <c r="J499" s="2098">
        <f>'Part IV-Uses of Funds'!J70</f>
        <v>8000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8000</v>
      </c>
      <c r="H500" s="2098"/>
      <c r="I500" s="2070"/>
      <c r="J500" s="2098">
        <f>'Part IV-Uses of Funds'!J71</f>
        <v>8000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45000</v>
      </c>
      <c r="H501" s="2098"/>
      <c r="I501" s="2070"/>
      <c r="J501" s="2098">
        <f>'Part IV-Uses of Funds'!J72</f>
        <v>45000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30000</v>
      </c>
      <c r="H502" s="2098"/>
      <c r="I502" s="2070"/>
      <c r="J502" s="2098">
        <f>'Part IV-Uses of Funds'!J73</f>
        <v>30000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30000</v>
      </c>
      <c r="H503" s="2098"/>
      <c r="I503" s="2070"/>
      <c r="J503" s="2098">
        <f>'Part IV-Uses of Funds'!J74</f>
        <v>30000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12000</v>
      </c>
      <c r="H504" s="2098"/>
      <c r="I504" s="2070"/>
      <c r="J504" s="2098">
        <f>'Part IV-Uses of Funds'!J75</f>
        <v>12000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453450</v>
      </c>
      <c r="H506" s="2098"/>
      <c r="I506" s="2070"/>
      <c r="J506" s="2098">
        <f>SUM(J495:K505)</f>
        <v>453450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0</v>
      </c>
      <c r="H508" s="2098"/>
      <c r="I508" s="2070"/>
      <c r="J508" s="2098">
        <f>'Part IV-Uses of Funds'!J79</f>
        <v>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69295</v>
      </c>
      <c r="H509" s="2098"/>
      <c r="I509" s="2070"/>
      <c r="J509" s="2098">
        <f>'Part IV-Uses of Funds'!J80</f>
        <v>69295</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5000</v>
      </c>
      <c r="H510" s="2098"/>
      <c r="I510" s="2075"/>
      <c r="J510" s="2098">
        <f>'Part IV-Uses of Funds'!J81</f>
        <v>5000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900</v>
      </c>
      <c r="H511" s="2098"/>
      <c r="I511" s="2075"/>
      <c r="J511" s="2098">
        <f>'Part IV-Uses of Funds'!J82</f>
        <v>900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75195</v>
      </c>
      <c r="H512" s="2098"/>
      <c r="I512" s="2070"/>
      <c r="J512" s="2098">
        <f>SUM(J508:K511)</f>
        <v>75195</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4435</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1500</v>
      </c>
      <c r="H527" s="2098"/>
      <c r="I527" s="2070"/>
      <c r="J527" s="2099"/>
      <c r="K527" s="2099"/>
      <c r="L527" s="2201"/>
      <c r="M527" s="2099"/>
      <c r="N527" s="2099"/>
      <c r="O527" s="2070"/>
      <c r="P527" s="2099"/>
      <c r="Q527" s="2099"/>
      <c r="R527" s="2070"/>
      <c r="S527" s="2098">
        <f>'Part IV-Uses of Funds'!S98</f>
        <v>1500</v>
      </c>
      <c r="T527" s="2098"/>
      <c r="U527" s="2070"/>
      <c r="V527" s="2128">
        <f>'Part IV-Uses of Funds'!V98</f>
        <v>0</v>
      </c>
      <c r="W527" s="2176"/>
      <c r="X527" s="2176"/>
    </row>
    <row r="528" spans="1:24">
      <c r="A528" s="2070"/>
      <c r="B528" s="2070" t="s">
        <v>538</v>
      </c>
      <c r="C528" s="2070"/>
      <c r="D528" s="2070"/>
      <c r="E528" s="2202">
        <f>'DCA Underwriting Assumptions'!$Q$83*J603</f>
        <v>72400</v>
      </c>
      <c r="F528" s="2202"/>
      <c r="G528" s="2098">
        <f>'Part IV-Uses of Funds'!G99</f>
        <v>72400</v>
      </c>
      <c r="H528" s="2098"/>
      <c r="I528" s="2070"/>
      <c r="J528" s="2099"/>
      <c r="K528" s="2099"/>
      <c r="L528" s="2099"/>
      <c r="M528" s="2099"/>
      <c r="N528" s="2099"/>
      <c r="O528" s="2070"/>
      <c r="P528" s="2099"/>
      <c r="Q528" s="2099"/>
      <c r="R528" s="2070"/>
      <c r="S528" s="2098">
        <f>'Part IV-Uses of Funds'!S99</f>
        <v>72400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36000</v>
      </c>
      <c r="F529" s="2202"/>
      <c r="G529" s="2098">
        <f>'Part IV-Uses of Funds'!G100</f>
        <v>72000</v>
      </c>
      <c r="H529" s="2098"/>
      <c r="I529" s="2070"/>
      <c r="J529" s="2075"/>
      <c r="K529" s="2075"/>
      <c r="L529" s="2075"/>
      <c r="M529" s="2075"/>
      <c r="N529" s="2075"/>
      <c r="O529" s="2075"/>
      <c r="P529" s="2075"/>
      <c r="Q529" s="2075"/>
      <c r="R529" s="2070"/>
      <c r="S529" s="2098">
        <f>'Part IV-Uses of Funds'!S100</f>
        <v>72000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155400</v>
      </c>
      <c r="H534" s="2098"/>
      <c r="I534" s="2070"/>
      <c r="J534" s="2099"/>
      <c r="K534" s="2099"/>
      <c r="L534" s="2099"/>
      <c r="M534" s="2099"/>
      <c r="N534" s="2099"/>
      <c r="O534" s="2070"/>
      <c r="P534" s="2099"/>
      <c r="Q534" s="2099"/>
      <c r="R534" s="2070"/>
      <c r="S534" s="2098">
        <f>SUM(S525:T533)</f>
        <v>155400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117500</v>
      </c>
      <c r="H536" s="2098"/>
      <c r="I536" s="2070"/>
      <c r="J536" s="2098"/>
      <c r="K536" s="2098"/>
      <c r="L536" s="2099"/>
      <c r="M536" s="2098"/>
      <c r="N536" s="2098"/>
      <c r="O536" s="2070"/>
      <c r="P536" s="2098"/>
      <c r="Q536" s="2098"/>
      <c r="R536" s="2070"/>
      <c r="S536" s="2098">
        <f>'Part IV-Uses of Funds'!S107</f>
        <v>117500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7500</v>
      </c>
      <c r="H537" s="2098"/>
      <c r="I537" s="2070"/>
      <c r="J537" s="2098"/>
      <c r="K537" s="2098"/>
      <c r="L537" s="2099"/>
      <c r="M537" s="2098"/>
      <c r="N537" s="2098"/>
      <c r="O537" s="2070"/>
      <c r="P537" s="2098"/>
      <c r="Q537" s="2098"/>
      <c r="R537" s="2070"/>
      <c r="S537" s="2098">
        <f>'Part IV-Uses of Funds'!S108</f>
        <v>7500</v>
      </c>
      <c r="T537" s="2098"/>
      <c r="U537" s="2070"/>
      <c r="V537" s="2128">
        <f>'Part IV-Uses of Funds'!V108</f>
        <v>0</v>
      </c>
      <c r="W537" s="2176"/>
      <c r="X537" s="2176"/>
    </row>
    <row r="538" spans="1:24">
      <c r="A538" s="2070"/>
      <c r="B538" s="2070" t="s">
        <v>2471</v>
      </c>
      <c r="C538" s="2070"/>
      <c r="D538" s="2070"/>
      <c r="E538" s="2070"/>
      <c r="F538" s="2070"/>
      <c r="G538" s="2098">
        <f>'Part IV-Uses of Funds'!G109</f>
        <v>65000</v>
      </c>
      <c r="H538" s="2098"/>
      <c r="I538" s="2070"/>
      <c r="J538" s="2098"/>
      <c r="K538" s="2098"/>
      <c r="L538" s="2099"/>
      <c r="M538" s="2098"/>
      <c r="N538" s="2098"/>
      <c r="O538" s="2070"/>
      <c r="P538" s="2098"/>
      <c r="Q538" s="2098"/>
      <c r="R538" s="2070"/>
      <c r="S538" s="2098">
        <f>'Part IV-Uses of Funds'!S109</f>
        <v>65000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190000</v>
      </c>
      <c r="H540" s="2098"/>
      <c r="I540" s="2070"/>
      <c r="J540" s="2098"/>
      <c r="K540" s="2098"/>
      <c r="L540" s="2099"/>
      <c r="M540" s="2098"/>
      <c r="N540" s="2098"/>
      <c r="O540" s="2070"/>
      <c r="P540" s="2098"/>
      <c r="Q540" s="2098"/>
      <c r="R540" s="2070"/>
      <c r="S540" s="2098">
        <f>SUM(S536:T539)</f>
        <v>190000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335000</v>
      </c>
      <c r="H542" s="2098"/>
      <c r="I542" s="2070"/>
      <c r="J542" s="2098">
        <f>'Part IV-Uses of Funds'!J113</f>
        <v>335000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4042</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1340000</v>
      </c>
      <c r="H545" s="2098"/>
      <c r="I545" s="2070"/>
      <c r="J545" s="2098">
        <f>'Part IV-Uses of Funds'!J116</f>
        <v>1340000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1675000</v>
      </c>
      <c r="H546" s="2098"/>
      <c r="I546" s="2070"/>
      <c r="J546" s="2098">
        <f>SUM(J542:K545)</f>
        <v>1675000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50000</v>
      </c>
      <c r="H548" s="2098"/>
      <c r="I548" s="2070"/>
      <c r="J548" s="2201"/>
      <c r="K548" s="2201"/>
      <c r="L548" s="2201"/>
      <c r="M548" s="2201"/>
      <c r="N548" s="2201"/>
      <c r="O548" s="2070"/>
      <c r="P548" s="2201"/>
      <c r="Q548" s="2201"/>
      <c r="R548" s="2070"/>
      <c r="S548" s="2098">
        <f>'Part IV-Uses of Funds'!S119</f>
        <v>50000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102702.25</v>
      </c>
      <c r="G549" s="2098">
        <f>'Part IV-Uses of Funds'!G120</f>
        <v>102702</v>
      </c>
      <c r="H549" s="2098"/>
      <c r="I549" s="2070"/>
      <c r="J549" s="2098"/>
      <c r="K549" s="2098"/>
      <c r="L549" s="2099"/>
      <c r="M549" s="2098"/>
      <c r="N549" s="2098"/>
      <c r="O549" s="2070"/>
      <c r="P549" s="2098"/>
      <c r="Q549" s="2098"/>
      <c r="R549" s="2070"/>
      <c r="S549" s="2098">
        <f>'Part IV-Uses of Funds'!S120</f>
        <v>102702</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205404.5</v>
      </c>
      <c r="G550" s="2098">
        <f>'Part IV-Uses of Funds'!G121</f>
        <v>205405</v>
      </c>
      <c r="H550" s="2098"/>
      <c r="I550" s="2070"/>
      <c r="J550" s="2201"/>
      <c r="K550" s="2201"/>
      <c r="L550" s="2201"/>
      <c r="M550" s="2201"/>
      <c r="N550" s="2201"/>
      <c r="O550" s="2070"/>
      <c r="P550" s="2201"/>
      <c r="Q550" s="2201"/>
      <c r="R550" s="2070"/>
      <c r="S550" s="2098">
        <f>'Part IV-Uses of Funds'!S121</f>
        <v>205405</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2000</v>
      </c>
      <c r="G552" s="2098">
        <f>'Part IV-Uses of Funds'!G123</f>
        <v>180000</v>
      </c>
      <c r="H552" s="2098"/>
      <c r="I552" s="2070"/>
      <c r="J552" s="2098">
        <f>'Part IV-Uses of Funds'!J123</f>
        <v>180000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538107</v>
      </c>
      <c r="H554" s="2098"/>
      <c r="I554" s="2070"/>
      <c r="J554" s="2098">
        <f>SUM(J552:K553)</f>
        <v>180000</v>
      </c>
      <c r="K554" s="2098"/>
      <c r="L554" s="2099"/>
      <c r="M554" s="2098">
        <f>SUM(M552:N553)</f>
        <v>0</v>
      </c>
      <c r="N554" s="2098"/>
      <c r="O554" s="2070"/>
      <c r="P554" s="2098">
        <f>SUM(P552:Q553)</f>
        <v>0</v>
      </c>
      <c r="Q554" s="2098"/>
      <c r="R554" s="2070"/>
      <c r="S554" s="2098">
        <f>SUM(S548:T553)</f>
        <v>358107</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4436</v>
      </c>
      <c r="C560" s="2070"/>
      <c r="D560" s="2070"/>
      <c r="E560" s="2070"/>
      <c r="F560" s="2070"/>
      <c r="G560" s="2208">
        <f>G446+G452+G456+G462+G467+G470+G476+G493+G506+G512+G520+G534+G540+G546+G554+G558</f>
        <v>13380152</v>
      </c>
      <c r="H560" s="2208"/>
      <c r="I560" s="2070"/>
      <c r="J560" s="2208">
        <f>J446+J452+J456+J462+J467+J470+J476+J493+J506+J512+J520+J534+J540+J546+J554+J558</f>
        <v>12353145</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1027007</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4437</v>
      </c>
      <c r="C562" s="2193"/>
      <c r="D562" s="2210">
        <f>IF('Part VI-Revenues &amp; Expenses'!$O$62=0,0,G560/'Part VI-Revenues &amp; Expenses'!$O$62)</f>
        <v>148668.35555555555</v>
      </c>
      <c r="E562" s="2210"/>
      <c r="F562" s="2200" t="s">
        <v>2879</v>
      </c>
      <c r="G562" s="2210">
        <f>IF('Part I-Project Information'!$P$60=0,0,G560/'Part I-Project Information'!$P$60)</f>
        <v>174.03943808532779</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12353145</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12353145</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DDA/QCT</v>
      </c>
      <c r="I580" s="2070"/>
      <c r="J580" s="2215">
        <f>'Part IV-Uses of Funds'!J151</f>
        <v>1.3</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16059088.5</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0.73180076628352486</v>
      </c>
      <c r="K582" s="2216"/>
      <c r="L582" s="2070"/>
      <c r="M582" s="2216">
        <f>MIN('Part VI-Revenues &amp; Expenses'!$O$58/'Part VI-Revenues &amp; Expenses'!$O$60,'Part VI-Revenues &amp; Expenses'!$O$115/'Part VI-Revenues &amp; Expenses'!$O$117)</f>
        <v>0.73180076628352486</v>
      </c>
      <c r="N582" s="2216"/>
      <c r="O582" s="2070"/>
      <c r="P582" s="2216">
        <f>MIN('Part VI-Revenues &amp; Expenses'!$O$58/'Part VI-Revenues &amp; Expenses'!$O$60,'Part VI-Revenues &amp; Expenses'!$O$115/'Part VI-Revenues &amp; Expenses'!$O$117)</f>
        <v>0.73180076628352486</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11752053.270114942</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1057684.7943103446</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1057684.7943103446</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4438</v>
      </c>
      <c r="C590" s="2070"/>
      <c r="D590" s="2070"/>
      <c r="E590" s="2070"/>
      <c r="F590" s="2070"/>
      <c r="G590" s="2219" t="str">
        <f>IF(J591&gt;J590,"TDC exceeds QAP PUCL!","")</f>
        <v/>
      </c>
      <c r="H590" s="2219"/>
      <c r="I590" s="2219"/>
      <c r="J590" s="2160">
        <f>'Part VIII-Threshold Criteria'!$P$65</f>
        <v>13458618</v>
      </c>
      <c r="K590" s="2160"/>
      <c r="L590" s="2160"/>
      <c r="M590" s="2220" t="s">
        <v>2861</v>
      </c>
      <c r="N590" s="2220"/>
      <c r="O590" s="2220"/>
      <c r="P590" s="2220"/>
      <c r="Q590" s="2220"/>
      <c r="R590" s="2220"/>
      <c r="S590" s="2220" t="s">
        <v>4109</v>
      </c>
      <c r="T590" s="2220"/>
      <c r="U590" s="2070"/>
      <c r="V590" s="2128">
        <f>'Part IV-Uses of Funds'!V161</f>
        <v>0</v>
      </c>
      <c r="W590" s="2176">
        <f>'Part IV-Uses of Funds'!W161</f>
        <v>0</v>
      </c>
      <c r="X590" s="2176"/>
    </row>
    <row r="591" spans="1:24">
      <c r="A591" s="2070"/>
      <c r="B591" s="2070" t="s">
        <v>4439</v>
      </c>
      <c r="C591" s="2070"/>
      <c r="D591" s="2070"/>
      <c r="E591" s="2070"/>
      <c r="F591" s="2070"/>
      <c r="G591" s="2070"/>
      <c r="H591" s="2070"/>
      <c r="I591" s="2070"/>
      <c r="J591" s="2105">
        <f>'Part IV-Uses of Funds'!J162</f>
        <v>13380152</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700000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12680152</v>
      </c>
      <c r="K593" s="2105"/>
      <c r="L593" s="2105"/>
      <c r="M593" s="2083" t="s">
        <v>2862</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1268015.2</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4440</v>
      </c>
      <c r="C596" s="2070"/>
      <c r="D596" s="2070"/>
      <c r="E596" s="2070"/>
      <c r="F596" s="2070"/>
      <c r="G596" s="2070"/>
      <c r="H596" s="2070"/>
      <c r="I596" s="2070"/>
      <c r="J596" s="2224">
        <f>N596+Q596</f>
        <v>1.4</v>
      </c>
      <c r="K596" s="2224"/>
      <c r="L596" s="2224"/>
      <c r="M596" s="2073" t="s">
        <v>1338</v>
      </c>
      <c r="N596" s="2225">
        <f>'Part IV-Uses of Funds'!N167</f>
        <v>0.95</v>
      </c>
      <c r="O596" s="2225"/>
      <c r="P596" s="2073" t="s">
        <v>636</v>
      </c>
      <c r="Q596" s="2225">
        <f>'Part IV-Uses of Funds'!Q167</f>
        <v>0.45</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905725.14285714284</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4441</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905725.14285714284</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4442</v>
      </c>
      <c r="C601" s="2070"/>
      <c r="D601" s="2070"/>
      <c r="E601" s="2070"/>
      <c r="F601" s="2070"/>
      <c r="G601" s="2070"/>
      <c r="H601" s="2070"/>
      <c r="I601" s="2070"/>
      <c r="J601" s="2162">
        <f>'Part IV-Uses of Funds'!J172</f>
        <v>905000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4443</v>
      </c>
      <c r="C603" s="2070"/>
      <c r="D603" s="2075"/>
      <c r="E603" s="2075"/>
      <c r="F603" s="2076"/>
      <c r="G603" s="2070"/>
      <c r="H603" s="2070"/>
      <c r="I603" s="2070"/>
      <c r="J603" s="2162">
        <f>IF(J601="",0,+MIN(J599,J601))</f>
        <v>905000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Construction cost has been estimated based on the most recent projects that we have developed of similar construction type.  
Paved Pedestrian Walkway: The paved pedestrian walkway will extend beyond the boundary of Phase 2 of the project. This cost is covered in the construction estimate shown above (site cost) and not included for basis.  Also, an easement will be provided as is required by the option to lease in tab 08.
Local Government Fees:
The local government fees are based on estimates obtained from using the fee schedules Gainesville has listed online:Impact Fees: http://www.gainesville.org/fullpanel/uploads/files/impact-fee-inquiry-all--3--updated-2-25-13.pdfInspection Fees (building permits) http://www.gainesville.org/fullpanel/uploads/files/2015-02-04-inspection-permitting-fees-effective-7-1-12-00001.pdf
Water and Sewer taps are already present and should be a minimal cost to the project.  
Building permits have been waived by the city.
The compliance monitoring fee is set at $800 per unit.  The spreadsheet seems to be calculating another amount, but we believe $800 per unit is consistent with the QAP.
Equity Cost:
Partnership and Organization Fees include the legal cost incurred by the GP entity and the non-profit.</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2016-032 - 240 Atlanta Street Development Phase 2  -  Gainesville  -  Hall,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4179</v>
      </c>
      <c r="B612" s="2231"/>
      <c r="C612" s="2231"/>
      <c r="D612" s="2231"/>
      <c r="E612" s="2231"/>
      <c r="F612" s="2231"/>
      <c r="G612" s="2231"/>
      <c r="H612" s="2231"/>
    </row>
    <row r="613" spans="1:14" s="2230" customFormat="1" ht="6" customHeight="1"/>
    <row r="614" spans="1:14" s="2230" customFormat="1" ht="27" customHeight="1">
      <c r="A614" s="2232" t="s">
        <v>4444</v>
      </c>
      <c r="B614" s="2232"/>
      <c r="C614" s="2232"/>
      <c r="D614" s="2232"/>
      <c r="F614" s="2233" t="s">
        <v>4181</v>
      </c>
      <c r="G614" s="2234"/>
      <c r="H614" s="2233" t="s">
        <v>4182</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Construction Cost Review</v>
      </c>
      <c r="B618" s="2238"/>
      <c r="C618" s="2238"/>
      <c r="D618" s="2238"/>
      <c r="F618" s="2239" t="str">
        <f>'Part IVb-Other Items'!F9</f>
        <v>Because of an identity of interest between the contractor and a member of GP, we are required to do a Construction Cost Review.</v>
      </c>
      <c r="G618" s="2237"/>
      <c r="H618" s="2239" t="str">
        <f>'Part IVb-Other Items'!H9</f>
        <v>This is a cost of construction and as such attributable as basis.  Also, past cost certification audits have always included this cost as basis.</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4185</v>
      </c>
      <c r="B621" s="2242">
        <f>'Part IV-Uses of Funds'!$G$14</f>
        <v>4000</v>
      </c>
      <c r="C621" s="2241" t="s">
        <v>1856</v>
      </c>
      <c r="D621" s="2242">
        <f>'Part IV-Uses of Funds'!$J$14+'Part IV-Uses of Funds'!$M$14+'Part IV-Uses of Funds'!$P$14</f>
        <v>4000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4185</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4185</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4184</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4185</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4185</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4185</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4185</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4185</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4445</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4185</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4446</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4183</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4447</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4183</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2016-032 240 Atlanta Street Development Phase 2,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North</v>
      </c>
    </row>
    <row r="699" spans="1:13">
      <c r="A699" s="2250" t="s">
        <v>640</v>
      </c>
      <c r="B699" s="2250" t="s">
        <v>2306</v>
      </c>
      <c r="F699" s="877" t="s">
        <v>2606</v>
      </c>
      <c r="I699" s="2251" t="str">
        <f>'Part V-Utility Allowances'!I5</f>
        <v>Department of Commuity Affairs (Northern Region)</v>
      </c>
      <c r="J699" s="2251"/>
      <c r="K699" s="2251"/>
      <c r="L699" s="2251"/>
      <c r="M699" s="2251"/>
    </row>
    <row r="700" spans="1:13">
      <c r="A700" s="2250"/>
      <c r="F700" s="877" t="s">
        <v>660</v>
      </c>
      <c r="I700" s="2252">
        <f>'Part V-Utility Allowances'!I6</f>
        <v>42186</v>
      </c>
      <c r="J700" s="2252"/>
      <c r="K700" s="2253" t="s">
        <v>559</v>
      </c>
      <c r="L700" s="2251" t="str">
        <f>'Part V-Utility Allowances'!L6</f>
        <v>3+ Story</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9</v>
      </c>
      <c r="J704" s="2253">
        <f>'Part V-Utility Allowances'!J10</f>
        <v>11</v>
      </c>
      <c r="K704" s="2253">
        <f>'Part V-Utility Allowances'!K10</f>
        <v>14</v>
      </c>
      <c r="L704" s="2253">
        <f>'Part V-Utility Allowances'!L10</f>
        <v>20</v>
      </c>
      <c r="M704" s="2253">
        <f>'Part V-Utility Allowances'!M10</f>
        <v>24</v>
      </c>
    </row>
    <row r="705" spans="1:13">
      <c r="B705" s="877" t="s">
        <v>484</v>
      </c>
      <c r="D705" s="877" t="s">
        <v>1653</v>
      </c>
      <c r="F705" s="2256" t="str">
        <f>'Part V-Utility Allowances'!F11</f>
        <v>X</v>
      </c>
      <c r="G705" s="2256">
        <f>'Part V-Utility Allowances'!G11</f>
        <v>0</v>
      </c>
      <c r="I705" s="2253">
        <f>'Part V-Utility Allowances'!I11</f>
        <v>18</v>
      </c>
      <c r="J705" s="2253">
        <f>'Part V-Utility Allowances'!J11</f>
        <v>25</v>
      </c>
      <c r="K705" s="2253">
        <f>'Part V-Utility Allowances'!K11</f>
        <v>32</v>
      </c>
      <c r="L705" s="2253">
        <f>'Part V-Utility Allowances'!L11</f>
        <v>39</v>
      </c>
      <c r="M705" s="2253">
        <f>'Part V-Utility Allowances'!M11</f>
        <v>50</v>
      </c>
    </row>
    <row r="706" spans="1:13">
      <c r="B706" s="877" t="s">
        <v>1654</v>
      </c>
      <c r="D706" s="2251" t="str">
        <f>'Part V-Utility Allowances'!D12</f>
        <v>Electric</v>
      </c>
      <c r="E706" s="2251"/>
      <c r="F706" s="2256" t="str">
        <f>'Part V-Utility Allowances'!F12</f>
        <v>X</v>
      </c>
      <c r="G706" s="2256">
        <f>'Part V-Utility Allowances'!G12</f>
        <v>0</v>
      </c>
      <c r="I706" s="2253">
        <f>'Part V-Utility Allowances'!I12</f>
        <v>7</v>
      </c>
      <c r="J706" s="2253">
        <f>'Part V-Utility Allowances'!J12</f>
        <v>9</v>
      </c>
      <c r="K706" s="2253">
        <f>'Part V-Utility Allowances'!K12</f>
        <v>12</v>
      </c>
      <c r="L706" s="2253">
        <f>'Part V-Utility Allowances'!L12</f>
        <v>14</v>
      </c>
      <c r="M706" s="2253">
        <f>'Part V-Utility Allowances'!M12</f>
        <v>18</v>
      </c>
    </row>
    <row r="707" spans="1:13">
      <c r="B707" s="877" t="s">
        <v>1655</v>
      </c>
      <c r="D707" s="2251" t="str">
        <f>'Part V-Utility Allowances'!D13</f>
        <v>Electric</v>
      </c>
      <c r="E707" s="2251"/>
      <c r="F707" s="2256" t="str">
        <f>'Part V-Utility Allowances'!F13</f>
        <v>X</v>
      </c>
      <c r="G707" s="2256">
        <f>'Part V-Utility Allowances'!G13</f>
        <v>0</v>
      </c>
      <c r="I707" s="2253">
        <f>'Part V-Utility Allowances'!I13</f>
        <v>20</v>
      </c>
      <c r="J707" s="2253">
        <f>'Part V-Utility Allowances'!J13</f>
        <v>28</v>
      </c>
      <c r="K707" s="2253">
        <f>'Part V-Utility Allowances'!K13</f>
        <v>36</v>
      </c>
      <c r="L707" s="2253">
        <f>'Part V-Utility Allowances'!L13</f>
        <v>44</v>
      </c>
      <c r="M707" s="2253">
        <f>'Part V-Utility Allowances'!M13</f>
        <v>56</v>
      </c>
    </row>
    <row r="708" spans="1:13">
      <c r="B708" s="877" t="s">
        <v>1656</v>
      </c>
      <c r="D708" s="877" t="s">
        <v>1653</v>
      </c>
      <c r="F708" s="2256" t="str">
        <f>'Part V-Utility Allowances'!F14</f>
        <v>X</v>
      </c>
      <c r="G708" s="2256">
        <f>'Part V-Utility Allowances'!G14</f>
        <v>0</v>
      </c>
      <c r="I708" s="2253">
        <f>'Part V-Utility Allowances'!I14</f>
        <v>19</v>
      </c>
      <c r="J708" s="2253">
        <f>'Part V-Utility Allowances'!J14</f>
        <v>26</v>
      </c>
      <c r="K708" s="2253">
        <f>'Part V-Utility Allowances'!K14</f>
        <v>34</v>
      </c>
      <c r="L708" s="2253">
        <f>'Part V-Utility Allowances'!L14</f>
        <v>41</v>
      </c>
      <c r="M708" s="2253">
        <f>'Part V-Utility Allowances'!M14</f>
        <v>52</v>
      </c>
    </row>
    <row r="709" spans="1:13">
      <c r="B709" s="877" t="s">
        <v>1420</v>
      </c>
      <c r="D709" s="877" t="s">
        <v>4159</v>
      </c>
      <c r="E709" s="2253" t="str">
        <f>'Part V-Utility Allowances'!E15</f>
        <v>Yes</v>
      </c>
      <c r="F709" s="2256" t="str">
        <f>'Part V-Utility Allowances'!F15</f>
        <v>X</v>
      </c>
      <c r="G709" s="2256">
        <f>'Part V-Utility Allowances'!G15</f>
        <v>0</v>
      </c>
      <c r="I709" s="2253">
        <f>'Part V-Utility Allowances'!I15</f>
        <v>28</v>
      </c>
      <c r="J709" s="2253">
        <f>'Part V-Utility Allowances'!J15</f>
        <v>37</v>
      </c>
      <c r="K709" s="2253">
        <f>'Part V-Utility Allowances'!K15</f>
        <v>44</v>
      </c>
      <c r="L709" s="2253">
        <f>'Part V-Utility Allowances'!L15</f>
        <v>59</v>
      </c>
      <c r="M709" s="2253">
        <f>'Part V-Utility Allowances'!M15</f>
        <v>73</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101</v>
      </c>
      <c r="J711" s="2255">
        <f>IF(SUM(J704:J710)=0,0,IF(OR($D704="&lt;&lt;Select Fuel &gt;&gt;",$D706="&lt;&lt;Select Fuel &gt;&gt;",$D707="&lt;&lt;Select Fuel &gt;&gt;"),"Select Fuel",IF($E709="&lt;Select&gt;","Submeter?",SUM(J704:J710))))</f>
        <v>136</v>
      </c>
      <c r="K711" s="2255">
        <f>IF(SUM(K704:K710)=0,0,IF(OR($D704="&lt;&lt;Select Fuel &gt;&gt;",$D706="&lt;&lt;Select Fuel &gt;&gt;",$D707="&lt;&lt;Select Fuel &gt;&gt;"),"Select Fuel",IF($E709="&lt;Select&gt;","Submeter?",SUM(K704:K710))))</f>
        <v>172</v>
      </c>
      <c r="L711" s="2255">
        <f>IF(SUM(L704:L710)=0,0,IF(OR($D704="&lt;&lt;Select Fuel &gt;&gt;",$D706="&lt;&lt;Select Fuel &gt;&gt;",$D707="&lt;&lt;Select Fuel &gt;&gt;"),"Select Fuel",IF($E709="&lt;Select&gt;","Submeter?",SUM(L704:L710))))</f>
        <v>217</v>
      </c>
      <c r="M711" s="2255">
        <f>IF(SUM(M704:M710)=0,0,IF(OR($D704="&lt;&lt;Select Fuel &gt;&gt;",$D706="&lt;&lt;Select Fuel &gt;&gt;",$D707="&lt;&lt;Select Fuel &gt;&gt;"),"Select Fuel",IF($E709="&lt;Select&gt;","Submeter?",SUM(M704:M710))))</f>
        <v>273</v>
      </c>
    </row>
    <row r="712" spans="1:13">
      <c r="B712" s="504" t="s">
        <v>4160</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4159</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4160</v>
      </c>
      <c r="F727" s="2253"/>
      <c r="G727" s="2253"/>
      <c r="I727" s="2255"/>
      <c r="J727" s="2255"/>
      <c r="K727" s="2255"/>
      <c r="L727" s="2255"/>
      <c r="M727" s="2255"/>
    </row>
    <row r="729" spans="1:13">
      <c r="B729" s="2257" t="s">
        <v>1873</v>
      </c>
    </row>
    <row r="731" spans="1:13">
      <c r="A731" s="2250"/>
      <c r="B731" s="2250" t="s">
        <v>593</v>
      </c>
    </row>
    <row r="732" spans="1:13" ht="96">
      <c r="B732" s="2181" t="str">
        <f>'Part V-Utility Allowances'!B38</f>
        <v>Utilities are based on DCA's northern region utility allowances for 2015.  See tab 01.</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2016-032 240 Atlanta Street Development Phase 2,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2016-032 240 Atlanta Street Development Phase 2,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3854</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79" customFormat="1" ht="3" customHeight="1">
      <c r="B747" s="2078"/>
      <c r="D747" s="2078"/>
      <c r="P747" s="2264" t="s">
        <v>4448</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f>'Part VI-Revenues &amp; Expenses'!G5</f>
        <v>0</v>
      </c>
      <c r="J748" s="2269" t="s">
        <v>3848</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79" customFormat="1" ht="13.15" customHeight="1">
      <c r="A749" s="2268"/>
      <c r="B749" s="2270" t="s">
        <v>1872</v>
      </c>
      <c r="E749" s="2078"/>
      <c r="F749" s="2253" t="str">
        <f>'Part VI-Revenues &amp; Expenses'!F6</f>
        <v>No</v>
      </c>
      <c r="G749" s="2269" t="s">
        <v>4097</v>
      </c>
      <c r="H749" s="2271" t="s">
        <v>4100</v>
      </c>
      <c r="J749" s="2269" t="s">
        <v>4102</v>
      </c>
      <c r="M749" s="2272" t="str">
        <f>'Part I-Project Information'!$O$30</f>
        <v>Gainesville</v>
      </c>
      <c r="N749" s="2272"/>
      <c r="O749" s="2273">
        <f>VLOOKUP('Part I-Project Information'!$O$30,'DCA Underwriting Assumptions'!$C$141:$D$251,2)</f>
        <v>60700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4098</v>
      </c>
      <c r="H750" s="2271"/>
      <c r="J750" s="2269" t="s">
        <v>4103</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4098</v>
      </c>
      <c r="I751" s="2269" t="s">
        <v>830</v>
      </c>
      <c r="J751" s="2269" t="s">
        <v>4449</v>
      </c>
      <c r="K751" s="2277" t="s">
        <v>147</v>
      </c>
      <c r="L751" s="2277"/>
      <c r="M751" s="2269" t="s">
        <v>2450</v>
      </c>
      <c r="N751" s="2269" t="s">
        <v>551</v>
      </c>
      <c r="O751" s="2269" t="s">
        <v>397</v>
      </c>
      <c r="P751" s="2264"/>
      <c r="Q751" s="2277" t="s">
        <v>3859</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3553</v>
      </c>
      <c r="FH751" s="2263" t="s">
        <v>3553</v>
      </c>
      <c r="FI751" s="2263" t="s">
        <v>3553</v>
      </c>
      <c r="FJ751" s="2263" t="s">
        <v>3553</v>
      </c>
      <c r="FK751" s="2263" t="s">
        <v>3553</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1517</v>
      </c>
      <c r="HU751" s="2263" t="s">
        <v>1517</v>
      </c>
      <c r="HV751" s="2263" t="s">
        <v>1517</v>
      </c>
      <c r="HW751" s="2263" t="s">
        <v>1517</v>
      </c>
      <c r="HX751" s="2263" t="s">
        <v>1517</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4099</v>
      </c>
      <c r="H752" s="2269" t="s">
        <v>1535</v>
      </c>
      <c r="I752" s="2269" t="s">
        <v>831</v>
      </c>
      <c r="J752" s="2278" t="s">
        <v>363</v>
      </c>
      <c r="K752" s="2269" t="s">
        <v>1587</v>
      </c>
      <c r="L752" s="2269" t="s">
        <v>558</v>
      </c>
      <c r="M752" s="2269" t="s">
        <v>1533</v>
      </c>
      <c r="N752" s="2269" t="s">
        <v>3497</v>
      </c>
      <c r="O752" s="2269" t="s">
        <v>398</v>
      </c>
      <c r="P752" s="2264"/>
      <c r="Q752" s="2269" t="s">
        <v>3860</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13</v>
      </c>
      <c r="F753" s="2282">
        <f>'Part VI-Revenues &amp; Expenses'!F10</f>
        <v>700</v>
      </c>
      <c r="G753" s="2282">
        <f>'Part VI-Revenues &amp; Expenses'!G10</f>
        <v>557</v>
      </c>
      <c r="H753" s="2282">
        <f>'Part VI-Revenues &amp; Expenses'!H10</f>
        <v>0</v>
      </c>
      <c r="I753" s="2282">
        <f>'Part VI-Revenues &amp; Expenses'!I10</f>
        <v>136</v>
      </c>
      <c r="J753" s="2283" t="str">
        <f>'Part VI-Revenues &amp; Expenses'!J10</f>
        <v>PHA Oper Sub</v>
      </c>
      <c r="K753" s="2284">
        <f t="shared" ref="K753:K790" si="2">MAX(0,H753-I753)</f>
        <v>0</v>
      </c>
      <c r="L753" s="2284">
        <f t="shared" ref="L753:L790" si="3">MAX(0,E753*K753)</f>
        <v>0</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0</v>
      </c>
      <c r="R753" s="2287">
        <f>'Part VI-Revenues &amp; Expenses'!R10</f>
        <v>0</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13</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f t="shared" ref="BL753:BL790" si="45">IF(OR(AND($C753=1,$J753="PHA Oper Sub",$B753="50% AMI",NOT($M753="Common Space")),AND($C753=1,$J753="PHA Oper Sub",$B753="HOME 50% AMI",NOT($M753="Common Space"))),$E753,"")</f>
        <v>13</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9100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f t="shared" ref="CU753:CU790" si="80">IF(AND(C753=1,NOT(J753=""),NOT($J753=0),NOT(M753="Common Space")),E753*F753,"")</f>
        <v>9100</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13</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13</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f t="shared" ref="HU753:HU790" si="210">IF(AND($C753=1, $N753="3+ Story",NOT($P753="Yes")),$E753,"")</f>
        <v>13</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13</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1</v>
      </c>
      <c r="D754" s="2281">
        <f>'Part VI-Revenues &amp; Expenses'!D11</f>
        <v>1</v>
      </c>
      <c r="E754" s="2282">
        <f>'Part VI-Revenues &amp; Expenses'!E11</f>
        <v>9</v>
      </c>
      <c r="F754" s="2282">
        <f>'Part VI-Revenues &amp; Expenses'!F11</f>
        <v>700</v>
      </c>
      <c r="G754" s="2282">
        <f>'Part VI-Revenues &amp; Expenses'!G11</f>
        <v>557</v>
      </c>
      <c r="H754" s="2282">
        <f>'Part VI-Revenues &amp; Expenses'!H11</f>
        <v>555</v>
      </c>
      <c r="I754" s="2282">
        <f>'Part VI-Revenues &amp; Expenses'!I11</f>
        <v>136</v>
      </c>
      <c r="J754" s="2283">
        <f>'Part VI-Revenues &amp; Expenses'!J11</f>
        <v>0</v>
      </c>
      <c r="K754" s="2284">
        <f t="shared" si="2"/>
        <v>419</v>
      </c>
      <c r="L754" s="2284">
        <f t="shared" si="3"/>
        <v>3771</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22200</v>
      </c>
      <c r="R754" s="2287">
        <f>'Part VI-Revenues &amp; Expenses'!R11</f>
        <v>0.48764415156507412</v>
      </c>
      <c r="S754" s="2286">
        <f>'Part VI-Revenues &amp; Expenses'!S11</f>
        <v>0</v>
      </c>
      <c r="T754" s="2287">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f t="shared" si="10"/>
        <v>9</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f t="shared" si="65"/>
        <v>6300</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9</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f t="shared" si="135"/>
        <v>9</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f t="shared" si="210"/>
        <v>9</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9</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32</v>
      </c>
      <c r="F755" s="2282">
        <f>'Part VI-Revenues &amp; Expenses'!F12</f>
        <v>700</v>
      </c>
      <c r="G755" s="2282">
        <f>'Part VI-Revenues &amp; Expenses'!G12</f>
        <v>669</v>
      </c>
      <c r="H755" s="2282">
        <f>'Part VI-Revenues &amp; Expenses'!H12</f>
        <v>665</v>
      </c>
      <c r="I755" s="2282">
        <f>'Part VI-Revenues &amp; Expenses'!I12</f>
        <v>136</v>
      </c>
      <c r="J755" s="2283">
        <f>'Part VI-Revenues &amp; Expenses'!J12</f>
        <v>0</v>
      </c>
      <c r="K755" s="2284">
        <f t="shared" si="2"/>
        <v>529</v>
      </c>
      <c r="L755" s="2284">
        <f t="shared" si="3"/>
        <v>16928</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26600</v>
      </c>
      <c r="R755" s="2287">
        <f>'Part VI-Revenues &amp; Expenses'!R12</f>
        <v>0.58429434376716094</v>
      </c>
      <c r="S755" s="2286">
        <f>'Part VI-Revenues &amp; Expenses'!S12</f>
        <v>0</v>
      </c>
      <c r="T755" s="2287">
        <f>'Part VI-Revenues &amp; Expenses'!T12</f>
        <v>0</v>
      </c>
      <c r="U755" s="2176"/>
      <c r="V755" s="2176"/>
      <c r="W755" s="877" t="str">
        <f t="shared" si="4"/>
        <v/>
      </c>
      <c r="X755" s="877">
        <f t="shared" si="5"/>
        <v>32</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22400</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32</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32</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f t="shared" si="210"/>
        <v>32</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32</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50% AMI</v>
      </c>
      <c r="C756" s="2280">
        <f>'Part VI-Revenues &amp; Expenses'!C13</f>
        <v>2</v>
      </c>
      <c r="D756" s="2281">
        <f>'Part VI-Revenues &amp; Expenses'!D13</f>
        <v>2</v>
      </c>
      <c r="E756" s="2282">
        <f>'Part VI-Revenues &amp; Expenses'!E13</f>
        <v>3</v>
      </c>
      <c r="F756" s="2282">
        <f>'Part VI-Revenues &amp; Expenses'!F13</f>
        <v>980</v>
      </c>
      <c r="G756" s="2282">
        <f>'Part VI-Revenues &amp; Expenses'!G13</f>
        <v>668</v>
      </c>
      <c r="H756" s="2282">
        <f>'Part VI-Revenues &amp; Expenses'!H13</f>
        <v>662</v>
      </c>
      <c r="I756" s="2282">
        <f>'Part VI-Revenues &amp; Expenses'!I13</f>
        <v>172</v>
      </c>
      <c r="J756" s="2283">
        <f>'Part VI-Revenues &amp; Expenses'!J13</f>
        <v>0</v>
      </c>
      <c r="K756" s="2284">
        <f t="shared" si="2"/>
        <v>490</v>
      </c>
      <c r="L756" s="2284">
        <f t="shared" si="3"/>
        <v>1470</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26480</v>
      </c>
      <c r="R756" s="2287">
        <f>'Part VI-Revenues &amp; Expenses'!R13</f>
        <v>0.48471535786198061</v>
      </c>
      <c r="S756" s="2286">
        <f>'Part VI-Revenues &amp; Expenses'!S13</f>
        <v>0</v>
      </c>
      <c r="T756" s="2287">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3</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2940</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3</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3</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f t="shared" si="211"/>
        <v>3</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3</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2</v>
      </c>
      <c r="D757" s="2281">
        <f>'Part VI-Revenues &amp; Expenses'!D14</f>
        <v>2</v>
      </c>
      <c r="E757" s="2282">
        <f>'Part VI-Revenues &amp; Expenses'!E14</f>
        <v>13</v>
      </c>
      <c r="F757" s="2282">
        <f>'Part VI-Revenues &amp; Expenses'!F14</f>
        <v>980</v>
      </c>
      <c r="G757" s="2282">
        <f>'Part VI-Revenues &amp; Expenses'!G14</f>
        <v>802</v>
      </c>
      <c r="H757" s="2282">
        <f>'Part VI-Revenues &amp; Expenses'!H14</f>
        <v>800</v>
      </c>
      <c r="I757" s="2282">
        <f>'Part VI-Revenues &amp; Expenses'!I14</f>
        <v>172</v>
      </c>
      <c r="J757" s="2283">
        <f>'Part VI-Revenues &amp; Expenses'!J14</f>
        <v>0</v>
      </c>
      <c r="K757" s="2284">
        <f t="shared" si="2"/>
        <v>628</v>
      </c>
      <c r="L757" s="2284">
        <f t="shared" si="3"/>
        <v>8164</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32000</v>
      </c>
      <c r="R757" s="2287">
        <f>'Part VI-Revenues &amp; Expenses'!R14</f>
        <v>0.5857587406187077</v>
      </c>
      <c r="S757" s="2286">
        <f>'Part VI-Revenues &amp; Expenses'!S14</f>
        <v>0</v>
      </c>
      <c r="T757" s="2287">
        <f>'Part VI-Revenues &amp; Expenses'!T14</f>
        <v>0</v>
      </c>
      <c r="U757" s="2176"/>
      <c r="V757" s="2176"/>
      <c r="W757" s="877" t="str">
        <f t="shared" si="4"/>
        <v/>
      </c>
      <c r="X757" s="877" t="str">
        <f t="shared" si="5"/>
        <v/>
      </c>
      <c r="Y757" s="877">
        <f t="shared" si="6"/>
        <v>13</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12740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13</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13</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f t="shared" si="211"/>
        <v>13</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13</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Unrestricted</v>
      </c>
      <c r="C758" s="2280">
        <f>'Part VI-Revenues &amp; Expenses'!C15</f>
        <v>2</v>
      </c>
      <c r="D758" s="2281">
        <f>'Part VI-Revenues &amp; Expenses'!D15</f>
        <v>2</v>
      </c>
      <c r="E758" s="2282">
        <f>'Part VI-Revenues &amp; Expenses'!E15</f>
        <v>20</v>
      </c>
      <c r="F758" s="2282">
        <f>'Part VI-Revenues &amp; Expenses'!F15</f>
        <v>980</v>
      </c>
      <c r="G758" s="2282">
        <f>'Part VI-Revenues &amp; Expenses'!G15</f>
        <v>802</v>
      </c>
      <c r="H758" s="2282">
        <f>'Part VI-Revenues &amp; Expenses'!H15</f>
        <v>750</v>
      </c>
      <c r="I758" s="2282">
        <f>'Part VI-Revenues &amp; Expenses'!I15</f>
        <v>0</v>
      </c>
      <c r="J758" s="2283">
        <f>'Part VI-Revenues &amp; Expenses'!J15</f>
        <v>0</v>
      </c>
      <c r="K758" s="2284">
        <f t="shared" si="2"/>
        <v>750</v>
      </c>
      <c r="L758" s="2284">
        <f t="shared" si="3"/>
        <v>15000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30000</v>
      </c>
      <c r="R758" s="2287">
        <f>'Part VI-Revenues &amp; Expenses'!R15</f>
        <v>0.54914881933003845</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20</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19600</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20</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f t="shared" si="136"/>
        <v>20</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f t="shared" si="211"/>
        <v>20</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20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90</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73080</v>
      </c>
      <c r="G791" s="520"/>
      <c r="H791" s="520"/>
      <c r="I791" s="520"/>
      <c r="J791" s="520"/>
      <c r="K791" s="2292" t="s">
        <v>1351</v>
      </c>
      <c r="L791" s="2290">
        <f>SUM(L753:L790)</f>
        <v>45333</v>
      </c>
      <c r="M791" s="2079"/>
      <c r="N791" s="2079"/>
      <c r="O791" s="2079"/>
      <c r="P791" s="2079"/>
      <c r="Q791" s="2079"/>
      <c r="R791" s="2079"/>
      <c r="S791" s="2079"/>
      <c r="T791" s="2079"/>
      <c r="U791" s="2269"/>
      <c r="V791" s="2293"/>
      <c r="W791" s="2293">
        <f t="shared" ref="W791:CH791" si="259">SUM(W753:W790)</f>
        <v>0</v>
      </c>
      <c r="X791" s="2293">
        <f t="shared" si="259"/>
        <v>32</v>
      </c>
      <c r="Y791" s="2293">
        <f t="shared" si="259"/>
        <v>13</v>
      </c>
      <c r="Z791" s="2293">
        <f t="shared" si="259"/>
        <v>0</v>
      </c>
      <c r="AA791" s="2293">
        <f t="shared" si="259"/>
        <v>0</v>
      </c>
      <c r="AB791" s="2293">
        <f t="shared" si="259"/>
        <v>0</v>
      </c>
      <c r="AC791" s="2293">
        <f t="shared" si="259"/>
        <v>22</v>
      </c>
      <c r="AD791" s="2293">
        <f t="shared" si="259"/>
        <v>3</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20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13</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22400</v>
      </c>
      <c r="CB791" s="2293">
        <f t="shared" si="259"/>
        <v>12740</v>
      </c>
      <c r="CC791" s="2293">
        <f t="shared" si="259"/>
        <v>0</v>
      </c>
      <c r="CD791" s="2293">
        <f t="shared" si="259"/>
        <v>0</v>
      </c>
      <c r="CE791" s="2293">
        <f t="shared" si="259"/>
        <v>0</v>
      </c>
      <c r="CF791" s="2293">
        <f t="shared" si="259"/>
        <v>15400</v>
      </c>
      <c r="CG791" s="2293">
        <f t="shared" si="259"/>
        <v>2940</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19600</v>
      </c>
      <c r="CR791" s="2293">
        <f t="shared" si="260"/>
        <v>0</v>
      </c>
      <c r="CS791" s="2293">
        <f t="shared" si="260"/>
        <v>0</v>
      </c>
      <c r="CT791" s="2293">
        <f t="shared" si="260"/>
        <v>0</v>
      </c>
      <c r="CU791" s="2293">
        <f t="shared" si="260"/>
        <v>9100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54</v>
      </c>
      <c r="DF791" s="2293">
        <f t="shared" si="260"/>
        <v>16</v>
      </c>
      <c r="DG791" s="2293">
        <f t="shared" si="260"/>
        <v>0</v>
      </c>
      <c r="DH791" s="2293">
        <f t="shared" si="260"/>
        <v>0</v>
      </c>
      <c r="DI791" s="2293">
        <f t="shared" si="260"/>
        <v>0</v>
      </c>
      <c r="DJ791" s="2293">
        <f t="shared" si="260"/>
        <v>0</v>
      </c>
      <c r="DK791" s="2293">
        <f t="shared" si="260"/>
        <v>20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54</v>
      </c>
      <c r="EY791" s="2293">
        <f t="shared" si="261"/>
        <v>36</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54</v>
      </c>
      <c r="HV791" s="2293">
        <f t="shared" si="262"/>
        <v>36</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54</v>
      </c>
      <c r="JJ791" s="2293">
        <f t="shared" si="262"/>
        <v>36</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543996</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4450</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32</v>
      </c>
      <c r="L799" s="2302">
        <f>Y791</f>
        <v>13</v>
      </c>
      <c r="M799" s="2302">
        <f>Z791</f>
        <v>0</v>
      </c>
      <c r="N799" s="2302">
        <f>AA791</f>
        <v>0</v>
      </c>
      <c r="O799" s="2302">
        <f t="shared" ref="O799:O805" si="263">SUM(J799:N799)</f>
        <v>45</v>
      </c>
      <c r="P799" s="2220" t="s">
        <v>4104</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22</v>
      </c>
      <c r="L800" s="2302">
        <f>AD791</f>
        <v>3</v>
      </c>
      <c r="M800" s="2302">
        <f>AE791</f>
        <v>0</v>
      </c>
      <c r="N800" s="2302">
        <f>AF791</f>
        <v>0</v>
      </c>
      <c r="O800" s="2302">
        <f t="shared" si="263"/>
        <v>25</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54</v>
      </c>
      <c r="L801" s="2302">
        <f>SUM(L799:L800)</f>
        <v>16</v>
      </c>
      <c r="M801" s="2302">
        <f>SUM(M799:M800)</f>
        <v>0</v>
      </c>
      <c r="N801" s="2302">
        <f>SUM(N799:N800)</f>
        <v>0</v>
      </c>
      <c r="O801" s="2302">
        <f t="shared" si="263"/>
        <v>70</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20</v>
      </c>
      <c r="M802" s="2302">
        <f>AO791</f>
        <v>0</v>
      </c>
      <c r="N802" s="2302">
        <f>AP791</f>
        <v>0</v>
      </c>
      <c r="O802" s="2302">
        <f t="shared" si="263"/>
        <v>20</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54</v>
      </c>
      <c r="L803" s="2302">
        <f>SUM(L801:L802)</f>
        <v>36</v>
      </c>
      <c r="M803" s="2302">
        <f>SUM(M801:M802)</f>
        <v>0</v>
      </c>
      <c r="N803" s="2302">
        <f>SUM(N801:N802)</f>
        <v>0</v>
      </c>
      <c r="O803" s="2302">
        <f t="shared" si="263"/>
        <v>90</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4105</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54</v>
      </c>
      <c r="L805" s="2302">
        <f>SUM(L803:L804)</f>
        <v>36</v>
      </c>
      <c r="M805" s="2302">
        <f>SUM(M803:M804)</f>
        <v>0</v>
      </c>
      <c r="N805" s="2302">
        <f>SUM(N803:N804)</f>
        <v>0</v>
      </c>
      <c r="O805" s="2302">
        <f t="shared" si="263"/>
        <v>90</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13</v>
      </c>
      <c r="L812" s="2302">
        <f>BM791</f>
        <v>0</v>
      </c>
      <c r="M812" s="2302">
        <f>BN791</f>
        <v>0</v>
      </c>
      <c r="N812" s="2302">
        <f>BO791</f>
        <v>0</v>
      </c>
      <c r="O812" s="2302">
        <f>SUM(J812:N812)</f>
        <v>13</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13</v>
      </c>
      <c r="L813" s="2302">
        <f>SUM(L811:L812)</f>
        <v>0</v>
      </c>
      <c r="M813" s="2302">
        <f>SUM(M811:M812)</f>
        <v>0</v>
      </c>
      <c r="N813" s="2302">
        <f>SUM(N811:N812)</f>
        <v>0</v>
      </c>
      <c r="O813" s="2302">
        <f>SUM(J813:N813)</f>
        <v>13</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54</v>
      </c>
      <c r="L815" s="2302">
        <f>DF791</f>
        <v>16</v>
      </c>
      <c r="M815" s="2302">
        <f>DG791</f>
        <v>0</v>
      </c>
      <c r="N815" s="2302">
        <f>DH791</f>
        <v>0</v>
      </c>
      <c r="O815" s="2302">
        <f t="shared" ref="O815:O825" si="264">SUM(J815:N815)</f>
        <v>70</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20</v>
      </c>
      <c r="M816" s="2302">
        <f>DL791</f>
        <v>0</v>
      </c>
      <c r="N816" s="2302">
        <f>DM791</f>
        <v>0</v>
      </c>
      <c r="O816" s="2302">
        <f t="shared" si="264"/>
        <v>20</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54</v>
      </c>
      <c r="L817" s="2302">
        <f>SUM(L815:L816)+DP791</f>
        <v>36</v>
      </c>
      <c r="M817" s="2302">
        <f>SUM(M815:M816)+DQ791</f>
        <v>0</v>
      </c>
      <c r="N817" s="2302">
        <f>SUM(N815:N816)+DR791</f>
        <v>0</v>
      </c>
      <c r="O817" s="2302">
        <f t="shared" si="264"/>
        <v>90</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4161</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4451</v>
      </c>
      <c r="D829" s="2176"/>
      <c r="E829" s="2261" t="s">
        <v>41</v>
      </c>
      <c r="F829" s="2079"/>
      <c r="G829" s="2074"/>
      <c r="J829" s="2302">
        <f t="shared" ref="J829:O829" si="265">SUM(J830:J837)</f>
        <v>0</v>
      </c>
      <c r="K829" s="2302">
        <f t="shared" si="265"/>
        <v>54</v>
      </c>
      <c r="L829" s="2302">
        <f t="shared" si="265"/>
        <v>36</v>
      </c>
      <c r="M829" s="2302">
        <f t="shared" si="265"/>
        <v>0</v>
      </c>
      <c r="N829" s="2302">
        <f t="shared" si="265"/>
        <v>0</v>
      </c>
      <c r="O829" s="2302">
        <f t="shared" si="265"/>
        <v>90</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3543</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3543</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3543</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54</v>
      </c>
      <c r="L836" s="2302">
        <f>HV791</f>
        <v>36</v>
      </c>
      <c r="M836" s="2302">
        <f>HW791</f>
        <v>0</v>
      </c>
      <c r="N836" s="2302">
        <f>HX791</f>
        <v>0</v>
      </c>
      <c r="O836" s="2302">
        <f t="shared" si="266"/>
        <v>90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3543</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3543</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3543</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3543</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3543</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4452</v>
      </c>
      <c r="D847" s="2176"/>
      <c r="E847" s="2261" t="s">
        <v>3538</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3543</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3539</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3543</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3540</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3543</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3541</v>
      </c>
      <c r="F853" s="2074"/>
      <c r="H853" s="2308"/>
      <c r="J853" s="2302">
        <f>J832+J836</f>
        <v>0</v>
      </c>
      <c r="K853" s="2302">
        <f t="shared" ref="K853:N854" si="271">K832+K836</f>
        <v>54</v>
      </c>
      <c r="L853" s="2302">
        <f t="shared" si="271"/>
        <v>36</v>
      </c>
      <c r="M853" s="2302">
        <f t="shared" si="271"/>
        <v>0</v>
      </c>
      <c r="N853" s="2302">
        <f t="shared" si="271"/>
        <v>0</v>
      </c>
      <c r="O853" s="2302">
        <f t="shared" si="268"/>
        <v>90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3543</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22400</v>
      </c>
      <c r="L856" s="2314">
        <f>CB791</f>
        <v>12740</v>
      </c>
      <c r="M856" s="2314">
        <f>CC791</f>
        <v>0</v>
      </c>
      <c r="N856" s="2314">
        <f>CD791</f>
        <v>0</v>
      </c>
      <c r="O856" s="2314">
        <f t="shared" ref="O856:O862" si="272">SUM(J856:N856)</f>
        <v>35140</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15400</v>
      </c>
      <c r="L857" s="2314">
        <f>CG791</f>
        <v>2940</v>
      </c>
      <c r="M857" s="2314">
        <f>CH791</f>
        <v>0</v>
      </c>
      <c r="N857" s="2314">
        <f>CI791</f>
        <v>0</v>
      </c>
      <c r="O857" s="2314">
        <f t="shared" si="272"/>
        <v>18340</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37800</v>
      </c>
      <c r="L858" s="2314">
        <f>SUM(L856:L857)</f>
        <v>15680</v>
      </c>
      <c r="M858" s="2314">
        <f>SUM(M856:M857)</f>
        <v>0</v>
      </c>
      <c r="N858" s="2314">
        <f>SUM(N856:N857)</f>
        <v>0</v>
      </c>
      <c r="O858" s="2314">
        <f t="shared" si="272"/>
        <v>53480</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19600</v>
      </c>
      <c r="M859" s="2314">
        <f>CR791</f>
        <v>0</v>
      </c>
      <c r="N859" s="2314">
        <f>CS791</f>
        <v>0</v>
      </c>
      <c r="O859" s="2314">
        <f t="shared" si="272"/>
        <v>19600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37800</v>
      </c>
      <c r="L860" s="2314">
        <f>SUM(L858:L859)</f>
        <v>35280</v>
      </c>
      <c r="M860" s="2314">
        <f>SUM(M858:M859)</f>
        <v>0</v>
      </c>
      <c r="N860" s="2314">
        <f>SUM(N858:N859)</f>
        <v>0</v>
      </c>
      <c r="O860" s="2314">
        <f t="shared" si="272"/>
        <v>73080</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37800</v>
      </c>
      <c r="L862" s="2314">
        <f>SUM(L860:L861)</f>
        <v>35280</v>
      </c>
      <c r="M862" s="2314">
        <f>SUM(M860:M861)</f>
        <v>0</v>
      </c>
      <c r="N862" s="2314">
        <f>SUM(N860:N861)</f>
        <v>0</v>
      </c>
      <c r="O862" s="2314">
        <f t="shared" si="272"/>
        <v>73080</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4453</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10879.92</v>
      </c>
      <c r="I865" s="2316"/>
      <c r="J865" s="2259"/>
      <c r="K865" s="2317" t="s">
        <v>4454</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46800</v>
      </c>
      <c r="H869" s="2325">
        <f>'Part VI-Revenues &amp; Expenses'!H126</f>
        <v>48204</v>
      </c>
      <c r="I869" s="2325">
        <f>'Part VI-Revenues &amp; Expenses'!I126</f>
        <v>49650</v>
      </c>
      <c r="J869" s="2325">
        <f>'Part VI-Revenues &amp; Expenses'!J126</f>
        <v>51140</v>
      </c>
      <c r="K869" s="2325">
        <f>'Part VI-Revenues &amp; Expenses'!K126</f>
        <v>52674</v>
      </c>
      <c r="L869" s="2325">
        <f>'Part VI-Revenues &amp; Expenses'!L126</f>
        <v>54254</v>
      </c>
      <c r="M869" s="2325">
        <f>'Part VI-Revenues &amp; Expenses'!M126</f>
        <v>55882</v>
      </c>
      <c r="N869" s="2325">
        <f>'Part VI-Revenues &amp; Expenses'!N126</f>
        <v>57558</v>
      </c>
      <c r="O869" s="2325">
        <f>'Part VI-Revenues &amp; Expenses'!O126</f>
        <v>59285</v>
      </c>
      <c r="P869" s="2325">
        <f>'Part VI-Revenues &amp; Expenses'!P126</f>
        <v>61063</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46800</v>
      </c>
      <c r="H871" s="2327">
        <f t="shared" si="273"/>
        <v>48204</v>
      </c>
      <c r="I871" s="2327">
        <f t="shared" si="273"/>
        <v>49650</v>
      </c>
      <c r="J871" s="2327">
        <f t="shared" si="273"/>
        <v>51140</v>
      </c>
      <c r="K871" s="2327">
        <f t="shared" si="273"/>
        <v>52674</v>
      </c>
      <c r="L871" s="2327">
        <f t="shared" si="273"/>
        <v>54254</v>
      </c>
      <c r="M871" s="2327">
        <f t="shared" si="273"/>
        <v>55882</v>
      </c>
      <c r="N871" s="2327">
        <f t="shared" si="273"/>
        <v>57558</v>
      </c>
      <c r="O871" s="2327">
        <f t="shared" si="273"/>
        <v>59285</v>
      </c>
      <c r="P871" s="2327">
        <f t="shared" si="273"/>
        <v>61063</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4455</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4456</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62895</v>
      </c>
      <c r="H878" s="2325">
        <f>'Part VI-Revenues &amp; Expenses'!H135</f>
        <v>64782</v>
      </c>
      <c r="I878" s="2325">
        <f>'Part VI-Revenues &amp; Expenses'!I135</f>
        <v>66726</v>
      </c>
      <c r="J878" s="2325">
        <f>'Part VI-Revenues &amp; Expenses'!J135</f>
        <v>68727</v>
      </c>
      <c r="K878" s="2325">
        <f>'Part VI-Revenues &amp; Expenses'!K135</f>
        <v>70789</v>
      </c>
      <c r="L878" s="2325">
        <f>'Part VI-Revenues &amp; Expenses'!L135</f>
        <v>72913</v>
      </c>
      <c r="M878" s="2325">
        <f>'Part VI-Revenues &amp; Expenses'!M135</f>
        <v>75100</v>
      </c>
      <c r="N878" s="2325">
        <f>'Part VI-Revenues &amp; Expenses'!N135</f>
        <v>77353</v>
      </c>
      <c r="O878" s="2325">
        <f>'Part VI-Revenues &amp; Expenses'!O135</f>
        <v>79674</v>
      </c>
      <c r="P878" s="2325">
        <f>'Part VI-Revenues &amp; Expenses'!P135</f>
        <v>82064</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62895</v>
      </c>
      <c r="H880" s="2327">
        <f t="shared" si="275"/>
        <v>64782</v>
      </c>
      <c r="I880" s="2327">
        <f t="shared" si="275"/>
        <v>66726</v>
      </c>
      <c r="J880" s="2327">
        <f t="shared" si="275"/>
        <v>68727</v>
      </c>
      <c r="K880" s="2327">
        <f t="shared" si="275"/>
        <v>70789</v>
      </c>
      <c r="L880" s="2327">
        <f t="shared" si="275"/>
        <v>72913</v>
      </c>
      <c r="M880" s="2327">
        <f t="shared" si="275"/>
        <v>75100</v>
      </c>
      <c r="N880" s="2327">
        <f t="shared" si="275"/>
        <v>77353</v>
      </c>
      <c r="O880" s="2327">
        <f t="shared" si="275"/>
        <v>79674</v>
      </c>
      <c r="P880" s="2327">
        <f t="shared" si="275"/>
        <v>82064</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4455</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4456</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84526</v>
      </c>
      <c r="H887" s="2325">
        <f>'Part VI-Revenues &amp; Expenses'!H144</f>
        <v>87062</v>
      </c>
      <c r="I887" s="2325">
        <f>'Part VI-Revenues &amp; Expenses'!I144</f>
        <v>89674</v>
      </c>
      <c r="J887" s="2325">
        <f>'Part VI-Revenues &amp; Expenses'!J144</f>
        <v>92364</v>
      </c>
      <c r="K887" s="2325">
        <f>'Part VI-Revenues &amp; Expenses'!K144</f>
        <v>95135</v>
      </c>
      <c r="L887" s="2325">
        <f>'Part VI-Revenues &amp; Expenses'!L144</f>
        <v>97989</v>
      </c>
      <c r="M887" s="2325">
        <f>'Part VI-Revenues &amp; Expenses'!M144</f>
        <v>100928</v>
      </c>
      <c r="N887" s="2325">
        <f>'Part VI-Revenues &amp; Expenses'!N144</f>
        <v>103956</v>
      </c>
      <c r="O887" s="2325">
        <f>'Part VI-Revenues &amp; Expenses'!O144</f>
        <v>107075</v>
      </c>
      <c r="P887" s="2325">
        <f>'Part VI-Revenues &amp; Expenses'!P144</f>
        <v>110287</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84526</v>
      </c>
      <c r="H889" s="2327">
        <f t="shared" si="277"/>
        <v>87062</v>
      </c>
      <c r="I889" s="2327">
        <f t="shared" si="277"/>
        <v>89674</v>
      </c>
      <c r="J889" s="2327">
        <f t="shared" si="277"/>
        <v>92364</v>
      </c>
      <c r="K889" s="2327">
        <f t="shared" si="277"/>
        <v>95135</v>
      </c>
      <c r="L889" s="2327">
        <f t="shared" si="277"/>
        <v>97989</v>
      </c>
      <c r="M889" s="2327">
        <f t="shared" si="277"/>
        <v>100928</v>
      </c>
      <c r="N889" s="2327">
        <f t="shared" si="277"/>
        <v>103956</v>
      </c>
      <c r="O889" s="2327">
        <f t="shared" si="277"/>
        <v>107075</v>
      </c>
      <c r="P889" s="2327">
        <f t="shared" si="277"/>
        <v>110287</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4455</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4456</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113596</v>
      </c>
      <c r="H896" s="2325">
        <f>'Part VI-Revenues &amp; Expenses'!H153</f>
        <v>117004</v>
      </c>
      <c r="I896" s="2325">
        <f>'Part VI-Revenues &amp; Expenses'!I153</f>
        <v>120514</v>
      </c>
      <c r="J896" s="2325">
        <f>'Part VI-Revenues &amp; Expenses'!J153</f>
        <v>124129</v>
      </c>
      <c r="K896" s="2325">
        <f>'Part VI-Revenues &amp; Expenses'!K153</f>
        <v>127853</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113596</v>
      </c>
      <c r="H898" s="2327">
        <f>SUM(H896:H897)</f>
        <v>117004</v>
      </c>
      <c r="I898" s="2327">
        <f>SUM(I896:I897)</f>
        <v>120514</v>
      </c>
      <c r="J898" s="2327">
        <f>SUM(J896:J897)</f>
        <v>124129</v>
      </c>
      <c r="K898" s="2327">
        <f>SUM(K896:K897)</f>
        <v>127853</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4455</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4456</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85000</v>
      </c>
      <c r="G907" s="2314"/>
      <c r="I907" s="2079" t="s">
        <v>1428</v>
      </c>
      <c r="K907" s="2314">
        <f>'Part VI-Revenues &amp; Expenses'!K164</f>
        <v>0</v>
      </c>
      <c r="L907" s="2314"/>
      <c r="N907" s="2079" t="s">
        <v>962</v>
      </c>
      <c r="P907" s="2326">
        <f>'Part VI-Revenues &amp; Expenses'!P164</f>
        <v>37859</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45000</v>
      </c>
      <c r="G908" s="2314"/>
      <c r="I908" s="2079" t="s">
        <v>1429</v>
      </c>
      <c r="K908" s="2314">
        <f>'Part VI-Revenues &amp; Expenses'!K165</f>
        <v>0</v>
      </c>
      <c r="L908" s="2314"/>
      <c r="N908" s="2079" t="s">
        <v>152</v>
      </c>
      <c r="P908" s="2326">
        <f>'Part VI-Revenues &amp; Expenses'!P165</f>
        <v>19058</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25000</v>
      </c>
      <c r="G909" s="2314"/>
      <c r="J909" s="2331" t="s">
        <v>197</v>
      </c>
      <c r="K909" s="2314">
        <f>SUM(K907:L908)</f>
        <v>0</v>
      </c>
      <c r="L909" s="2314"/>
      <c r="N909" s="2332" t="str">
        <f>'Part VI-Revenues &amp; Expenses'!N166</f>
        <v>Other (describe here)</v>
      </c>
      <c r="O909" s="2332"/>
      <c r="P909" s="2326">
        <f>'Part VI-Revenues &amp; Expenses'!P166</f>
        <v>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56917</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155000</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28142</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8500</v>
      </c>
      <c r="G914" s="2314"/>
      <c r="I914" s="2079" t="s">
        <v>1660</v>
      </c>
      <c r="K914" s="2314">
        <f>'Part VI-Revenues &amp; Expenses'!K171</f>
        <v>9000</v>
      </c>
      <c r="L914" s="2314"/>
      <c r="N914" s="2335">
        <f>+P913/(O805*0.93)</f>
        <v>336.22461170848266</v>
      </c>
      <c r="O914" s="2336"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4500</v>
      </c>
      <c r="G915" s="2314"/>
      <c r="I915" s="2079" t="s">
        <v>2127</v>
      </c>
      <c r="K915" s="2314">
        <f>'Part VI-Revenues &amp; Expenses'!K172</f>
        <v>12000</v>
      </c>
      <c r="L915" s="2314"/>
      <c r="N915" s="2335">
        <f>+P913/(O805*0.93)/12</f>
        <v>28.018717642373556</v>
      </c>
      <c r="O915" s="2336"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3000</v>
      </c>
      <c r="G916" s="2314"/>
      <c r="I916" s="2079" t="s">
        <v>1661</v>
      </c>
      <c r="K916" s="2314">
        <f>'Part VI-Revenues &amp; Expenses'!K173</f>
        <v>12000</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2000</v>
      </c>
      <c r="G917" s="2314"/>
      <c r="I917" s="2332" t="str">
        <f>'Part VI-Revenues &amp; Expenses'!I174</f>
        <v>Other (describe here)</v>
      </c>
      <c r="J917" s="2332"/>
      <c r="K917" s="2314">
        <f>'Part VI-Revenues &amp; Expenses'!K174</f>
        <v>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5500</v>
      </c>
      <c r="G918" s="2314"/>
      <c r="I918" s="2078"/>
      <c r="J918" s="2331" t="s">
        <v>197</v>
      </c>
      <c r="K918" s="2326">
        <f>SUM(K914:K917)</f>
        <v>33000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4">
        <f>'Part VI-Revenues &amp; Expenses'!F176</f>
        <v>0</v>
      </c>
      <c r="G919" s="2314"/>
      <c r="J919" s="2302"/>
      <c r="N919" s="2078" t="s">
        <v>2265</v>
      </c>
      <c r="P919" s="2326">
        <f>F911+F920+F931+K909+K918+K928+P910+P913</f>
        <v>410809</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23500</v>
      </c>
      <c r="G920" s="2314"/>
      <c r="J920" s="2302"/>
      <c r="N920" s="2335">
        <f>+P919/O805</f>
        <v>4564.5444444444447</v>
      </c>
      <c r="O920" s="2336"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3749</v>
      </c>
      <c r="O922" s="2078"/>
      <c r="P922" s="2334">
        <f>P923*O805</f>
        <v>22500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16000</v>
      </c>
      <c r="G923" s="2314"/>
      <c r="I923" s="2079" t="s">
        <v>1418</v>
      </c>
      <c r="J923" s="2205">
        <f>K923/12/O805</f>
        <v>21.75925925925926</v>
      </c>
      <c r="K923" s="2314">
        <f>'Part VI-Revenues &amp; Expenses'!K180</f>
        <v>23500</v>
      </c>
      <c r="L923" s="2314"/>
      <c r="N923" s="2261" t="s">
        <v>3750</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16000</v>
      </c>
      <c r="G924" s="2314"/>
      <c r="I924" s="2079" t="s">
        <v>1419</v>
      </c>
      <c r="J924" s="2205">
        <f>K924/12/O805</f>
        <v>8.7962962962962958</v>
      </c>
      <c r="K924" s="2314">
        <f>'Part VI-Revenues &amp; Expenses'!K181</f>
        <v>9500</v>
      </c>
      <c r="L924" s="2314"/>
      <c r="N924" s="2340">
        <f>ROUND(P931/O805,0)</f>
        <v>250</v>
      </c>
      <c r="O924" s="2336" t="s">
        <v>2873</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16000</v>
      </c>
      <c r="G925" s="2314"/>
      <c r="I925" s="2079" t="s">
        <v>2434</v>
      </c>
      <c r="J925" s="2205">
        <f>K925/12/O805</f>
        <v>4.8611111111111107</v>
      </c>
      <c r="K925" s="2314">
        <f>'Part VI-Revenues &amp; Expenses'!K182</f>
        <v>5250</v>
      </c>
      <c r="L925" s="2314"/>
      <c r="N925" s="2341" t="s">
        <v>2820</v>
      </c>
      <c r="O925" s="2342" t="s">
        <v>3677</v>
      </c>
      <c r="P925" s="2342" t="s">
        <v>3678</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4000</v>
      </c>
      <c r="G926" s="2314"/>
      <c r="I926" s="2079" t="s">
        <v>1421</v>
      </c>
      <c r="K926" s="2314">
        <f>'Part VI-Revenues &amp; Expenses'!K183</f>
        <v>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9000</v>
      </c>
      <c r="G927" s="2314"/>
      <c r="I927" s="2332" t="str">
        <f>'Part VI-Revenues &amp; Expenses'!I184</f>
        <v>Other (describe here)</v>
      </c>
      <c r="J927" s="2332"/>
      <c r="K927" s="2314">
        <f>'Part VI-Revenues &amp; Expenses'!K184</f>
        <v>0</v>
      </c>
      <c r="L927" s="2314"/>
      <c r="N927" s="2074" t="s">
        <v>3669</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38250</v>
      </c>
      <c r="L928" s="2326"/>
      <c r="N928" s="2074" t="s">
        <v>3668</v>
      </c>
      <c r="O928" s="2344" t="str">
        <f>CONCATENATE(SUM(JH791:JL791)," units x $",'DCA Underwriting Assumptions'!$Q$63," =")</f>
        <v>90 units x $250 =</v>
      </c>
      <c r="P928" s="2344">
        <f>SUM(JH791:JL791)*'DCA Underwriting Assumptions'!$Q$63</f>
        <v>22500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15000</v>
      </c>
      <c r="G929" s="2314"/>
      <c r="J929" s="2302"/>
      <c r="N929" s="2219" t="s">
        <v>3672</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3667</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76000</v>
      </c>
      <c r="G931" s="2314"/>
      <c r="J931" s="2302"/>
      <c r="N931" s="2345" t="s">
        <v>2823</v>
      </c>
      <c r="O931" s="2344">
        <f>SUM(JC791:JG791)+SUM(JH791:JL791)+SUM(JM791:JQ791)+O827</f>
        <v>90</v>
      </c>
      <c r="P931" s="2344">
        <f>SUM(P927:P930)</f>
        <v>22500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433309</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There is no real estate tax abatement. However, historically when doing projects in partnership with a housing authority, there has been a tax exemption per a private enterprise agreement for the low income units. In this case we expect there to be some tax levied per the market rate units in the project. The taxes shown here are estimated based on (20/90)*$170,364.64.  $170,364.64 is the most probable tax estimate anticipated by our property tax consultants for the first stabilized year of operations. This estimate is included in tab 01 for feasibility.  This is multiplied by the portion of market rate units in the property.  This conclusion is also supported by an email from our tax consultant and a tax memo from Arnall Golden Gregory (AGG).
Insurance is based on a quote from our insurance provider, a copy of which is located in tab 01.</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2016-032 240 Atlanta Street Development Phase 2, ,  County</v>
      </c>
      <c r="B942" s="2251"/>
      <c r="C942" s="2251"/>
      <c r="D942" s="2251"/>
      <c r="E942" s="2251"/>
      <c r="F942" s="2251"/>
      <c r="G942" s="2251"/>
      <c r="H942" s="2251"/>
      <c r="I942" s="2251"/>
      <c r="J942" s="2251"/>
      <c r="K942" s="2251"/>
      <c r="L942" s="2078"/>
      <c r="M942" s="2078" t="str">
        <f>A942</f>
        <v>DRAFT PART SEVEN - OPERATING PRO FORMA  -  2016-032 240 Atlanta Street Development Phase 2,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4457</v>
      </c>
      <c r="M944" s="2250" t="str">
        <f>A944</f>
        <v>I.  OPERATING ASSUMPTIONS</v>
      </c>
      <c r="N944" s="2254"/>
    </row>
    <row r="946" spans="1:14" ht="12.75" customHeight="1">
      <c r="A946" s="877" t="s">
        <v>2267</v>
      </c>
      <c r="B946" s="2347">
        <v>0.02</v>
      </c>
      <c r="D946" s="2176" t="s">
        <v>4458</v>
      </c>
      <c r="E946" s="2176"/>
      <c r="F946" s="2176"/>
      <c r="G946" s="2348">
        <f>'Part VII-Pro Forma'!G5</f>
        <v>12000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No</v>
      </c>
      <c r="H949" s="2352" t="s">
        <v>1500</v>
      </c>
      <c r="K949" s="2353">
        <f>'Part VII-Pro Forma'!K8</f>
        <v>0</v>
      </c>
      <c r="M949" s="2176"/>
      <c r="N949" s="2176"/>
    </row>
    <row r="950" spans="1:14">
      <c r="A950" s="877" t="s">
        <v>1472</v>
      </c>
      <c r="B950" s="2347">
        <v>0.02</v>
      </c>
      <c r="D950" s="2079" t="s">
        <v>1784</v>
      </c>
      <c r="G950" s="2351" t="str">
        <f>'Part VII-Pro Forma'!G9</f>
        <v>Yes</v>
      </c>
      <c r="H950" s="2352" t="s">
        <v>2439</v>
      </c>
      <c r="K950" s="2354">
        <f>'Part VII-Pro Forma'!K9</f>
        <v>0.05</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543996</v>
      </c>
      <c r="C955" s="2355">
        <f>'Part VII-Pro Forma'!C14</f>
        <v>554875.92000000004</v>
      </c>
      <c r="D955" s="2355">
        <f>'Part VII-Pro Forma'!D14</f>
        <v>565973.43839999998</v>
      </c>
      <c r="E955" s="2355">
        <f>'Part VII-Pro Forma'!E14</f>
        <v>577292.90716800001</v>
      </c>
      <c r="F955" s="2355">
        <f>'Part VII-Pro Forma'!F14</f>
        <v>588838.76531136001</v>
      </c>
      <c r="G955" s="2355">
        <f>'Part VII-Pro Forma'!G14</f>
        <v>600615.54061758716</v>
      </c>
      <c r="H955" s="2355">
        <f>'Part VII-Pro Forma'!H14</f>
        <v>612627.85142993904</v>
      </c>
      <c r="I955" s="2355">
        <f>'Part VII-Pro Forma'!I14</f>
        <v>624880.40845853765</v>
      </c>
      <c r="J955" s="2355">
        <f>'Part VII-Pro Forma'!J14</f>
        <v>637378.01662770845</v>
      </c>
      <c r="K955" s="2355">
        <f>'Part VII-Pro Forma'!K14</f>
        <v>650125.57696026261</v>
      </c>
      <c r="M955" s="2176">
        <f>'Part VII-Pro Forma'!M14</f>
        <v>0</v>
      </c>
      <c r="N955" s="2176"/>
    </row>
    <row r="956" spans="1:14">
      <c r="A956" s="877" t="s">
        <v>1053</v>
      </c>
      <c r="B956" s="2355">
        <f>'Part VII-Pro Forma'!B15</f>
        <v>10879.92</v>
      </c>
      <c r="C956" s="2355">
        <f>'Part VII-Pro Forma'!C15</f>
        <v>11097.518400000001</v>
      </c>
      <c r="D956" s="2355">
        <f>'Part VII-Pro Forma'!D15</f>
        <v>11319.468768000001</v>
      </c>
      <c r="E956" s="2355">
        <f>'Part VII-Pro Forma'!E15</f>
        <v>11545.858143359999</v>
      </c>
      <c r="F956" s="2355">
        <f>'Part VII-Pro Forma'!F15</f>
        <v>11776.7753062272</v>
      </c>
      <c r="G956" s="2355">
        <f>'Part VII-Pro Forma'!G15</f>
        <v>12012.310812351745</v>
      </c>
      <c r="H956" s="2355">
        <f>'Part VII-Pro Forma'!H15</f>
        <v>12252.55702859878</v>
      </c>
      <c r="I956" s="2355">
        <f>'Part VII-Pro Forma'!I15</f>
        <v>12497.608169170753</v>
      </c>
      <c r="J956" s="2355">
        <f>'Part VII-Pro Forma'!J15</f>
        <v>12747.560332554169</v>
      </c>
      <c r="K956" s="2355">
        <f>'Part VII-Pro Forma'!K15</f>
        <v>13002.511539205252</v>
      </c>
      <c r="M956" s="2176"/>
      <c r="N956" s="2176"/>
    </row>
    <row r="957" spans="1:14">
      <c r="A957" s="877" t="s">
        <v>2490</v>
      </c>
      <c r="B957" s="2355">
        <f>'Part VII-Pro Forma'!B16</f>
        <v>-38841.31440000001</v>
      </c>
      <c r="C957" s="2355">
        <f>'Part VII-Pro Forma'!C16</f>
        <v>-39618.140688000014</v>
      </c>
      <c r="D957" s="2355">
        <f>'Part VII-Pro Forma'!D16</f>
        <v>-40410.503501760002</v>
      </c>
      <c r="E957" s="2355">
        <f>'Part VII-Pro Forma'!E16</f>
        <v>-41218.713571795204</v>
      </c>
      <c r="F957" s="2355">
        <f>'Part VII-Pro Forma'!F16</f>
        <v>-42043.087843231107</v>
      </c>
      <c r="G957" s="2355">
        <f>'Part VII-Pro Forma'!G16</f>
        <v>-42883.94960009573</v>
      </c>
      <c r="H957" s="2355">
        <f>'Part VII-Pro Forma'!H16</f>
        <v>-43741.628592097652</v>
      </c>
      <c r="I957" s="2355">
        <f>'Part VII-Pro Forma'!I16</f>
        <v>-44616.461163939595</v>
      </c>
      <c r="J957" s="2355">
        <f>'Part VII-Pro Forma'!J16</f>
        <v>-45508.790387218389</v>
      </c>
      <c r="K957" s="2355">
        <f>'Part VII-Pro Forma'!K16</f>
        <v>-46418.966194962755</v>
      </c>
      <c r="M957" s="2176"/>
      <c r="N957" s="2176"/>
    </row>
    <row r="958" spans="1:14">
      <c r="A958" s="877" t="s">
        <v>54</v>
      </c>
      <c r="B958" s="2355">
        <f>'Part VII-Pro Forma'!B17</f>
        <v>46800</v>
      </c>
      <c r="C958" s="2355">
        <f>'Part VII-Pro Forma'!C17</f>
        <v>48204</v>
      </c>
      <c r="D958" s="2355">
        <f>'Part VII-Pro Forma'!D17</f>
        <v>49650</v>
      </c>
      <c r="E958" s="2355">
        <f>'Part VII-Pro Forma'!E17</f>
        <v>51140</v>
      </c>
      <c r="F958" s="2355">
        <f>'Part VII-Pro Forma'!F17</f>
        <v>52674</v>
      </c>
      <c r="G958" s="2355">
        <f>'Part VII-Pro Forma'!G17</f>
        <v>54254</v>
      </c>
      <c r="H958" s="2355">
        <f>'Part VII-Pro Forma'!H17</f>
        <v>55882</v>
      </c>
      <c r="I958" s="2355">
        <f>'Part VII-Pro Forma'!I17</f>
        <v>57558</v>
      </c>
      <c r="J958" s="2355">
        <f>'Part VII-Pro Forma'!J17</f>
        <v>59285</v>
      </c>
      <c r="K958" s="2355">
        <f>'Part VII-Pro Forma'!K17</f>
        <v>61063</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-382667</v>
      </c>
      <c r="C960" s="2355">
        <f>'Part VII-Pro Forma'!C19</f>
        <v>-394147.01</v>
      </c>
      <c r="D960" s="2355">
        <f>'Part VII-Pro Forma'!D19</f>
        <v>-405971.4203</v>
      </c>
      <c r="E960" s="2355">
        <f>'Part VII-Pro Forma'!E19</f>
        <v>-418150.56290900003</v>
      </c>
      <c r="F960" s="2355">
        <f>'Part VII-Pro Forma'!F19</f>
        <v>-430695.07979626994</v>
      </c>
      <c r="G960" s="2355">
        <f>'Part VII-Pro Forma'!G19</f>
        <v>-443615.93219015806</v>
      </c>
      <c r="H960" s="2355">
        <f>'Part VII-Pro Forma'!H19</f>
        <v>-456924.4101558628</v>
      </c>
      <c r="I960" s="2355">
        <f>'Part VII-Pro Forma'!I19</f>
        <v>-470632.14246053871</v>
      </c>
      <c r="J960" s="2355">
        <f>'Part VII-Pro Forma'!J19</f>
        <v>-484751.10673435481</v>
      </c>
      <c r="K960" s="2355">
        <f>'Part VII-Pro Forma'!K19</f>
        <v>-499293.6399363855</v>
      </c>
      <c r="M960" s="2176"/>
      <c r="N960" s="2176"/>
    </row>
    <row r="961" spans="1:14">
      <c r="A961" s="877" t="s">
        <v>1153</v>
      </c>
      <c r="B961" s="2355">
        <f>'Part VII-Pro Forma'!B20</f>
        <v>-28142</v>
      </c>
      <c r="C961" s="2355">
        <f>'Part VII-Pro Forma'!C20</f>
        <v>-28728</v>
      </c>
      <c r="D961" s="2355">
        <f>'Part VII-Pro Forma'!D20</f>
        <v>-29327</v>
      </c>
      <c r="E961" s="2355">
        <f>'Part VII-Pro Forma'!E20</f>
        <v>-29938</v>
      </c>
      <c r="F961" s="2355">
        <f>'Part VII-Pro Forma'!F20</f>
        <v>-30562</v>
      </c>
      <c r="G961" s="2355">
        <f>'Part VII-Pro Forma'!G20</f>
        <v>-31200</v>
      </c>
      <c r="H961" s="2355">
        <f>'Part VII-Pro Forma'!H20</f>
        <v>-31851</v>
      </c>
      <c r="I961" s="2355">
        <f>'Part VII-Pro Forma'!I20</f>
        <v>-32516</v>
      </c>
      <c r="J961" s="2355">
        <f>'Part VII-Pro Forma'!J20</f>
        <v>-33195</v>
      </c>
      <c r="K961" s="2355">
        <f>'Part VII-Pro Forma'!K20</f>
        <v>-33889</v>
      </c>
      <c r="M961" s="2176"/>
      <c r="N961" s="2176"/>
    </row>
    <row r="962" spans="1:14">
      <c r="A962" s="877" t="s">
        <v>1247</v>
      </c>
      <c r="B962" s="2355">
        <f>'Part VII-Pro Forma'!B21</f>
        <v>-22500</v>
      </c>
      <c r="C962" s="2355">
        <f>'Part VII-Pro Forma'!C21</f>
        <v>-23175</v>
      </c>
      <c r="D962" s="2355">
        <f>'Part VII-Pro Forma'!D21</f>
        <v>-23870.25</v>
      </c>
      <c r="E962" s="2355">
        <f>'Part VII-Pro Forma'!E21</f>
        <v>-24586.357500000002</v>
      </c>
      <c r="F962" s="2355">
        <f>'Part VII-Pro Forma'!F21</f>
        <v>-25323.948224999996</v>
      </c>
      <c r="G962" s="2355">
        <f>'Part VII-Pro Forma'!G21</f>
        <v>-26083.666671749997</v>
      </c>
      <c r="H962" s="2355">
        <f>'Part VII-Pro Forma'!H21</f>
        <v>-26866.176671902496</v>
      </c>
      <c r="I962" s="2355">
        <f>'Part VII-Pro Forma'!I21</f>
        <v>-27672.161972059574</v>
      </c>
      <c r="J962" s="2355">
        <f>'Part VII-Pro Forma'!J21</f>
        <v>-28502.326831221359</v>
      </c>
      <c r="K962" s="2355">
        <f>'Part VII-Pro Forma'!K21</f>
        <v>-29357.396636157999</v>
      </c>
      <c r="M962" s="2176"/>
      <c r="N962" s="2176"/>
    </row>
    <row r="963" spans="1:14">
      <c r="A963" s="877" t="s">
        <v>1248</v>
      </c>
      <c r="B963" s="2355">
        <f>'Part VII-Pro Forma'!B22</f>
        <v>129525.60560000001</v>
      </c>
      <c r="C963" s="2355">
        <f>'Part VII-Pro Forma'!C22</f>
        <v>128509.28771200008</v>
      </c>
      <c r="D963" s="2355">
        <f>'Part VII-Pro Forma'!D22</f>
        <v>127363.73336624005</v>
      </c>
      <c r="E963" s="2355">
        <f>'Part VII-Pro Forma'!E22</f>
        <v>126085.13133056484</v>
      </c>
      <c r="F963" s="2355">
        <f>'Part VII-Pro Forma'!F22</f>
        <v>124665.42475308606</v>
      </c>
      <c r="G963" s="2355">
        <f>'Part VII-Pro Forma'!G22</f>
        <v>123098.30296793513</v>
      </c>
      <c r="H963" s="2355">
        <f>'Part VII-Pro Forma'!H22</f>
        <v>121379.1930386748</v>
      </c>
      <c r="I963" s="2355">
        <f>'Part VII-Pro Forma'!I22</f>
        <v>119499.2510311706</v>
      </c>
      <c r="J963" s="2355">
        <f>'Part VII-Pro Forma'!J22</f>
        <v>117453.35300746809</v>
      </c>
      <c r="K963" s="2355">
        <f>'Part VII-Pro Forma'!K22</f>
        <v>115232.08573196159</v>
      </c>
      <c r="M963" s="2176"/>
      <c r="N963" s="2176"/>
    </row>
    <row r="964" spans="1:14">
      <c r="A964" s="877" t="s">
        <v>1648</v>
      </c>
      <c r="B964" s="2355">
        <f>'Part VII-Pro Forma'!B23</f>
        <v>0</v>
      </c>
      <c r="C964" s="2355">
        <f>'Part VII-Pro Forma'!C23</f>
        <v>0</v>
      </c>
      <c r="D964" s="2355">
        <f>'Part VII-Pro Forma'!D23</f>
        <v>0</v>
      </c>
      <c r="E964" s="2355">
        <f>'Part VII-Pro Forma'!E23</f>
        <v>0</v>
      </c>
      <c r="F964" s="2355">
        <f>'Part VII-Pro Forma'!F23</f>
        <v>0</v>
      </c>
      <c r="G964" s="2355">
        <f>'Part VII-Pro Forma'!G23</f>
        <v>0</v>
      </c>
      <c r="H964" s="2355">
        <f>'Part VII-Pro Forma'!H23</f>
        <v>0</v>
      </c>
      <c r="I964" s="2355">
        <f>'Part VII-Pro Forma'!I23</f>
        <v>0</v>
      </c>
      <c r="J964" s="2355">
        <f>'Part VII-Pro Forma'!J23</f>
        <v>0</v>
      </c>
      <c r="K964" s="2355">
        <f>'Part VII-Pro Forma'!K23</f>
        <v>0</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-12000</v>
      </c>
      <c r="C969" s="2355">
        <f>'Part VII-Pro Forma'!C28</f>
        <v>-12360</v>
      </c>
      <c r="D969" s="2355">
        <f>'Part VII-Pro Forma'!D28</f>
        <v>-12730.800000000001</v>
      </c>
      <c r="E969" s="2355">
        <f>'Part VII-Pro Forma'!E28</f>
        <v>-13112.724000000002</v>
      </c>
      <c r="F969" s="2355">
        <f>'Part VII-Pro Forma'!F28</f>
        <v>-13506.105720000003</v>
      </c>
      <c r="G969" s="2355">
        <f>'Part VII-Pro Forma'!G28</f>
        <v>-13911.288891600003</v>
      </c>
      <c r="H969" s="2355">
        <f>'Part VII-Pro Forma'!H28</f>
        <v>-14328.627558348004</v>
      </c>
      <c r="I969" s="2355">
        <f>'Part VII-Pro Forma'!I28</f>
        <v>-14758.486385098444</v>
      </c>
      <c r="J969" s="2355">
        <f>'Part VII-Pro Forma'!J28</f>
        <v>-15201.240976651397</v>
      </c>
      <c r="K969" s="2355">
        <f>'Part VII-Pro Forma'!K28</f>
        <v>-15657.278205950939</v>
      </c>
      <c r="M969" s="2176"/>
      <c r="N969" s="2176"/>
    </row>
    <row r="970" spans="1:14">
      <c r="A970" s="877" t="s">
        <v>1249</v>
      </c>
      <c r="B970" s="2355">
        <f>'Part VII-Pro Forma'!B29</f>
        <v>-1015.1999999999999</v>
      </c>
      <c r="C970" s="2355">
        <f>'Part VII-Pro Forma'!C29</f>
        <v>-1015.1999999999999</v>
      </c>
      <c r="D970" s="2355">
        <f>'Part VII-Pro Forma'!D29</f>
        <v>-1015.1999999999999</v>
      </c>
      <c r="E970" s="2355">
        <f>'Part VII-Pro Forma'!E29</f>
        <v>-1015.1999999999999</v>
      </c>
      <c r="F970" s="2355">
        <f>'Part VII-Pro Forma'!F29</f>
        <v>-1015.1999999999999</v>
      </c>
      <c r="G970" s="2355">
        <f>'Part VII-Pro Forma'!G29</f>
        <v>-1015.1999999999999</v>
      </c>
      <c r="H970" s="2355">
        <f>'Part VII-Pro Forma'!H29</f>
        <v>-1015.1999999999999</v>
      </c>
      <c r="I970" s="2355">
        <f>'Part VII-Pro Forma'!I29</f>
        <v>-1015.1999999999999</v>
      </c>
      <c r="J970" s="2355">
        <f>'Part VII-Pro Forma'!J29</f>
        <v>-1015.1999999999999</v>
      </c>
      <c r="K970" s="2355">
        <f>'Part VII-Pro Forma'!K29</f>
        <v>-1015.1999999999999</v>
      </c>
      <c r="M970" s="2176"/>
      <c r="N970" s="2176"/>
    </row>
    <row r="971" spans="1:14">
      <c r="A971" s="877" t="s">
        <v>1207</v>
      </c>
      <c r="B971" s="2355">
        <f>'Part VII-Pro Forma'!B30</f>
        <v>116510.40560000001</v>
      </c>
      <c r="C971" s="2355">
        <f>'Part VII-Pro Forma'!C30</f>
        <v>115134.08771200008</v>
      </c>
      <c r="D971" s="2355">
        <f>'Part VII-Pro Forma'!D30</f>
        <v>113617.73336624005</v>
      </c>
      <c r="E971" s="2355">
        <f>'Part VII-Pro Forma'!E30</f>
        <v>111957.20733056484</v>
      </c>
      <c r="F971" s="2355">
        <f>'Part VII-Pro Forma'!F30</f>
        <v>110144.11903308606</v>
      </c>
      <c r="G971" s="2355">
        <f>'Part VII-Pro Forma'!G30</f>
        <v>108171.81407633513</v>
      </c>
      <c r="H971" s="2355">
        <f>'Part VII-Pro Forma'!H30</f>
        <v>106035.3654803268</v>
      </c>
      <c r="I971" s="2355">
        <f>'Part VII-Pro Forma'!I30</f>
        <v>103725.56464607216</v>
      </c>
      <c r="J971" s="2355">
        <f>'Part VII-Pro Forma'!J30</f>
        <v>101236.91203081669</v>
      </c>
      <c r="K971" s="2355">
        <f>'Part VII-Pro Forma'!K30</f>
        <v>98559.607526010659</v>
      </c>
      <c r="M971" s="2176"/>
      <c r="N971" s="2176"/>
    </row>
    <row r="972" spans="1:14">
      <c r="A972" s="877" t="str">
        <f>IF('Part III-Sources of Funds'!$E$37 = "Neither", "", "DCR Mortgage A")</f>
        <v>DCR Mortgage A</v>
      </c>
      <c r="B972" s="2356" t="str">
        <f>IF(B964=0,"",-B963/B964)</f>
        <v/>
      </c>
      <c r="C972" s="2356" t="str">
        <f t="shared" ref="C972:K972" si="280">IF(C964=0,"",-C963/C964)</f>
        <v/>
      </c>
      <c r="D972" s="2356" t="str">
        <f t="shared" si="280"/>
        <v/>
      </c>
      <c r="E972" s="2356" t="str">
        <f t="shared" si="280"/>
        <v/>
      </c>
      <c r="F972" s="2356" t="str">
        <f t="shared" si="280"/>
        <v/>
      </c>
      <c r="G972" s="2356" t="str">
        <f t="shared" si="280"/>
        <v/>
      </c>
      <c r="H972" s="2356" t="str">
        <f t="shared" si="280"/>
        <v/>
      </c>
      <c r="I972" s="2356" t="str">
        <f t="shared" si="280"/>
        <v/>
      </c>
      <c r="J972" s="2356" t="str">
        <f t="shared" si="280"/>
        <v/>
      </c>
      <c r="K972" s="2356" t="str">
        <f t="shared" si="280"/>
        <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4190</v>
      </c>
      <c r="B976" s="2356" t="str">
        <f>IF(AND(B964=0,B965=0,B966=0,B967=0),"",-B963/(B964+B965+B966+B967))</f>
        <v/>
      </c>
      <c r="C976" s="2356" t="str">
        <f t="shared" ref="C976:K976" si="284">IF(AND(C964=0,C965=0,C966=0,C967=0),"",-C963/(C964+C965+C966+C967))</f>
        <v/>
      </c>
      <c r="D976" s="2356" t="str">
        <f t="shared" si="284"/>
        <v/>
      </c>
      <c r="E976" s="2356" t="str">
        <f t="shared" si="284"/>
        <v/>
      </c>
      <c r="F976" s="2356" t="str">
        <f t="shared" si="284"/>
        <v/>
      </c>
      <c r="G976" s="2356" t="str">
        <f t="shared" si="284"/>
        <v/>
      </c>
      <c r="H976" s="2356" t="str">
        <f t="shared" si="284"/>
        <v/>
      </c>
      <c r="I976" s="2356" t="str">
        <f t="shared" si="284"/>
        <v/>
      </c>
      <c r="J976" s="2356" t="str">
        <f t="shared" si="284"/>
        <v/>
      </c>
      <c r="K976" s="2356" t="str">
        <f t="shared" si="284"/>
        <v/>
      </c>
      <c r="M976" s="2176"/>
      <c r="N976" s="2176"/>
    </row>
    <row r="977" spans="1:14">
      <c r="A977" s="877" t="s">
        <v>801</v>
      </c>
      <c r="B977" s="2358">
        <f>IF(OR(B961="Choose mgt fee",B961="Choose One!"),"",(B955+B956+B957+B958+B959) / -(B960+B961+B962))</f>
        <v>1.2989220293139538</v>
      </c>
      <c r="C977" s="2358">
        <f t="shared" ref="C977:K977" si="285">IF(OR(C961="Choose mgt fee",C961="Choose One!"),"",(C955+C956+C957+C958+C959) / -(C960+C961+C962))</f>
        <v>1.2881051111555857</v>
      </c>
      <c r="D977" s="2358">
        <f t="shared" si="285"/>
        <v>1.2773789711807348</v>
      </c>
      <c r="E977" s="2358">
        <f t="shared" si="285"/>
        <v>1.2667480881394444</v>
      </c>
      <c r="F977" s="2358">
        <f t="shared" si="285"/>
        <v>1.2562069163692025</v>
      </c>
      <c r="G977" s="2358">
        <f t="shared" si="285"/>
        <v>1.2457544450976328</v>
      </c>
      <c r="H977" s="2358">
        <f t="shared" si="285"/>
        <v>1.2353944990849195</v>
      </c>
      <c r="I977" s="2358">
        <f t="shared" si="285"/>
        <v>1.2251218539179753</v>
      </c>
      <c r="J977" s="2358">
        <f t="shared" si="285"/>
        <v>1.2149394998556129</v>
      </c>
      <c r="K977" s="2358">
        <f t="shared" si="285"/>
        <v>1.2048424614078141</v>
      </c>
      <c r="M977" s="2176"/>
      <c r="N977" s="2176"/>
    </row>
    <row r="978" spans="1:14">
      <c r="A978" s="877" t="s">
        <v>2705</v>
      </c>
      <c r="B978" s="2355">
        <f>'Part VII-Pro Forma'!B37</f>
        <v>700000</v>
      </c>
      <c r="C978" s="2355">
        <f>'Part VII-Pro Forma'!C37</f>
        <v>700000</v>
      </c>
      <c r="D978" s="2355">
        <f>'Part VII-Pro Forma'!D37</f>
        <v>700000</v>
      </c>
      <c r="E978" s="2355">
        <f>'Part VII-Pro Forma'!E37</f>
        <v>700000</v>
      </c>
      <c r="F978" s="2355">
        <f>'Part VII-Pro Forma'!F37</f>
        <v>700000</v>
      </c>
      <c r="G978" s="2355">
        <f>'Part VII-Pro Forma'!G37</f>
        <v>700000</v>
      </c>
      <c r="H978" s="2355">
        <f>'Part VII-Pro Forma'!H37</f>
        <v>700000</v>
      </c>
      <c r="I978" s="2355">
        <f>'Part VII-Pro Forma'!I37</f>
        <v>700000</v>
      </c>
      <c r="J978" s="2355">
        <f>'Part VII-Pro Forma'!J37</f>
        <v>700000</v>
      </c>
      <c r="K978" s="2355">
        <f>'Part VII-Pro Forma'!K37</f>
        <v>700000</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9136.7999999999993</v>
      </c>
      <c r="C982" s="2355">
        <f>'Part VII-Pro Forma'!C41</f>
        <v>8121.5999999999995</v>
      </c>
      <c r="D982" s="2355">
        <f>'Part VII-Pro Forma'!D41</f>
        <v>7106.4</v>
      </c>
      <c r="E982" s="2355">
        <f>'Part VII-Pro Forma'!E41</f>
        <v>6091.2</v>
      </c>
      <c r="F982" s="2355">
        <f>'Part VII-Pro Forma'!F41</f>
        <v>5076</v>
      </c>
      <c r="G982" s="2355">
        <f>'Part VII-Pro Forma'!G41</f>
        <v>4060.8</v>
      </c>
      <c r="H982" s="2355">
        <f>'Part VII-Pro Forma'!H41</f>
        <v>3045.6000000000004</v>
      </c>
      <c r="I982" s="2355">
        <f>'Part VII-Pro Forma'!I41</f>
        <v>2030.4000000000005</v>
      </c>
      <c r="J982" s="2355">
        <f>'Part VII-Pro Forma'!J41</f>
        <v>1015.2000000000006</v>
      </c>
      <c r="K982" s="2355">
        <f>'Part VII-Pro Forma'!K41</f>
        <v>6.8212102632969618E-13</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663128.08849946794</v>
      </c>
      <c r="C985" s="2355">
        <f>'Part VII-Pro Forma'!C44</f>
        <v>676390.65026945714</v>
      </c>
      <c r="D985" s="2355">
        <f>'Part VII-Pro Forma'!D44</f>
        <v>689918.46327484632</v>
      </c>
      <c r="E985" s="2355">
        <f>'Part VII-Pro Forma'!E44</f>
        <v>703716.83254034328</v>
      </c>
      <c r="F985" s="2355">
        <f>'Part VII-Pro Forma'!F44</f>
        <v>717791.16919115023</v>
      </c>
      <c r="G985" s="2355">
        <f>'Part VII-Pro Forma'!G44</f>
        <v>732146.99257497303</v>
      </c>
      <c r="H985" s="2355">
        <f>'Part VII-Pro Forma'!H44</f>
        <v>746789.93242647254</v>
      </c>
      <c r="I985" s="2355">
        <f>'Part VII-Pro Forma'!I44</f>
        <v>761725.73107500211</v>
      </c>
      <c r="J985" s="2355">
        <f>'Part VII-Pro Forma'!J44</f>
        <v>776960.24569650204</v>
      </c>
      <c r="K985" s="2355">
        <f>'Part VII-Pro Forma'!K44</f>
        <v>792499.45061043208</v>
      </c>
      <c r="M985" s="2176">
        <f>'Part VII-Pro Forma'!M44</f>
        <v>0</v>
      </c>
      <c r="N985" s="2176"/>
    </row>
    <row r="986" spans="1:14">
      <c r="A986" s="877" t="s">
        <v>1053</v>
      </c>
      <c r="B986" s="2355">
        <f>'Part VII-Pro Forma'!B45</f>
        <v>13262.561769989357</v>
      </c>
      <c r="C986" s="2355">
        <f>'Part VII-Pro Forma'!C45</f>
        <v>13527.813005389142</v>
      </c>
      <c r="D986" s="2355">
        <f>'Part VII-Pro Forma'!D45</f>
        <v>13798.369265496927</v>
      </c>
      <c r="E986" s="2355">
        <f>'Part VII-Pro Forma'!E45</f>
        <v>14074.336650806865</v>
      </c>
      <c r="F986" s="2355">
        <f>'Part VII-Pro Forma'!F45</f>
        <v>14355.823383823004</v>
      </c>
      <c r="G986" s="2355">
        <f>'Part VII-Pro Forma'!G45</f>
        <v>14642.939851499461</v>
      </c>
      <c r="H986" s="2355">
        <f>'Part VII-Pro Forma'!H45</f>
        <v>14935.798648529451</v>
      </c>
      <c r="I986" s="2355">
        <f>'Part VII-Pro Forma'!I45</f>
        <v>15234.514621500042</v>
      </c>
      <c r="J986" s="2355">
        <f>'Part VII-Pro Forma'!J45</f>
        <v>15539.204913930042</v>
      </c>
      <c r="K986" s="2355">
        <f>'Part VII-Pro Forma'!K45</f>
        <v>15849.989012208642</v>
      </c>
      <c r="M986" s="2176"/>
      <c r="N986" s="2176"/>
    </row>
    <row r="987" spans="1:14">
      <c r="A987" s="877" t="s">
        <v>2490</v>
      </c>
      <c r="B987" s="2355">
        <f>'Part VII-Pro Forma'!B46</f>
        <v>-47347.345518862014</v>
      </c>
      <c r="C987" s="2355">
        <f>'Part VII-Pro Forma'!C46</f>
        <v>-48294.292429239249</v>
      </c>
      <c r="D987" s="2355">
        <f>'Part VII-Pro Forma'!D46</f>
        <v>-49260.178277824038</v>
      </c>
      <c r="E987" s="2355">
        <f>'Part VII-Pro Forma'!E46</f>
        <v>-50245.381843380514</v>
      </c>
      <c r="F987" s="2355">
        <f>'Part VII-Pro Forma'!F46</f>
        <v>-51250.289480248131</v>
      </c>
      <c r="G987" s="2355">
        <f>'Part VII-Pro Forma'!G46</f>
        <v>-52275.295269853086</v>
      </c>
      <c r="H987" s="2355">
        <f>'Part VII-Pro Forma'!H46</f>
        <v>-53320.801175250148</v>
      </c>
      <c r="I987" s="2355">
        <f>'Part VII-Pro Forma'!I46</f>
        <v>-54387.217198755156</v>
      </c>
      <c r="J987" s="2355">
        <f>'Part VII-Pro Forma'!J46</f>
        <v>-55474.961542730249</v>
      </c>
      <c r="K987" s="2355">
        <f>'Part VII-Pro Forma'!K46</f>
        <v>-56584.460773584855</v>
      </c>
      <c r="M987" s="2176"/>
      <c r="N987" s="2176"/>
    </row>
    <row r="988" spans="1:14">
      <c r="A988" s="877" t="s">
        <v>54</v>
      </c>
      <c r="B988" s="2355">
        <f>'Part VII-Pro Forma'!B47</f>
        <v>62895</v>
      </c>
      <c r="C988" s="2355">
        <f>'Part VII-Pro Forma'!C47</f>
        <v>64782</v>
      </c>
      <c r="D988" s="2355">
        <f>'Part VII-Pro Forma'!D47</f>
        <v>66726</v>
      </c>
      <c r="E988" s="2355">
        <f>'Part VII-Pro Forma'!E47</f>
        <v>68727</v>
      </c>
      <c r="F988" s="2355">
        <f>'Part VII-Pro Forma'!F47</f>
        <v>70789</v>
      </c>
      <c r="G988" s="2355">
        <f>'Part VII-Pro Forma'!G47</f>
        <v>72913</v>
      </c>
      <c r="H988" s="2355">
        <f>'Part VII-Pro Forma'!H47</f>
        <v>75100</v>
      </c>
      <c r="I988" s="2355">
        <f>'Part VII-Pro Forma'!I47</f>
        <v>77353</v>
      </c>
      <c r="J988" s="2355">
        <f>'Part VII-Pro Forma'!J47</f>
        <v>79674</v>
      </c>
      <c r="K988" s="2355">
        <f>'Part VII-Pro Forma'!K47</f>
        <v>82064</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-514272.44913447706</v>
      </c>
      <c r="C990" s="2355">
        <f>'Part VII-Pro Forma'!C49</f>
        <v>-529700.62260851136</v>
      </c>
      <c r="D990" s="2355">
        <f>'Part VII-Pro Forma'!D49</f>
        <v>-545591.64128676662</v>
      </c>
      <c r="E990" s="2355">
        <f>'Part VII-Pro Forma'!E49</f>
        <v>-561959.39052536956</v>
      </c>
      <c r="F990" s="2355">
        <f>'Part VII-Pro Forma'!F49</f>
        <v>-578818.17224113073</v>
      </c>
      <c r="G990" s="2355">
        <f>'Part VII-Pro Forma'!G49</f>
        <v>-596182.71740836476</v>
      </c>
      <c r="H990" s="2355">
        <f>'Part VII-Pro Forma'!H49</f>
        <v>-614068.19893061556</v>
      </c>
      <c r="I990" s="2355">
        <f>'Part VII-Pro Forma'!I49</f>
        <v>-632490.24489853403</v>
      </c>
      <c r="J990" s="2355">
        <f>'Part VII-Pro Forma'!J49</f>
        <v>-651464.95224549004</v>
      </c>
      <c r="K990" s="2355">
        <f>'Part VII-Pro Forma'!K49</f>
        <v>-671008.90081285476</v>
      </c>
      <c r="M990" s="2176"/>
      <c r="N990" s="2176"/>
    </row>
    <row r="991" spans="1:14">
      <c r="A991" s="877" t="s">
        <v>1153</v>
      </c>
      <c r="B991" s="2355">
        <f>'Part VII-Pro Forma'!B50</f>
        <v>-34597</v>
      </c>
      <c r="C991" s="2355">
        <f>'Part VII-Pro Forma'!C50</f>
        <v>-35320</v>
      </c>
      <c r="D991" s="2355">
        <f>'Part VII-Pro Forma'!D50</f>
        <v>-36059</v>
      </c>
      <c r="E991" s="2355">
        <f>'Part VII-Pro Forma'!E50</f>
        <v>-36814</v>
      </c>
      <c r="F991" s="2355">
        <f>'Part VII-Pro Forma'!F50</f>
        <v>-37584</v>
      </c>
      <c r="G991" s="2355">
        <f>'Part VII-Pro Forma'!G50</f>
        <v>-38371</v>
      </c>
      <c r="H991" s="2355">
        <f>'Part VII-Pro Forma'!H50</f>
        <v>-39175</v>
      </c>
      <c r="I991" s="2355">
        <f>'Part VII-Pro Forma'!I50</f>
        <v>-39996</v>
      </c>
      <c r="J991" s="2355">
        <f>'Part VII-Pro Forma'!J50</f>
        <v>-40835</v>
      </c>
      <c r="K991" s="2355">
        <f>'Part VII-Pro Forma'!K50</f>
        <v>-41691</v>
      </c>
      <c r="M991" s="2176"/>
      <c r="N991" s="2176"/>
    </row>
    <row r="992" spans="1:14">
      <c r="A992" s="877" t="s">
        <v>1247</v>
      </c>
      <c r="B992" s="2355">
        <f>'Part VII-Pro Forma'!B51</f>
        <v>-30238.118535242738</v>
      </c>
      <c r="C992" s="2355">
        <f>'Part VII-Pro Forma'!C51</f>
        <v>-31145.262091300025</v>
      </c>
      <c r="D992" s="2355">
        <f>'Part VII-Pro Forma'!D51</f>
        <v>-32079.619954039019</v>
      </c>
      <c r="E992" s="2355">
        <f>'Part VII-Pro Forma'!E51</f>
        <v>-33042.008552660191</v>
      </c>
      <c r="F992" s="2355">
        <f>'Part VII-Pro Forma'!F51</f>
        <v>-34033.268809239999</v>
      </c>
      <c r="G992" s="2355">
        <f>'Part VII-Pro Forma'!G51</f>
        <v>-35054.266873517197</v>
      </c>
      <c r="H992" s="2355">
        <f>'Part VII-Pro Forma'!H51</f>
        <v>-36105.894879722706</v>
      </c>
      <c r="I992" s="2355">
        <f>'Part VII-Pro Forma'!I51</f>
        <v>-37189.071726114387</v>
      </c>
      <c r="J992" s="2355">
        <f>'Part VII-Pro Forma'!J51</f>
        <v>-38304.743877897825</v>
      </c>
      <c r="K992" s="2355">
        <f>'Part VII-Pro Forma'!K51</f>
        <v>-39453.886194234758</v>
      </c>
      <c r="M992" s="2176"/>
      <c r="N992" s="2176"/>
    </row>
    <row r="993" spans="1:14">
      <c r="A993" s="877" t="s">
        <v>1248</v>
      </c>
      <c r="B993" s="2355">
        <f>'Part VII-Pro Forma'!B52</f>
        <v>112830.73708087543</v>
      </c>
      <c r="C993" s="2355">
        <f>'Part VII-Pro Forma'!C52</f>
        <v>110240.28614579568</v>
      </c>
      <c r="D993" s="2355">
        <f>'Part VII-Pro Forma'!D52</f>
        <v>107452.39302171356</v>
      </c>
      <c r="E993" s="2355">
        <f>'Part VII-Pro Forma'!E52</f>
        <v>104457.38826973985</v>
      </c>
      <c r="F993" s="2355">
        <f>'Part VII-Pro Forma'!F52</f>
        <v>101250.26204435443</v>
      </c>
      <c r="G993" s="2355">
        <f>'Part VII-Pro Forma'!G52</f>
        <v>97819.652874737512</v>
      </c>
      <c r="H993" s="2355">
        <f>'Part VII-Pro Forma'!H52</f>
        <v>94155.836089413642</v>
      </c>
      <c r="I993" s="2355">
        <f>'Part VII-Pro Forma'!I52</f>
        <v>90250.711873098611</v>
      </c>
      <c r="J993" s="2355">
        <f>'Part VII-Pro Forma'!J52</f>
        <v>86093.792944313987</v>
      </c>
      <c r="K993" s="2355">
        <f>'Part VII-Pro Forma'!K52</f>
        <v>81675.191841966312</v>
      </c>
      <c r="M993" s="2176"/>
      <c r="N993" s="2176"/>
    </row>
    <row r="994" spans="1:14">
      <c r="A994" s="877" t="str">
        <f>$A964</f>
        <v>Mortgage A</v>
      </c>
      <c r="B994" s="2355">
        <f>'Part VII-Pro Forma'!B53</f>
        <v>0</v>
      </c>
      <c r="C994" s="2355">
        <f>'Part VII-Pro Forma'!C53</f>
        <v>0</v>
      </c>
      <c r="D994" s="2355">
        <f>'Part VII-Pro Forma'!D53</f>
        <v>0</v>
      </c>
      <c r="E994" s="2355">
        <f>'Part VII-Pro Forma'!E53</f>
        <v>0</v>
      </c>
      <c r="F994" s="2355">
        <f>'Part VII-Pro Forma'!F53</f>
        <v>0</v>
      </c>
      <c r="G994" s="2355">
        <f>'Part VII-Pro Forma'!G53</f>
        <v>0</v>
      </c>
      <c r="H994" s="2355">
        <f>'Part VII-Pro Forma'!H53</f>
        <v>0</v>
      </c>
      <c r="I994" s="2355">
        <f>'Part VII-Pro Forma'!I53</f>
        <v>0</v>
      </c>
      <c r="J994" s="2355">
        <f>'Part VII-Pro Forma'!J53</f>
        <v>0</v>
      </c>
      <c r="K994" s="2355">
        <f>'Part VII-Pro Forma'!K53</f>
        <v>0</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-16126.996552129467</v>
      </c>
      <c r="C999" s="2355">
        <f>'Part VII-Pro Forma'!C58</f>
        <v>-16610.806448693351</v>
      </c>
      <c r="D999" s="2355">
        <f>'Part VII-Pro Forma'!D58</f>
        <v>-17109.130642154152</v>
      </c>
      <c r="E999" s="2355">
        <f>'Part VII-Pro Forma'!E58</f>
        <v>-17622.404561418778</v>
      </c>
      <c r="F999" s="2355">
        <f>'Part VII-Pro Forma'!F58</f>
        <v>-18151.076698261342</v>
      </c>
      <c r="G999" s="2355">
        <f>'Part VII-Pro Forma'!G58</f>
        <v>-18695.608999209184</v>
      </c>
      <c r="H999" s="2355">
        <f>'Part VII-Pro Forma'!H58</f>
        <v>-19256.47726918546</v>
      </c>
      <c r="I999" s="2355">
        <f>'Part VII-Pro Forma'!I58</f>
        <v>-19834.171587261026</v>
      </c>
      <c r="J999" s="2355">
        <f>'Part VII-Pro Forma'!J58</f>
        <v>-20429.196734878857</v>
      </c>
      <c r="K999" s="2355">
        <f>'Part VII-Pro Forma'!K58</f>
        <v>-21042.072636925222</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96703.74052874597</v>
      </c>
      <c r="C1001" s="2355">
        <f>'Part VII-Pro Forma'!C60</f>
        <v>93629.479697102332</v>
      </c>
      <c r="D1001" s="2355">
        <f>'Part VII-Pro Forma'!D60</f>
        <v>90343.262379559412</v>
      </c>
      <c r="E1001" s="2355">
        <f>'Part VII-Pro Forma'!E60</f>
        <v>86834.983708321073</v>
      </c>
      <c r="F1001" s="2355">
        <f>'Part VII-Pro Forma'!F60</f>
        <v>83099.185346093087</v>
      </c>
      <c r="G1001" s="2355">
        <f>'Part VII-Pro Forma'!G60</f>
        <v>79124.043875528325</v>
      </c>
      <c r="H1001" s="2355">
        <f>'Part VII-Pro Forma'!H60</f>
        <v>74899.358820228183</v>
      </c>
      <c r="I1001" s="2355">
        <f>'Part VII-Pro Forma'!I60</f>
        <v>70416.540285837589</v>
      </c>
      <c r="J1001" s="2355">
        <f>'Part VII-Pro Forma'!J60</f>
        <v>65664.596209435127</v>
      </c>
      <c r="K1001" s="2355">
        <f>'Part VII-Pro Forma'!K60</f>
        <v>60633.11920504109</v>
      </c>
      <c r="M1001" s="2176"/>
      <c r="N1001" s="2176"/>
    </row>
    <row r="1002" spans="1:14">
      <c r="A1002" s="877" t="str">
        <f>$A972</f>
        <v>DCR Mortgage A</v>
      </c>
      <c r="B1002" s="2356" t="str">
        <f>IF(B994=0,"",-B993/B994)</f>
        <v/>
      </c>
      <c r="C1002" s="2356" t="str">
        <f t="shared" ref="C1002:K1002" si="287">IF(C994=0,"",-C993/C994)</f>
        <v/>
      </c>
      <c r="D1002" s="2356" t="str">
        <f t="shared" si="287"/>
        <v/>
      </c>
      <c r="E1002" s="2356" t="str">
        <f t="shared" si="287"/>
        <v/>
      </c>
      <c r="F1002" s="2356" t="str">
        <f t="shared" si="287"/>
        <v/>
      </c>
      <c r="G1002" s="2356" t="str">
        <f t="shared" si="287"/>
        <v/>
      </c>
      <c r="H1002" s="2356" t="str">
        <f t="shared" si="287"/>
        <v/>
      </c>
      <c r="I1002" s="2356" t="str">
        <f t="shared" si="287"/>
        <v/>
      </c>
      <c r="J1002" s="2356" t="str">
        <f t="shared" si="287"/>
        <v/>
      </c>
      <c r="K1002" s="2356" t="str">
        <f t="shared" si="287"/>
        <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4190</v>
      </c>
      <c r="B1006" s="2356" t="str">
        <f>IF(AND(B994=0,B995=0,B996=0,B997=0),"",-B993/(B994+B995+B996+B997))</f>
        <v/>
      </c>
      <c r="C1006" s="2356" t="str">
        <f t="shared" ref="C1006:K1006" si="291">IF(AND(C994=0,C995=0,C996=0,C997=0),"",-C993/(C994+C995+C996+C997))</f>
        <v/>
      </c>
      <c r="D1006" s="2356" t="str">
        <f t="shared" si="291"/>
        <v/>
      </c>
      <c r="E1006" s="2356" t="str">
        <f t="shared" si="291"/>
        <v/>
      </c>
      <c r="F1006" s="2356" t="str">
        <f t="shared" si="291"/>
        <v/>
      </c>
      <c r="G1006" s="2356" t="str">
        <f t="shared" si="291"/>
        <v/>
      </c>
      <c r="H1006" s="2356" t="str">
        <f t="shared" si="291"/>
        <v/>
      </c>
      <c r="I1006" s="2356" t="str">
        <f t="shared" si="291"/>
        <v/>
      </c>
      <c r="J1006" s="2356" t="str">
        <f t="shared" si="291"/>
        <v/>
      </c>
      <c r="K1006" s="2356" t="str">
        <f t="shared" si="291"/>
        <v/>
      </c>
      <c r="M1006" s="2176"/>
      <c r="N1006" s="2176"/>
    </row>
    <row r="1007" spans="1:14">
      <c r="A1007" s="877" t="s">
        <v>801</v>
      </c>
      <c r="B1007" s="2358">
        <f>IF(OR(B991="Choose mgt fee",B991="Choose One!"),"",(B985+B986+B987+B988+B989) / -(B990+B991+B992))</f>
        <v>1.1948355424448982</v>
      </c>
      <c r="C1007" s="2358">
        <f t="shared" ref="C1007:K1007" si="292">IF(OR(C991="Choose mgt fee",C991="Choose One!"),"",(C985+C986+C987+C988+C989) / -(C990+C991+C992))</f>
        <v>1.1849154555385288</v>
      </c>
      <c r="D1007" s="2358">
        <f t="shared" si="292"/>
        <v>1.1750808128712316</v>
      </c>
      <c r="E1007" s="2358">
        <f t="shared" si="292"/>
        <v>1.1653289685914086</v>
      </c>
      <c r="F1007" s="2358">
        <f t="shared" si="292"/>
        <v>1.1556653522459479</v>
      </c>
      <c r="G1007" s="2358">
        <f t="shared" si="292"/>
        <v>1.1460849559308104</v>
      </c>
      <c r="H1007" s="2358">
        <f t="shared" si="292"/>
        <v>1.1365865813632576</v>
      </c>
      <c r="I1007" s="2358">
        <f t="shared" si="292"/>
        <v>1.1271718344416264</v>
      </c>
      <c r="J1007" s="2358">
        <f t="shared" si="292"/>
        <v>1.1178390905521556</v>
      </c>
      <c r="K1007" s="2358">
        <f t="shared" si="292"/>
        <v>1.1085884206831715</v>
      </c>
      <c r="M1007" s="2176"/>
      <c r="N1007" s="2176"/>
    </row>
    <row r="1008" spans="1:14">
      <c r="A1008" s="877" t="s">
        <v>2705</v>
      </c>
      <c r="B1008" s="2355">
        <f>'Part VII-Pro Forma'!B67</f>
        <v>700000</v>
      </c>
      <c r="C1008" s="2355">
        <f>'Part VII-Pro Forma'!C67</f>
        <v>700000</v>
      </c>
      <c r="D1008" s="2355">
        <f>'Part VII-Pro Forma'!D67</f>
        <v>700000</v>
      </c>
      <c r="E1008" s="2355">
        <f>'Part VII-Pro Forma'!E67</f>
        <v>700000</v>
      </c>
      <c r="F1008" s="2355">
        <f>'Part VII-Pro Forma'!F67</f>
        <v>700000</v>
      </c>
      <c r="G1008" s="2355">
        <f>'Part VII-Pro Forma'!G67</f>
        <v>700000</v>
      </c>
      <c r="H1008" s="2355">
        <f>'Part VII-Pro Forma'!H67</f>
        <v>700000</v>
      </c>
      <c r="I1008" s="2355">
        <f>'Part VII-Pro Forma'!I67</f>
        <v>700000</v>
      </c>
      <c r="J1008" s="2355">
        <f>'Part VII-Pro Forma'!J67</f>
        <v>700000</v>
      </c>
      <c r="K1008" s="2355">
        <f>'Part VII-Pro Forma'!K67</f>
        <v>700000</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6.8212102632969618E-13</v>
      </c>
      <c r="C1012" s="2355">
        <f>'Part VII-Pro Forma'!C71</f>
        <v>6.8212102632969618E-13</v>
      </c>
      <c r="D1012" s="2355">
        <f>'Part VII-Pro Forma'!D71</f>
        <v>6.8212102632969618E-13</v>
      </c>
      <c r="E1012" s="2355">
        <f>'Part VII-Pro Forma'!E71</f>
        <v>6.8212102632969618E-13</v>
      </c>
      <c r="F1012" s="2355">
        <f>'Part VII-Pro Forma'!F71</f>
        <v>6.8212102632969618E-13</v>
      </c>
      <c r="G1012" s="2355">
        <f>'Part VII-Pro Forma'!G71</f>
        <v>6.8212102632969618E-13</v>
      </c>
      <c r="H1012" s="2355">
        <f>'Part VII-Pro Forma'!H71</f>
        <v>6.8212102632969618E-13</v>
      </c>
      <c r="I1012" s="2355">
        <f>'Part VII-Pro Forma'!I71</f>
        <v>6.8212102632969618E-13</v>
      </c>
      <c r="J1012" s="2355">
        <f>'Part VII-Pro Forma'!J71</f>
        <v>6.8212102632969618E-13</v>
      </c>
      <c r="K1012" s="2355">
        <f>'Part VII-Pro Forma'!K71</f>
        <v>6.8212102632969618E-13</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808349.43962264084</v>
      </c>
      <c r="C1015" s="2355">
        <f>'Part VII-Pro Forma'!C74</f>
        <v>824516.42841509357</v>
      </c>
      <c r="D1015" s="2355">
        <f>'Part VII-Pro Forma'!D74</f>
        <v>841006.75698339543</v>
      </c>
      <c r="E1015" s="2355">
        <f>'Part VII-Pro Forma'!E74</f>
        <v>857826.89212306321</v>
      </c>
      <c r="F1015" s="2355">
        <f>'Part VII-Pro Forma'!F74</f>
        <v>874983.42996552447</v>
      </c>
      <c r="G1015" s="2355">
        <f>'Part VII-Pro Forma'!G74</f>
        <v>892483.09856483503</v>
      </c>
      <c r="H1015" s="2355">
        <f>'Part VII-Pro Forma'!H74</f>
        <v>910332.7605361318</v>
      </c>
      <c r="I1015" s="2355">
        <f>'Part VII-Pro Forma'!I74</f>
        <v>928539.41574685427</v>
      </c>
      <c r="J1015" s="2355">
        <f>'Part VII-Pro Forma'!J74</f>
        <v>947110.20406179153</v>
      </c>
      <c r="K1015" s="2355">
        <f>'Part VII-Pro Forma'!K74</f>
        <v>966052.40814302722</v>
      </c>
      <c r="M1015" s="2176">
        <f>'Part VII-Pro Forma'!M74</f>
        <v>0</v>
      </c>
      <c r="N1015" s="2176"/>
    </row>
    <row r="1016" spans="1:14">
      <c r="A1016" s="877" t="s">
        <v>1053</v>
      </c>
      <c r="B1016" s="2355">
        <f>'Part VII-Pro Forma'!B75</f>
        <v>16166.988792452816</v>
      </c>
      <c r="C1016" s="2355">
        <f>'Part VII-Pro Forma'!C75</f>
        <v>16490.328568301869</v>
      </c>
      <c r="D1016" s="2355">
        <f>'Part VII-Pro Forma'!D75</f>
        <v>16820.135139667909</v>
      </c>
      <c r="E1016" s="2355">
        <f>'Part VII-Pro Forma'!E75</f>
        <v>17156.537842461265</v>
      </c>
      <c r="F1016" s="2355">
        <f>'Part VII-Pro Forma'!F75</f>
        <v>17499.668599310491</v>
      </c>
      <c r="G1016" s="2355">
        <f>'Part VII-Pro Forma'!G75</f>
        <v>17849.6619712967</v>
      </c>
      <c r="H1016" s="2355">
        <f>'Part VII-Pro Forma'!H75</f>
        <v>18206.655210722638</v>
      </c>
      <c r="I1016" s="2355">
        <f>'Part VII-Pro Forma'!I75</f>
        <v>18570.788314937086</v>
      </c>
      <c r="J1016" s="2355">
        <f>'Part VII-Pro Forma'!J75</f>
        <v>18942.204081235832</v>
      </c>
      <c r="K1016" s="2355">
        <f>'Part VII-Pro Forma'!K75</f>
        <v>19321.048162860545</v>
      </c>
      <c r="M1016" s="2176"/>
      <c r="N1016" s="2176"/>
    </row>
    <row r="1017" spans="1:14">
      <c r="A1017" s="877" t="s">
        <v>2490</v>
      </c>
      <c r="B1017" s="2355">
        <f>'Part VII-Pro Forma'!B76</f>
        <v>-57716.149989056561</v>
      </c>
      <c r="C1017" s="2355">
        <f>'Part VII-Pro Forma'!C76</f>
        <v>-58870.472988837682</v>
      </c>
      <c r="D1017" s="2355">
        <f>'Part VII-Pro Forma'!D76</f>
        <v>-60047.882448614437</v>
      </c>
      <c r="E1017" s="2355">
        <f>'Part VII-Pro Forma'!E76</f>
        <v>-61248.840097586719</v>
      </c>
      <c r="F1017" s="2355">
        <f>'Part VII-Pro Forma'!F76</f>
        <v>-62473.816899538448</v>
      </c>
      <c r="G1017" s="2355">
        <f>'Part VII-Pro Forma'!G76</f>
        <v>-63723.293237529222</v>
      </c>
      <c r="H1017" s="2355">
        <f>'Part VII-Pro Forma'!H76</f>
        <v>-64997.759102279815</v>
      </c>
      <c r="I1017" s="2355">
        <f>'Part VII-Pro Forma'!I76</f>
        <v>-66297.714284325397</v>
      </c>
      <c r="J1017" s="2355">
        <f>'Part VII-Pro Forma'!J76</f>
        <v>-67623.668570011927</v>
      </c>
      <c r="K1017" s="2355">
        <f>'Part VII-Pro Forma'!K76</f>
        <v>-68976.141941412148</v>
      </c>
      <c r="M1017" s="2176"/>
      <c r="N1017" s="2176"/>
    </row>
    <row r="1018" spans="1:14">
      <c r="A1018" s="877" t="s">
        <v>54</v>
      </c>
      <c r="B1018" s="2355">
        <f>'Part VII-Pro Forma'!B77</f>
        <v>84526</v>
      </c>
      <c r="C1018" s="2355">
        <f>'Part VII-Pro Forma'!C77</f>
        <v>87062</v>
      </c>
      <c r="D1018" s="2355">
        <f>'Part VII-Pro Forma'!D77</f>
        <v>89674</v>
      </c>
      <c r="E1018" s="2355">
        <f>'Part VII-Pro Forma'!E77</f>
        <v>92364</v>
      </c>
      <c r="F1018" s="2355">
        <f>'Part VII-Pro Forma'!F77</f>
        <v>95135</v>
      </c>
      <c r="G1018" s="2355">
        <f>'Part VII-Pro Forma'!G77</f>
        <v>97989</v>
      </c>
      <c r="H1018" s="2355">
        <f>'Part VII-Pro Forma'!H77</f>
        <v>100928</v>
      </c>
      <c r="I1018" s="2355">
        <f>'Part VII-Pro Forma'!I77</f>
        <v>103956</v>
      </c>
      <c r="J1018" s="2355">
        <f>'Part VII-Pro Forma'!J77</f>
        <v>107075</v>
      </c>
      <c r="K1018" s="2355">
        <f>'Part VII-Pro Forma'!K77</f>
        <v>110287</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-691139.16783724038</v>
      </c>
      <c r="C1020" s="2355">
        <f>'Part VII-Pro Forma'!C79</f>
        <v>-711873.34287235746</v>
      </c>
      <c r="D1020" s="2355">
        <f>'Part VII-Pro Forma'!D79</f>
        <v>-733229.54315852828</v>
      </c>
      <c r="E1020" s="2355">
        <f>'Part VII-Pro Forma'!E79</f>
        <v>-755226.42945328413</v>
      </c>
      <c r="F1020" s="2355">
        <f>'Part VII-Pro Forma'!F79</f>
        <v>-777883.22233688261</v>
      </c>
      <c r="G1020" s="2355">
        <f>'Part VII-Pro Forma'!G79</f>
        <v>-801219.71900698903</v>
      </c>
      <c r="H1020" s="2355">
        <f>'Part VII-Pro Forma'!H79</f>
        <v>-825256.31057719886</v>
      </c>
      <c r="I1020" s="2355">
        <f>'Part VII-Pro Forma'!I79</f>
        <v>-850013.99989451468</v>
      </c>
      <c r="J1020" s="2355">
        <f>'Part VII-Pro Forma'!J79</f>
        <v>-875514.41989135009</v>
      </c>
      <c r="K1020" s="2355">
        <f>'Part VII-Pro Forma'!K79</f>
        <v>-901779.85248809052</v>
      </c>
      <c r="M1020" s="2176"/>
      <c r="N1020" s="2176"/>
    </row>
    <row r="1021" spans="1:14">
      <c r="A1021" s="877" t="s">
        <v>1153</v>
      </c>
      <c r="B1021" s="2355">
        <f>'Part VII-Pro Forma'!B80</f>
        <v>-42566</v>
      </c>
      <c r="C1021" s="2355">
        <f>'Part VII-Pro Forma'!C80</f>
        <v>-43460</v>
      </c>
      <c r="D1021" s="2355">
        <f>'Part VII-Pro Forma'!D80</f>
        <v>-44373</v>
      </c>
      <c r="E1021" s="2355">
        <f>'Part VII-Pro Forma'!E80</f>
        <v>-45305</v>
      </c>
      <c r="F1021" s="2355">
        <f>'Part VII-Pro Forma'!F80</f>
        <v>-46257</v>
      </c>
      <c r="G1021" s="2355">
        <f>'Part VII-Pro Forma'!G80</f>
        <v>-47230</v>
      </c>
      <c r="H1021" s="2355">
        <f>'Part VII-Pro Forma'!H80</f>
        <v>-48223</v>
      </c>
      <c r="I1021" s="2355">
        <f>'Part VII-Pro Forma'!I80</f>
        <v>-49238</v>
      </c>
      <c r="J1021" s="2355">
        <f>'Part VII-Pro Forma'!J80</f>
        <v>-50275</v>
      </c>
      <c r="K1021" s="2355">
        <f>'Part VII-Pro Forma'!K80</f>
        <v>-51334</v>
      </c>
      <c r="M1021" s="2176"/>
      <c r="N1021" s="2176"/>
    </row>
    <row r="1022" spans="1:14">
      <c r="A1022" s="877" t="s">
        <v>1247</v>
      </c>
      <c r="B1022" s="2355">
        <f>'Part VII-Pro Forma'!B81</f>
        <v>-40637.502780061797</v>
      </c>
      <c r="C1022" s="2355">
        <f>'Part VII-Pro Forma'!C81</f>
        <v>-41856.627863463647</v>
      </c>
      <c r="D1022" s="2355">
        <f>'Part VII-Pro Forma'!D81</f>
        <v>-43112.326699367557</v>
      </c>
      <c r="E1022" s="2355">
        <f>'Part VII-Pro Forma'!E81</f>
        <v>-44405.696500348589</v>
      </c>
      <c r="F1022" s="2355">
        <f>'Part VII-Pro Forma'!F81</f>
        <v>-45737.867395359041</v>
      </c>
      <c r="G1022" s="2355">
        <f>'Part VII-Pro Forma'!G81</f>
        <v>-47110.003417219814</v>
      </c>
      <c r="H1022" s="2355">
        <f>'Part VII-Pro Forma'!H81</f>
        <v>-48523.303519736415</v>
      </c>
      <c r="I1022" s="2355">
        <f>'Part VII-Pro Forma'!I81</f>
        <v>-49979.002625328496</v>
      </c>
      <c r="J1022" s="2355">
        <f>'Part VII-Pro Forma'!J81</f>
        <v>-51478.372704088353</v>
      </c>
      <c r="K1022" s="2355">
        <f>'Part VII-Pro Forma'!K81</f>
        <v>-53022.723885211002</v>
      </c>
      <c r="M1022" s="2176"/>
      <c r="N1022" s="2176"/>
    </row>
    <row r="1023" spans="1:14">
      <c r="A1023" s="877" t="s">
        <v>1248</v>
      </c>
      <c r="B1023" s="2355">
        <f>'Part VII-Pro Forma'!B82</f>
        <v>76983.607808734989</v>
      </c>
      <c r="C1023" s="2355">
        <f>'Part VII-Pro Forma'!C82</f>
        <v>72008.313258736685</v>
      </c>
      <c r="D1023" s="2355">
        <f>'Part VII-Pro Forma'!D82</f>
        <v>66738.139816553041</v>
      </c>
      <c r="E1023" s="2355">
        <f>'Part VII-Pro Forma'!E82</f>
        <v>61161.463914305008</v>
      </c>
      <c r="F1023" s="2355">
        <f>'Part VII-Pro Forma'!F82</f>
        <v>55266.191933054877</v>
      </c>
      <c r="G1023" s="2355">
        <f>'Part VII-Pro Forma'!G82</f>
        <v>49038.744874393604</v>
      </c>
      <c r="H1023" s="2355">
        <f>'Part VII-Pro Forma'!H82</f>
        <v>42467.042547639321</v>
      </c>
      <c r="I1023" s="2355">
        <f>'Part VII-Pro Forma'!I82</f>
        <v>35537.487257622757</v>
      </c>
      <c r="J1023" s="2355">
        <f>'Part VII-Pro Forma'!J82</f>
        <v>28235.946977576925</v>
      </c>
      <c r="K1023" s="2355">
        <f>'Part VII-Pro Forma'!K82</f>
        <v>20547.737991174145</v>
      </c>
      <c r="M1023" s="2176"/>
      <c r="N1023" s="2176"/>
    </row>
    <row r="1024" spans="1:14">
      <c r="A1024" s="877" t="str">
        <f>$A994</f>
        <v>Mortgage A</v>
      </c>
      <c r="B1024" s="2355">
        <f>'Part VII-Pro Forma'!B83</f>
        <v>0</v>
      </c>
      <c r="C1024" s="2355">
        <f>'Part VII-Pro Forma'!C83</f>
        <v>0</v>
      </c>
      <c r="D1024" s="2355">
        <f>'Part VII-Pro Forma'!D83</f>
        <v>0</v>
      </c>
      <c r="E1024" s="2355">
        <f>'Part VII-Pro Forma'!E83</f>
        <v>0</v>
      </c>
      <c r="F1024" s="2355">
        <f>'Part VII-Pro Forma'!F83</f>
        <v>0</v>
      </c>
      <c r="G1024" s="2355">
        <f>'Part VII-Pro Forma'!G83</f>
        <v>0</v>
      </c>
      <c r="H1024" s="2355">
        <f>'Part VII-Pro Forma'!H83</f>
        <v>0</v>
      </c>
      <c r="I1024" s="2355">
        <f>'Part VII-Pro Forma'!I83</f>
        <v>0</v>
      </c>
      <c r="J1024" s="2355">
        <f>'Part VII-Pro Forma'!J83</f>
        <v>0</v>
      </c>
      <c r="K1024" s="2355">
        <f>'Part VII-Pro Forma'!K83</f>
        <v>0</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-21673.334816032981</v>
      </c>
      <c r="C1029" s="2355">
        <f>'Part VII-Pro Forma'!C88</f>
        <v>-22323.53486051397</v>
      </c>
      <c r="D1029" s="2355">
        <f>'Part VII-Pro Forma'!D88</f>
        <v>-22993.240906329389</v>
      </c>
      <c r="E1029" s="2355">
        <f>'Part VII-Pro Forma'!E88</f>
        <v>-23683.038133519272</v>
      </c>
      <c r="F1029" s="2355">
        <f>'Part VII-Pro Forma'!F88</f>
        <v>-24393.529277524853</v>
      </c>
      <c r="G1029" s="2355">
        <f>'Part VII-Pro Forma'!G88</f>
        <v>-25125.3351558506</v>
      </c>
      <c r="H1029" s="2355">
        <f>'Part VII-Pro Forma'!H88</f>
        <v>-25879.09521052612</v>
      </c>
      <c r="I1029" s="2355">
        <f>'Part VII-Pro Forma'!I88</f>
        <v>-26655.468066841906</v>
      </c>
      <c r="J1029" s="2355">
        <f>'Part VII-Pro Forma'!J88</f>
        <v>-27455.132108847163</v>
      </c>
      <c r="K1029" s="2355">
        <f>'Part VII-Pro Forma'!K88</f>
        <v>-28278.78607211258</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55310.272992702012</v>
      </c>
      <c r="C1031" s="2355">
        <f>'Part VII-Pro Forma'!C90</f>
        <v>49684.778398222712</v>
      </c>
      <c r="D1031" s="2355">
        <f>'Part VII-Pro Forma'!D90</f>
        <v>43744.898910223652</v>
      </c>
      <c r="E1031" s="2355">
        <f>'Part VII-Pro Forma'!E90</f>
        <v>37478.425780785736</v>
      </c>
      <c r="F1031" s="2355">
        <f>'Part VII-Pro Forma'!F90</f>
        <v>30872.662655530024</v>
      </c>
      <c r="G1031" s="2355">
        <f>'Part VII-Pro Forma'!G90</f>
        <v>23913.409718543004</v>
      </c>
      <c r="H1031" s="2355">
        <f>'Part VII-Pro Forma'!H90</f>
        <v>16587.947337113201</v>
      </c>
      <c r="I1031" s="2355">
        <f>'Part VII-Pro Forma'!I90</f>
        <v>8882.0191907808512</v>
      </c>
      <c r="J1031" s="2355">
        <f>'Part VII-Pro Forma'!J90</f>
        <v>780.81486872976166</v>
      </c>
      <c r="K1031" s="2355">
        <f>'Part VII-Pro Forma'!K90</f>
        <v>-7731.0480809384353</v>
      </c>
      <c r="M1031" s="2176"/>
      <c r="N1031" s="2176"/>
    </row>
    <row r="1032" spans="1:14">
      <c r="A1032" s="877" t="str">
        <f>$A1002</f>
        <v>DCR Mortgage A</v>
      </c>
      <c r="B1032" s="2356" t="str">
        <f>IF(B1024=0,"",-B1023/B1024)</f>
        <v/>
      </c>
      <c r="C1032" s="2356" t="str">
        <f t="shared" ref="C1032:K1032" si="294">IF(C1024=0,"",-C1023/C1024)</f>
        <v/>
      </c>
      <c r="D1032" s="2356" t="str">
        <f t="shared" si="294"/>
        <v/>
      </c>
      <c r="E1032" s="2356" t="str">
        <f t="shared" si="294"/>
        <v/>
      </c>
      <c r="F1032" s="2356" t="str">
        <f t="shared" si="294"/>
        <v/>
      </c>
      <c r="G1032" s="2356" t="str">
        <f t="shared" si="294"/>
        <v/>
      </c>
      <c r="H1032" s="2356" t="str">
        <f t="shared" si="294"/>
        <v/>
      </c>
      <c r="I1032" s="2356" t="str">
        <f t="shared" si="294"/>
        <v/>
      </c>
      <c r="J1032" s="2356" t="str">
        <f t="shared" si="294"/>
        <v/>
      </c>
      <c r="K1032" s="2356" t="str">
        <f t="shared" si="294"/>
        <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4190</v>
      </c>
      <c r="B1036" s="2356" t="str">
        <f>IF(AND(B1024=0,B1025=0,B1026=0,B1027=0),"",-B1023/(B1024+B1025+B1026+B1027))</f>
        <v/>
      </c>
      <c r="C1036" s="2356" t="str">
        <f t="shared" ref="C1036:K1036" si="298">IF(AND(C1024=0,C1025=0,C1026=0,C1027=0),"",-C1023/(C1024+C1025+C1026+C1027))</f>
        <v/>
      </c>
      <c r="D1036" s="2356" t="str">
        <f t="shared" si="298"/>
        <v/>
      </c>
      <c r="E1036" s="2356" t="str">
        <f t="shared" si="298"/>
        <v/>
      </c>
      <c r="F1036" s="2356" t="str">
        <f t="shared" si="298"/>
        <v/>
      </c>
      <c r="G1036" s="2356" t="str">
        <f t="shared" si="298"/>
        <v/>
      </c>
      <c r="H1036" s="2356" t="str">
        <f t="shared" si="298"/>
        <v/>
      </c>
      <c r="I1036" s="2356" t="str">
        <f t="shared" si="298"/>
        <v/>
      </c>
      <c r="J1036" s="2356" t="str">
        <f t="shared" si="298"/>
        <v/>
      </c>
      <c r="K1036" s="2356" t="str">
        <f t="shared" si="298"/>
        <v/>
      </c>
      <c r="M1036" s="2176"/>
      <c r="N1036" s="2176"/>
    </row>
    <row r="1037" spans="1:14">
      <c r="A1037" s="877" t="s">
        <v>801</v>
      </c>
      <c r="B1037" s="2358">
        <f>IF(OR(B1021="Choose mgt fee",B1021="Choose One!"),"",(B1015+B1016+B1017+B1018+B1019) / -(B1020+B1021+B1022))</f>
        <v>1.0994180105654827</v>
      </c>
      <c r="C1037" s="2358">
        <f t="shared" ref="C1037:K1037" si="299">IF(OR(C1021="Choose mgt fee",C1021="Choose One!"),"",(C1015+C1016+C1017+C1018+C1019) / -(C1020+C1021+C1022))</f>
        <v>1.0903276708213874</v>
      </c>
      <c r="D1037" s="2358">
        <f t="shared" si="299"/>
        <v>1.081317083761512</v>
      </c>
      <c r="E1037" s="2358">
        <f t="shared" si="299"/>
        <v>1.0723858166905325</v>
      </c>
      <c r="F1037" s="2358">
        <f t="shared" si="299"/>
        <v>1.0635332612528112</v>
      </c>
      <c r="G1037" s="2358">
        <f t="shared" si="299"/>
        <v>1.0547576489278119</v>
      </c>
      <c r="H1037" s="2358">
        <f t="shared" si="299"/>
        <v>1.0460595684853173</v>
      </c>
      <c r="I1037" s="2358">
        <f t="shared" si="299"/>
        <v>1.0374381864512268</v>
      </c>
      <c r="J1037" s="2358">
        <f t="shared" si="299"/>
        <v>1.028892742799379</v>
      </c>
      <c r="K1037" s="2358">
        <f t="shared" si="299"/>
        <v>1.0204224142861797</v>
      </c>
      <c r="M1037" s="2176"/>
      <c r="N1037" s="2176"/>
    </row>
    <row r="1038" spans="1:14">
      <c r="A1038" s="877" t="s">
        <v>2705</v>
      </c>
      <c r="B1038" s="2355">
        <f>'Part VII-Pro Forma'!B97</f>
        <v>700000</v>
      </c>
      <c r="C1038" s="2355">
        <f>'Part VII-Pro Forma'!C97</f>
        <v>700000</v>
      </c>
      <c r="D1038" s="2355">
        <f>'Part VII-Pro Forma'!D97</f>
        <v>700000</v>
      </c>
      <c r="E1038" s="2355">
        <f>'Part VII-Pro Forma'!E97</f>
        <v>700000</v>
      </c>
      <c r="F1038" s="2355">
        <f>'Part VII-Pro Forma'!F97</f>
        <v>700000</v>
      </c>
      <c r="G1038" s="2355">
        <f>'Part VII-Pro Forma'!G97</f>
        <v>700000</v>
      </c>
      <c r="H1038" s="2355">
        <f>'Part VII-Pro Forma'!H97</f>
        <v>700000</v>
      </c>
      <c r="I1038" s="2355">
        <f>'Part VII-Pro Forma'!I97</f>
        <v>700000</v>
      </c>
      <c r="J1038" s="2355">
        <f>'Part VII-Pro Forma'!J97</f>
        <v>700000</v>
      </c>
      <c r="K1038" s="2355">
        <f>'Part VII-Pro Forma'!K97</f>
        <v>700000</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6.8212102632969618E-13</v>
      </c>
      <c r="C1042" s="2355">
        <f>'Part VII-Pro Forma'!C101</f>
        <v>6.8212102632969618E-13</v>
      </c>
      <c r="D1042" s="2355">
        <f>'Part VII-Pro Forma'!D101</f>
        <v>6.8212102632969618E-13</v>
      </c>
      <c r="E1042" s="2355">
        <f>'Part VII-Pro Forma'!E101</f>
        <v>6.8212102632969618E-13</v>
      </c>
      <c r="F1042" s="2355">
        <f>'Part VII-Pro Forma'!F101</f>
        <v>6.8212102632969618E-13</v>
      </c>
      <c r="G1042" s="2355">
        <f>'Part VII-Pro Forma'!G101</f>
        <v>6.8212102632969618E-13</v>
      </c>
      <c r="H1042" s="2355">
        <f>'Part VII-Pro Forma'!H101</f>
        <v>6.8212102632969618E-13</v>
      </c>
      <c r="I1042" s="2355">
        <f>'Part VII-Pro Forma'!I101</f>
        <v>6.8212102632969618E-13</v>
      </c>
      <c r="J1042" s="2355">
        <f>'Part VII-Pro Forma'!J101</f>
        <v>6.8212102632969618E-13</v>
      </c>
      <c r="K1042" s="2355">
        <f>'Part VII-Pro Forma'!K101</f>
        <v>6.8212102632969618E-13</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4154</v>
      </c>
      <c r="N1044" s="2254"/>
    </row>
    <row r="1045" spans="1:14">
      <c r="A1045" s="877" t="s">
        <v>2489</v>
      </c>
      <c r="B1045" s="2355">
        <f>'Part VII-Pro Forma'!B104</f>
        <v>985373.4563058879</v>
      </c>
      <c r="C1045" s="2355">
        <f>'Part VII-Pro Forma'!C104</f>
        <v>1005080.9254320054</v>
      </c>
      <c r="D1045" s="2355">
        <f>'Part VII-Pro Forma'!D104</f>
        <v>1025182.5439406458</v>
      </c>
      <c r="E1045" s="2355">
        <f>'Part VII-Pro Forma'!E104</f>
        <v>1045686.1948194588</v>
      </c>
      <c r="F1045" s="2355">
        <f>'Part VII-Pro Forma'!F104</f>
        <v>1066599.9187158479</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19707.469126117758</v>
      </c>
      <c r="C1046" s="2355">
        <f>'Part VII-Pro Forma'!C105</f>
        <v>20101.618508640109</v>
      </c>
      <c r="D1046" s="2355">
        <f>'Part VII-Pro Forma'!D105</f>
        <v>20503.650878812914</v>
      </c>
      <c r="E1046" s="2355">
        <f>'Part VII-Pro Forma'!E105</f>
        <v>20913.723896389176</v>
      </c>
      <c r="F1046" s="2355">
        <f>'Part VII-Pro Forma'!F105</f>
        <v>21331.998374316954</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-70355.664780240404</v>
      </c>
      <c r="C1047" s="2355">
        <f>'Part VII-Pro Forma'!C106</f>
        <v>-71762.778075845199</v>
      </c>
      <c r="D1047" s="2355">
        <f>'Part VII-Pro Forma'!D106</f>
        <v>-73198.03363736211</v>
      </c>
      <c r="E1047" s="2355">
        <f>'Part VII-Pro Forma'!E106</f>
        <v>-74661.994310109352</v>
      </c>
      <c r="F1047" s="2355">
        <f>'Part VII-Pro Forma'!F106</f>
        <v>-76155.234196311532</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113596</v>
      </c>
      <c r="C1048" s="2355">
        <f>'Part VII-Pro Forma'!C107</f>
        <v>117004</v>
      </c>
      <c r="D1048" s="2355">
        <f>'Part VII-Pro Forma'!D107</f>
        <v>120514</v>
      </c>
      <c r="E1048" s="2355">
        <f>'Part VII-Pro Forma'!E107</f>
        <v>124129</v>
      </c>
      <c r="F1048" s="2355">
        <f>'Part VII-Pro Forma'!F107</f>
        <v>127853</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-928833.24806273333</v>
      </c>
      <c r="C1050" s="2355">
        <f>'Part VII-Pro Forma'!C109</f>
        <v>-956698.24550461548</v>
      </c>
      <c r="D1050" s="2355">
        <f>'Part VII-Pro Forma'!D109</f>
        <v>-985399.19286975369</v>
      </c>
      <c r="E1050" s="2355">
        <f>'Part VII-Pro Forma'!E109</f>
        <v>-1014961.1686558464</v>
      </c>
      <c r="F1050" s="2355">
        <f>'Part VII-Pro Forma'!F109</f>
        <v>-1045410.0037155215</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-52416</v>
      </c>
      <c r="C1051" s="2355">
        <f>'Part VII-Pro Forma'!C110</f>
        <v>-53521</v>
      </c>
      <c r="D1051" s="2355">
        <f>'Part VII-Pro Forma'!D110</f>
        <v>-54650</v>
      </c>
      <c r="E1051" s="2355">
        <f>'Part VII-Pro Forma'!E110</f>
        <v>-55803</v>
      </c>
      <c r="F1051" s="2355">
        <f>'Part VII-Pro Forma'!F110</f>
        <v>-56981</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-54613.405601767328</v>
      </c>
      <c r="C1052" s="2355">
        <f>'Part VII-Pro Forma'!C111</f>
        <v>-56251.807769820356</v>
      </c>
      <c r="D1052" s="2355">
        <f>'Part VII-Pro Forma'!D111</f>
        <v>-57939.362002914961</v>
      </c>
      <c r="E1052" s="2355">
        <f>'Part VII-Pro Forma'!E111</f>
        <v>-59677.542863002411</v>
      </c>
      <c r="F1052" s="2355">
        <f>'Part VII-Pro Forma'!F111</f>
        <v>-61467.869148892474</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12458.606987264619</v>
      </c>
      <c r="C1053" s="2355">
        <f>'Part VII-Pro Forma'!C112</f>
        <v>3952.7125903643609</v>
      </c>
      <c r="D1053" s="2355">
        <f>'Part VII-Pro Forma'!D112</f>
        <v>-4986.3936905719602</v>
      </c>
      <c r="E1053" s="2355">
        <f>'Part VII-Pro Forma'!E112</f>
        <v>-14374.787113110317</v>
      </c>
      <c r="F1053" s="2355">
        <f>'Part VII-Pro Forma'!F112</f>
        <v>-24229.189970560845</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0</v>
      </c>
      <c r="C1054" s="2355">
        <f>'Part VII-Pro Forma'!C113</f>
        <v>0</v>
      </c>
      <c r="D1054" s="2355">
        <f>'Part VII-Pro Forma'!D113</f>
        <v>0</v>
      </c>
      <c r="E1054" s="2355">
        <f>'Part VII-Pro Forma'!E113</f>
        <v>0</v>
      </c>
      <c r="F1054" s="2355">
        <f>'Part VII-Pro Forma'!F113</f>
        <v>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-29127.14965427596</v>
      </c>
      <c r="C1059" s="2355">
        <f>'Part VII-Pro Forma'!C118</f>
        <v>-30000.964143904239</v>
      </c>
      <c r="D1059" s="2355">
        <f>'Part VII-Pro Forma'!D118</f>
        <v>-30900.993068221367</v>
      </c>
      <c r="E1059" s="2355">
        <f>'Part VII-Pro Forma'!E118</f>
        <v>-31828.022860268007</v>
      </c>
      <c r="F1059" s="2355">
        <f>'Part VII-Pro Forma'!F118</f>
        <v>-32782.863546076049</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-16668.542667011341</v>
      </c>
      <c r="C1061" s="2355">
        <f>'Part VII-Pro Forma'!C120</f>
        <v>-26048.251553539878</v>
      </c>
      <c r="D1061" s="2355">
        <f>'Part VII-Pro Forma'!D120</f>
        <v>-35887.386758793327</v>
      </c>
      <c r="E1061" s="2355">
        <f>'Part VII-Pro Forma'!E120</f>
        <v>-46202.809973378324</v>
      </c>
      <c r="F1061" s="2355">
        <f>'Part VII-Pro Forma'!F120</f>
        <v>-57012.053516636894</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t="str">
        <f>IF(B1054=0,"",-B1053/B1054)</f>
        <v/>
      </c>
      <c r="C1062" s="2356" t="str">
        <f t="shared" ref="C1062:F1062" si="300">IF(C1054=0,"",-C1053/C1054)</f>
        <v/>
      </c>
      <c r="D1062" s="2356" t="str">
        <f t="shared" si="300"/>
        <v/>
      </c>
      <c r="E1062" s="2356" t="str">
        <f t="shared" si="300"/>
        <v/>
      </c>
      <c r="F1062" s="2356" t="str">
        <f t="shared" si="300"/>
        <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4190</v>
      </c>
      <c r="B1066" s="2356" t="str">
        <f>IF(AND(B1054=0,B1055=0,B1056=0,B1057=0),"",-B1053/(B1054+B1055+B1056+B1057))</f>
        <v/>
      </c>
      <c r="C1066" s="2356" t="str">
        <f t="shared" ref="C1066:F1066" si="304">IF(AND(C1054=0,C1055=0,C1056=0,C1057=0),"",-C1053/(C1054+C1055+C1056+C1057))</f>
        <v/>
      </c>
      <c r="D1066" s="2356" t="str">
        <f t="shared" si="304"/>
        <v/>
      </c>
      <c r="E1066" s="2356" t="str">
        <f t="shared" si="304"/>
        <v/>
      </c>
      <c r="F1066" s="2356" t="str">
        <f t="shared" si="304"/>
        <v/>
      </c>
      <c r="G1066" s="2355"/>
      <c r="H1066" s="2355"/>
      <c r="I1066" s="2355"/>
      <c r="J1066" s="2355"/>
      <c r="K1066" s="2355"/>
      <c r="M1066" s="2176"/>
      <c r="N1066" s="2176"/>
    </row>
    <row r="1067" spans="1:14">
      <c r="A1067" s="877" t="s">
        <v>801</v>
      </c>
      <c r="B1067" s="2358">
        <f>IF(OR(B1051="Choose mgt fee",B1051="Choose One!"),"",(B1045+B1046+B1047+B1048+B1049) / -(B1050+B1051+B1052))</f>
        <v>1.0120272769205363</v>
      </c>
      <c r="C1067" s="2358">
        <f>IF(OR(C1051="Choose mgt fee",C1051="Choose One!"),"",(C1045+C1046+C1047+C1048+C1049) / -(C1050+C1051+C1052))</f>
        <v>1.0037063477515193</v>
      </c>
      <c r="D1067" s="2358">
        <f>IF(OR(D1051="Choose mgt fee",D1051="Choose One!"),"",(D1045+D1046+D1047+D1048+D1049) / -(D1050+D1051+D1052))</f>
        <v>0.99545861050332152</v>
      </c>
      <c r="E1067" s="2358">
        <f>IF(OR(E1051="Choose mgt fee",E1051="Choose One!"),"",(E1045+E1046+E1047+E1048+E1049) / -(E1050+E1051+E1052))</f>
        <v>0.98728392011137267</v>
      </c>
      <c r="F1067" s="2358">
        <f>IF(OR(F1051="Choose mgt fee",F1051="Choose One!"),"",(F1045+F1046+F1047+F1048+F1049) / -(F1050+F1051+F1052))</f>
        <v>0.97918202065948967</v>
      </c>
      <c r="G1067" s="2355"/>
      <c r="H1067" s="2355"/>
      <c r="I1067" s="2355"/>
      <c r="J1067" s="2355"/>
      <c r="K1067" s="2355"/>
      <c r="M1067" s="2176"/>
      <c r="N1067" s="2176"/>
    </row>
    <row r="1068" spans="1:14">
      <c r="A1068" s="877" t="s">
        <v>2705</v>
      </c>
      <c r="B1068" s="2355">
        <f>'Part VII-Pro Forma'!B127</f>
        <v>700000</v>
      </c>
      <c r="C1068" s="2355">
        <f>'Part VII-Pro Forma'!C127</f>
        <v>700000</v>
      </c>
      <c r="D1068" s="2355">
        <f>'Part VII-Pro Forma'!D127</f>
        <v>700000</v>
      </c>
      <c r="E1068" s="2355">
        <f>'Part VII-Pro Forma'!E127</f>
        <v>700000</v>
      </c>
      <c r="F1068" s="2355">
        <f>'Part VII-Pro Forma'!F127</f>
        <v>700000</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6.8212102632969618E-13</v>
      </c>
      <c r="C1072" s="2355">
        <f>'Part VII-Pro Forma'!C131</f>
        <v>6.8212102632969618E-13</v>
      </c>
      <c r="D1072" s="2355">
        <f>'Part VII-Pro Forma'!D131</f>
        <v>6.8212102632969618E-13</v>
      </c>
      <c r="E1072" s="2355">
        <f>'Part VII-Pro Forma'!E131</f>
        <v>6.8212102632969618E-13</v>
      </c>
      <c r="F1072" s="2355">
        <f>'Part VII-Pro Forma'!F131</f>
        <v>6.8212102632969618E-13</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2016-032 240 Atlanta Street Development Phase 2,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3693</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4162</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168.75">
      <c r="A1119" s="2374" t="str">
        <f>'Part VIII-Threshold Criteria'!A34</f>
        <v>No commitments are submitted as "Under Consideration".  All commitments are provided in accordance with the requirements of the 2016 QAP.</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4459</v>
      </c>
      <c r="B1124" s="2379"/>
      <c r="C1124" s="2379"/>
      <c r="D1124" s="2379"/>
      <c r="E1124" s="2379"/>
      <c r="F1124" s="2379"/>
      <c r="G1124" s="2219" t="s">
        <v>2821</v>
      </c>
      <c r="H1124" s="2219"/>
      <c r="I1124" s="2368"/>
      <c r="J1124" s="2079"/>
      <c r="K1124" s="2368" t="s">
        <v>4044</v>
      </c>
      <c r="L1124" s="2368"/>
      <c r="M1124" s="2368"/>
      <c r="N1124" s="2368"/>
    </row>
    <row r="1125" spans="1:17" ht="13.5">
      <c r="A1125" s="2379"/>
      <c r="B1125" s="2379"/>
      <c r="C1125" s="2379"/>
      <c r="D1125" s="2379"/>
      <c r="E1125" s="2379"/>
      <c r="F1125" s="2379"/>
      <c r="G1125" s="2219" t="s">
        <v>359</v>
      </c>
      <c r="H1125" s="2219"/>
      <c r="I1125" s="2368"/>
      <c r="J1125" s="2079"/>
      <c r="K1125" s="519" t="s">
        <v>4045</v>
      </c>
      <c r="L1125" s="519"/>
      <c r="M1125" s="519"/>
      <c r="N1125" s="519"/>
      <c r="P1125" s="2380" t="s">
        <v>2849</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2820</v>
      </c>
      <c r="F1127" s="2382" t="s">
        <v>3696</v>
      </c>
      <c r="G1127" s="2382" t="s">
        <v>3695</v>
      </c>
      <c r="H1127" s="2382"/>
      <c r="I1127" s="2382"/>
      <c r="K1127" s="2382" t="s">
        <v>3696</v>
      </c>
      <c r="L1127" s="2382" t="s">
        <v>3695</v>
      </c>
      <c r="M1127" s="2382"/>
      <c r="N1127" s="2382"/>
    </row>
    <row r="1128" spans="1:17" ht="12.75" customHeight="1">
      <c r="A1128" s="2383" t="s">
        <v>3544</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13380152</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3555</v>
      </c>
      <c r="F1140" s="2390">
        <f>SUM(F1135:F1139)</f>
        <v>0</v>
      </c>
      <c r="G1140" s="2391"/>
      <c r="H1140" s="2392"/>
      <c r="I1140" s="2393" t="e">
        <f>SUM(I1135:I1139)</f>
        <v>#N/A</v>
      </c>
      <c r="J1140" s="2394"/>
      <c r="K1140" s="2390">
        <f>SUM(K1135:K1139)</f>
        <v>0</v>
      </c>
      <c r="L1140" s="2394"/>
      <c r="M1140" s="2392"/>
      <c r="N1140" s="2393" t="e">
        <f>SUM(N1135:N1139)</f>
        <v>#N/A</v>
      </c>
      <c r="O1140" s="2399"/>
      <c r="P1140" s="519" t="s">
        <v>4037</v>
      </c>
      <c r="Q1140" s="519"/>
    </row>
    <row r="1141" spans="1:17">
      <c r="C1141" s="2079"/>
      <c r="D1141" s="2395"/>
      <c r="E1141" s="2395"/>
      <c r="F1141" s="2396"/>
      <c r="G1141" s="2397"/>
      <c r="I1141" s="2396"/>
      <c r="K1141" s="2396"/>
      <c r="M1141" s="2377"/>
      <c r="N1141" s="2396"/>
      <c r="O1141" s="2399"/>
    </row>
    <row r="1142" spans="1:17">
      <c r="A1142" s="2219" t="s">
        <v>3540</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4038</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3555</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3541</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54</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54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13458618</v>
      </c>
      <c r="Q1150" s="2402"/>
    </row>
    <row r="1151" spans="1:17" ht="12.75" customHeight="1">
      <c r="C1151" s="2079"/>
      <c r="D1151" s="2384" t="s">
        <v>2526</v>
      </c>
      <c r="E1151" s="2369">
        <v>2</v>
      </c>
      <c r="F1151" s="2385">
        <f>'Part VI-Revenues &amp; Expenses'!$L$110</f>
        <v>36</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36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3555</v>
      </c>
      <c r="F1154" s="2390">
        <f>SUM(F1149:F1153)</f>
        <v>90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3556</v>
      </c>
      <c r="B1156" s="2079"/>
      <c r="C1156" s="2079"/>
      <c r="D1156" s="2079"/>
      <c r="E1156" s="2261"/>
      <c r="F1156" s="2406">
        <f>F1133+F1140+F1147+F1154</f>
        <v>90</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90">
      <c r="A1158" s="2374" t="str">
        <f>'Part VIII-Threshold Criteria'!A73</f>
        <v>The total development cost does not exceed the project cost limit for this location.</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HFOP</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67.5">
      <c r="A1162" s="2374" t="str">
        <f>'Part VIII-Threshold Criteria'!A77</f>
        <v>Units will be age restricted as Housing for Older Persons.</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4145</v>
      </c>
      <c r="D1166" s="2397"/>
      <c r="E1166" s="2397"/>
      <c r="F1166" s="2397"/>
      <c r="G1166" s="2397"/>
      <c r="H1166" s="2397"/>
      <c r="I1166" s="2397"/>
      <c r="J1166" s="2409" t="s">
        <v>4146</v>
      </c>
      <c r="K1166" s="2397"/>
      <c r="L1166" s="2397"/>
      <c r="M1166" s="2397"/>
      <c r="O1166" s="2374"/>
      <c r="P1166" s="2372" t="str">
        <f>'Part VIII-Threshold Criteria'!P81</f>
        <v>Agree</v>
      </c>
    </row>
    <row r="1167" spans="1:17">
      <c r="B1167" s="2405" t="s">
        <v>2061</v>
      </c>
      <c r="C1167" s="2308" t="s">
        <v>3885</v>
      </c>
      <c r="D1167" s="2308"/>
      <c r="E1167" s="2308"/>
      <c r="F1167" s="2308"/>
      <c r="G1167" s="2308"/>
      <c r="H1167" s="2308"/>
      <c r="I1167" s="2308"/>
      <c r="J1167" s="2308"/>
      <c r="K1167" s="2308"/>
      <c r="L1167" s="2308"/>
      <c r="M1167" s="2308"/>
      <c r="O1167" s="2308"/>
      <c r="P1167" s="2308"/>
      <c r="Q1167" s="2308"/>
    </row>
    <row r="1168" spans="1:17" ht="123.75">
      <c r="A1168" s="2410"/>
      <c r="B1168" s="2345" t="s">
        <v>1803</v>
      </c>
      <c r="C1168" s="2308" t="s">
        <v>3753</v>
      </c>
      <c r="E1168" s="2303"/>
      <c r="F1168" s="2303"/>
      <c r="G1168" s="2303"/>
      <c r="H1168" s="2079"/>
      <c r="I1168" s="519" t="s">
        <v>2809</v>
      </c>
      <c r="J1168" s="2411" t="str">
        <f>'Part VIII-Threshold Criteria'!J83</f>
        <v>Monthly birthday celebrations, Monthly themed events, other socials throughout the month. (see note)</v>
      </c>
      <c r="K1168" s="2411"/>
      <c r="L1168" s="2411"/>
      <c r="M1168" s="2411"/>
      <c r="N1168" s="2411"/>
      <c r="O1168" s="2411"/>
      <c r="P1168" s="2411"/>
      <c r="Q1168" s="2411"/>
    </row>
    <row r="1169" spans="1:17" ht="78.75">
      <c r="A1169" s="2410"/>
      <c r="B1169" s="2345" t="s">
        <v>1804</v>
      </c>
      <c r="C1169" s="2308" t="s">
        <v>3883</v>
      </c>
      <c r="E1169" s="2303"/>
      <c r="F1169" s="2303"/>
      <c r="G1169" s="2303"/>
      <c r="H1169" s="2079"/>
      <c r="I1169" s="519" t="s">
        <v>2809</v>
      </c>
      <c r="J1169" s="2411" t="str">
        <f>'Part VIII-Threshold Criteria'!J84</f>
        <v>Technology tutoring, gardening, ID theft protection, etc (see note)</v>
      </c>
      <c r="K1169" s="2411"/>
      <c r="L1169" s="2411"/>
      <c r="M1169" s="2411"/>
      <c r="N1169" s="2411"/>
      <c r="O1169" s="2411"/>
      <c r="P1169" s="2411"/>
      <c r="Q1169" s="2411"/>
    </row>
    <row r="1170" spans="1:17" ht="101.25">
      <c r="A1170" s="2410"/>
      <c r="B1170" s="2345" t="s">
        <v>1805</v>
      </c>
      <c r="C1170" s="2308" t="s">
        <v>3884</v>
      </c>
      <c r="E1170" s="2303"/>
      <c r="F1170" s="2303"/>
      <c r="G1170" s="2303"/>
      <c r="H1170" s="2079"/>
      <c r="I1170" s="519" t="s">
        <v>2809</v>
      </c>
      <c r="J1170" s="2411" t="str">
        <f>'Part VIII-Threshold Criteria'!J85</f>
        <v>Healthy cooking, diabetes management, exercise classes, etc. (see note)</v>
      </c>
      <c r="K1170" s="2411"/>
      <c r="L1170" s="2411"/>
      <c r="M1170" s="2411"/>
      <c r="N1170" s="2411"/>
      <c r="O1170" s="2411"/>
      <c r="P1170" s="2411"/>
      <c r="Q1170" s="2411"/>
    </row>
    <row r="1171" spans="1:17">
      <c r="A1171" s="2410"/>
      <c r="B1171" s="2345" t="s">
        <v>2448</v>
      </c>
      <c r="C1171" s="2308" t="s">
        <v>3557</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3852</v>
      </c>
      <c r="D1172" s="2308"/>
      <c r="E1172" s="2303"/>
      <c r="J1172" s="519"/>
      <c r="K1172" s="519"/>
      <c r="L1172" s="519"/>
      <c r="M1172" s="519"/>
      <c r="N1172" s="519"/>
      <c r="O1172" s="519"/>
      <c r="P1172" s="519"/>
      <c r="Q1172" s="519"/>
    </row>
    <row r="1173" spans="1:17">
      <c r="A1173" s="2410"/>
      <c r="B1173" s="2373"/>
      <c r="C1173" s="504" t="s">
        <v>3886</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409.5">
      <c r="A1175" s="2374" t="str">
        <f>'Part VIII-Threshold Criteria'!A90</f>
        <v>Social and Recreational•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Fiesta)On-site enrichment classes to include:o Technology tutoring, gardening, identity theft prevention, CPR, self defense, Learning about Medicare options, knitting/crocheting, Avoiding Scams, On-site health classes, to include:o Healthy cooking, diabetes management, exercise classes (chair aerobics and more active exercises), walking club, water aerobics (if there is a pool), fall prevention, heart health, Alzheimer’s and Dementia, Elder Abuse, Advanced Care Planning, Stroke Awareness, Arthritis &amp; Joint Pain)</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Tad Scepaniak; Real Property Research Group</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Seven Months; page viii; section 8</v>
      </c>
      <c r="N1180" s="2368"/>
      <c r="O1180" s="2368"/>
      <c r="P1180" s="2079"/>
      <c r="Q1180" s="2372">
        <f>'Part VIII-Threshold Criteria'!Q95</f>
        <v>0</v>
      </c>
    </row>
    <row r="1181" spans="1:17">
      <c r="B1181" s="2373" t="s">
        <v>779</v>
      </c>
      <c r="C1181" s="519" t="s">
        <v>3017</v>
      </c>
      <c r="D1181" s="2337"/>
      <c r="E1181" s="2337"/>
      <c r="F1181" s="2337"/>
      <c r="L1181" s="2345" t="s">
        <v>779</v>
      </c>
      <c r="M1181" s="2412" t="str">
        <f>'Part VIII-Threshold Criteria'!M96</f>
        <v>1.3%; page viii; section 7</v>
      </c>
      <c r="N1181" s="2412"/>
      <c r="O1181" s="2412"/>
      <c r="P1181" s="2413"/>
      <c r="Q1181" s="2372">
        <f>'Part VIII-Threshold Criteria'!Q96</f>
        <v>0</v>
      </c>
    </row>
    <row r="1182" spans="1:17">
      <c r="B1182" s="2373" t="s">
        <v>2193</v>
      </c>
      <c r="C1182" s="519" t="s">
        <v>4047</v>
      </c>
      <c r="D1182" s="2337"/>
      <c r="E1182" s="2337"/>
      <c r="F1182" s="2337"/>
      <c r="L1182" s="2345" t="s">
        <v>2193</v>
      </c>
      <c r="M1182" s="2412" t="str">
        <f>'Part VIII-Threshold Criteria'!M97</f>
        <v>16.3%; page viii; section 6</v>
      </c>
      <c r="N1182" s="2412"/>
      <c r="O1182" s="2412"/>
      <c r="P1182" s="2413"/>
      <c r="Q1182" s="2372">
        <f>'Part VIII-Threshold Criteria'!Q97</f>
        <v>0</v>
      </c>
    </row>
    <row r="1183" spans="1:17" ht="12.75" customHeight="1">
      <c r="B1183" s="2371" t="s">
        <v>1801</v>
      </c>
      <c r="C1183" s="2374" t="s">
        <v>3715</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t="str">
        <f>'Part VIII-Threshold Criteria'!D100</f>
        <v>2015-046</v>
      </c>
      <c r="E1185" s="2368" t="str">
        <f>'Part VIII-Threshold Criteria'!E100</f>
        <v>240 Atlanta St P1</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348.75">
      <c r="A1189" s="2374" t="str">
        <f>'Part VIII-Threshold Criteria'!A104</f>
        <v>Gainesville is a growing economy atracting a mix of new residents and jobs. Retirees are moving in at the same time manufacturing jobs are increasing at a rapid pace. The market study fully supports this development which will provide much needed affordable housing for seniors in Gainesville, GA.</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Yes</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t="str">
        <f>'Part VIII-Threshold Criteria'!M111</f>
        <v>Not Applicable</v>
      </c>
      <c r="N1196" s="2368"/>
      <c r="O1196" s="2368"/>
      <c r="P1196" s="2079"/>
      <c r="Q1196" s="2372">
        <f>'Part VIII-Threshold Criteria'!Q111</f>
        <v>0</v>
      </c>
    </row>
    <row r="1197" spans="1:17" ht="12.75" customHeight="1">
      <c r="A1197" s="2410"/>
      <c r="B1197" s="2369"/>
      <c r="C1197" s="2415" t="s">
        <v>1803</v>
      </c>
      <c r="D1197" s="2337" t="s">
        <v>3728</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3729</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3018</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t="str">
        <f>'Part VIII-Threshold Criteria'!P116</f>
        <v>No</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Yes</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225">
      <c r="A1207" s="2374" t="str">
        <f>'Part VIII-Threshold Criteria'!A122</f>
        <v>Since the ground lease is for a nominal amount there is no requirement for an appraisal. The plan was recently rezoned as a site specific site plan consistent with the current site plan.</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4048</v>
      </c>
      <c r="D1213" s="2337"/>
      <c r="E1213" s="2337"/>
      <c r="F1213" s="2337"/>
      <c r="G1213" s="2337"/>
      <c r="H1213" s="2337"/>
      <c r="I1213" s="2079"/>
      <c r="J1213" s="2079"/>
      <c r="K1213" s="2079"/>
      <c r="L1213" s="2345" t="s">
        <v>2058</v>
      </c>
      <c r="M1213" s="2368" t="str">
        <f>'Part VIII-Threshold Criteria'!M128</f>
        <v>Enercon</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Arpeggio</v>
      </c>
      <c r="N1216" s="2368"/>
      <c r="O1216" s="2368"/>
      <c r="P1216" s="2368"/>
      <c r="Q1216" s="2372">
        <f>'Part VIII-Threshold Criteria'!Q131</f>
        <v>0</v>
      </c>
    </row>
    <row r="1217" spans="2:17">
      <c r="B1217" s="2289"/>
      <c r="C1217" s="2345" t="s">
        <v>1804</v>
      </c>
      <c r="D1217" s="519" t="s">
        <v>3730</v>
      </c>
      <c r="E1217" s="2079"/>
      <c r="F1217" s="2079"/>
      <c r="G1217" s="2079"/>
      <c r="H1217" s="519"/>
      <c r="I1217" s="2079"/>
      <c r="J1217" s="2079"/>
      <c r="K1217" s="2337"/>
      <c r="L1217" s="2303"/>
      <c r="M1217" s="2303"/>
      <c r="O1217" s="2345" t="s">
        <v>1804</v>
      </c>
      <c r="P1217" s="2372">
        <f>'Part VIII-Threshold Criteria'!P132</f>
        <v>67.599999999999994</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78.75">
      <c r="B1219" s="2269"/>
      <c r="C1219" s="2345"/>
      <c r="D1219" s="2337" t="str">
        <f>'Part VIII-Threshold Criteria'!D134</f>
        <v>Athens Highway, Norfolk Southern Rail Road, Amtrak Rail Road</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Yes</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2922</v>
      </c>
      <c r="E1233" s="2337"/>
      <c r="F1233" s="2372" t="str">
        <f>'Part VIII-Threshold Criteria'!F148</f>
        <v>Yes</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2923</v>
      </c>
      <c r="L1234" s="2372" t="str">
        <f>'Part VIII-Threshold Criteria'!L149</f>
        <v>No</v>
      </c>
      <c r="M1234" s="2372">
        <f>'Part VIII-Threshold Criteria'!M149</f>
        <v>0</v>
      </c>
      <c r="N1234" s="2345" t="s">
        <v>2925</v>
      </c>
      <c r="O1234" s="519" t="s">
        <v>1610</v>
      </c>
      <c r="P1234" s="2372" t="str">
        <f>'Part VIII-Threshold Criteria'!P149</f>
        <v>No</v>
      </c>
      <c r="Q1234" s="2372">
        <f>'Part VIII-Threshold Criteria'!Q149</f>
        <v>0</v>
      </c>
    </row>
    <row r="1235" spans="1:17">
      <c r="B1235" s="519"/>
      <c r="C1235" s="2345" t="s">
        <v>2448</v>
      </c>
      <c r="D1235" s="519" t="s">
        <v>2926</v>
      </c>
      <c r="E1235" s="2337"/>
      <c r="F1235" s="2372" t="str">
        <f>'Part VIII-Threshold Criteria'!F150</f>
        <v>No</v>
      </c>
      <c r="G1235" s="2372">
        <f>'Part VIII-Threshold Criteria'!G150</f>
        <v>0</v>
      </c>
      <c r="H1235" s="2345" t="s">
        <v>530</v>
      </c>
      <c r="I1235" s="519" t="s">
        <v>2921</v>
      </c>
      <c r="L1235" s="2372" t="str">
        <f>'Part VIII-Threshold Criteria'!L150</f>
        <v>Yes</v>
      </c>
      <c r="M1235" s="2372">
        <f>'Part VIII-Threshold Criteria'!M150</f>
        <v>0</v>
      </c>
      <c r="O1235" s="2345"/>
    </row>
    <row r="1236" spans="1:17">
      <c r="B1236" s="519"/>
      <c r="C1236" s="2345" t="s">
        <v>3036</v>
      </c>
      <c r="D1236" s="519" t="s">
        <v>2924</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3855</v>
      </c>
      <c r="D1238" s="2337"/>
      <c r="E1238" s="2337"/>
      <c r="F1238" s="2337"/>
      <c r="G1238" s="2337"/>
      <c r="H1238" s="2337"/>
      <c r="I1238" s="2079"/>
      <c r="J1238" s="2079"/>
      <c r="K1238" s="2337"/>
      <c r="L1238" s="2337"/>
      <c r="M1238" s="2303"/>
    </row>
    <row r="1239" spans="1:17">
      <c r="A1239" s="2410"/>
      <c r="B1239" s="2079"/>
      <c r="C1239" s="2345" t="s">
        <v>1803</v>
      </c>
      <c r="D1239" s="519" t="s">
        <v>2927</v>
      </c>
      <c r="E1239" s="2337"/>
      <c r="F1239" s="2337"/>
      <c r="G1239" s="2337"/>
      <c r="H1239" s="2337"/>
      <c r="O1239" s="2345" t="s">
        <v>1803</v>
      </c>
      <c r="P1239" s="2372" t="str">
        <f>'Part VIII-Threshold Criteria'!P154</f>
        <v>Yes</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t="str">
        <f>'Part VIII-Threshold Criteria'!P155</f>
        <v>Yes</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t="str">
        <f>'Part VIII-Threshold Criteria'!P156</f>
        <v>Yes</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3716</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3558</v>
      </c>
      <c r="C1244" s="2374" t="s">
        <v>4460</v>
      </c>
      <c r="D1244" s="2374"/>
      <c r="E1244" s="2374"/>
      <c r="F1244" s="2374"/>
      <c r="G1244" s="2374"/>
      <c r="H1244" s="2374"/>
      <c r="I1244" s="2374"/>
      <c r="J1244" s="2374"/>
      <c r="K1244" s="2374"/>
      <c r="L1244" s="2374"/>
      <c r="M1244" s="2415" t="s">
        <v>3558</v>
      </c>
      <c r="N1244" s="2367" t="str">
        <f>'Part VIII-Threshold Criteria'!N159</f>
        <v>Non-minority</v>
      </c>
      <c r="O1244" s="2367"/>
      <c r="P1244" s="2367" t="str">
        <f>'Part VIII-Threshold Criteria'!P159</f>
        <v>&lt;&lt;Select&gt;&gt;</v>
      </c>
      <c r="Q1244" s="2367"/>
    </row>
    <row r="1245" spans="1:17" ht="33.75">
      <c r="A1245" s="2079"/>
      <c r="B1245" s="2373" t="s">
        <v>640</v>
      </c>
      <c r="C1245" s="2308" t="s">
        <v>1</v>
      </c>
      <c r="D1245" s="2420"/>
      <c r="E1245" s="2420"/>
      <c r="F1245" s="2079"/>
      <c r="G1245" s="2345" t="s">
        <v>640</v>
      </c>
      <c r="H1245" s="2337" t="str">
        <f>'Part VIII-Threshold Criteria'!H160</f>
        <v>7.01, 12.02, 101.03, 13.03, 13.01, 11.01, 8</v>
      </c>
      <c r="I1245" s="2337"/>
      <c r="J1245" s="2337"/>
      <c r="K1245" s="2337"/>
      <c r="L1245" s="2337"/>
      <c r="M1245" s="2337"/>
      <c r="N1245" s="2337"/>
      <c r="O1245" s="2337"/>
      <c r="P1245" s="2337"/>
      <c r="Q1245" s="2372">
        <f>'Part VIII-Threshold Criteria'!Q160</f>
        <v>0</v>
      </c>
    </row>
    <row r="1246" spans="1:17">
      <c r="A1246" s="2079"/>
      <c r="B1246" s="2373" t="s">
        <v>3559</v>
      </c>
      <c r="C1246" s="2308" t="s">
        <v>1469</v>
      </c>
      <c r="D1246" s="2421"/>
      <c r="E1246" s="2421"/>
      <c r="F1246" s="2421"/>
      <c r="G1246" s="2080"/>
      <c r="H1246" s="2080"/>
      <c r="I1246" s="2308"/>
      <c r="J1246" s="2079"/>
      <c r="K1246" s="2080"/>
      <c r="L1246" s="2080"/>
      <c r="M1246" s="2080"/>
      <c r="N1246" s="2079"/>
      <c r="O1246" s="2345" t="s">
        <v>3559</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303.75">
      <c r="A1248" s="2374" t="str">
        <f>'Part VIII-Threshold Criteria'!A163</f>
        <v>7.B. A Lead in Soils report is included as Exhibit E to the Phase I.  
7.C. A Noise Assessment and Attenuation Plan is included in Exhibit F to the Phase I.
7.F. Because this project will be a HUD mixed finance deal, we have completed the HOME/HUD forms.</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4163</v>
      </c>
      <c r="D1254" s="519"/>
      <c r="E1254" s="519"/>
      <c r="F1254" s="519"/>
      <c r="G1254" s="519"/>
      <c r="I1254" s="519" t="s">
        <v>2811</v>
      </c>
      <c r="K1254" s="2422" t="str">
        <f>'Part VIII-Threshold Criteria'!K169</f>
        <v>See note below</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240 ATLANTA STREET PHASE 2, L.P.</v>
      </c>
      <c r="L1256" s="2368"/>
      <c r="M1256" s="2368"/>
      <c r="N1256" s="2368"/>
      <c r="O1256" s="2368"/>
      <c r="P1256" s="2368"/>
      <c r="Q1256" s="2372">
        <f>'Part VIII-Threshold Criteria'!Q171</f>
        <v>0</v>
      </c>
    </row>
    <row r="1257" spans="1:17">
      <c r="A1257" s="2289"/>
      <c r="B1257" s="2373" t="s">
        <v>2193</v>
      </c>
      <c r="C1257" s="2397" t="s">
        <v>3022</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90">
      <c r="A1259" s="2374" t="str">
        <f>'Part VIII-Threshold Criteria'!A174</f>
        <v>The option expires 12 months after notification of tax credit awards for 2016.</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281.25">
      <c r="A1268" s="2374" t="str">
        <f>'Part VIII-Threshold Criteria'!A183</f>
        <v>This is a master planned site. Access to the master site is provided by public right of way. All infrastructure is provided via a commonly owned.  Commitments to provide access easement rights to the project partnership are made in the Option to Lease.</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4461</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3731</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Yes</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No</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146.25">
      <c r="A1284" s="2374" t="str">
        <f>'Part VIII-Threshold Criteria'!A199</f>
        <v>The site plan fully complies with the zoning as passed.  
C - 2:  Zoning and Land Use are one in the same for this site.</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Not Applicable</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46.25">
      <c r="A1292" s="2374" t="str">
        <f>'Part VIII-Threshold Criteria'!A207</f>
        <v>The letter included in tab 11 confirms that Georgia Power has availability and capacity to provide electrical service to the project.</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Gainesville; Dept of Water Services</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Gainesville; Dept of Water Services</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80">
      <c r="A1303" s="2374" t="str">
        <f>'Part VIII-Threshold Criteria'!A218</f>
        <v>The letter included in tab 12 confirms that the City of Gainesville has availability and capacity to provide water and sewer service to the project.</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3061</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3046</v>
      </c>
      <c r="E1310" s="519"/>
      <c r="F1310" s="519"/>
      <c r="G1310" s="2427">
        <f>'Part VIII-Threshold Criteria'!G225</f>
        <v>42456</v>
      </c>
      <c r="H1310" s="2427"/>
      <c r="L1310" s="2337" t="s">
        <v>3851</v>
      </c>
      <c r="M1310" s="2427">
        <f>'Part VIII-Threshold Criteria'!M225</f>
        <v>42456</v>
      </c>
      <c r="N1310" s="2427"/>
    </row>
    <row r="1311" spans="1:17">
      <c r="B1311" s="2373"/>
      <c r="C1311" s="519"/>
      <c r="D1311" s="504" t="s">
        <v>3048</v>
      </c>
      <c r="E1311" s="519"/>
      <c r="F1311" s="519"/>
      <c r="G1311" s="2368" t="str">
        <f>'Part VIII-Threshold Criteria'!G226</f>
        <v>The Times of Gainesville</v>
      </c>
      <c r="H1311" s="2368"/>
      <c r="I1311" s="2368"/>
      <c r="J1311" s="2368"/>
      <c r="K1311" s="2368"/>
      <c r="L1311" s="2337"/>
      <c r="M1311" s="2368" t="str">
        <f>'Part VIII-Threshold Criteria'!M226</f>
        <v>The Times of Gainesville</v>
      </c>
      <c r="N1311" s="2368"/>
      <c r="O1311" s="2368"/>
      <c r="P1311" s="2368"/>
      <c r="Q1311" s="2368"/>
    </row>
    <row r="1312" spans="1:17">
      <c r="B1312" s="2373"/>
      <c r="C1312" s="519"/>
      <c r="D1312" s="519" t="s">
        <v>3047</v>
      </c>
      <c r="E1312" s="2079"/>
      <c r="G1312" s="2427">
        <f>'Part VIII-Threshold Criteria'!G227</f>
        <v>42472</v>
      </c>
      <c r="H1312" s="2427"/>
      <c r="I1312" s="519"/>
      <c r="J1312" s="2079"/>
      <c r="K1312" s="2079"/>
      <c r="L1312" s="2337"/>
      <c r="M1312" s="2427">
        <f>'Part VIII-Threshold Criteria'!M227</f>
        <v>42493</v>
      </c>
      <c r="N1312" s="2427"/>
    </row>
    <row r="1313" spans="1:17">
      <c r="B1313" s="2373" t="s">
        <v>2061</v>
      </c>
      <c r="C1313" s="519" t="s">
        <v>2928</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2929</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3732</v>
      </c>
      <c r="D1315" s="519"/>
      <c r="E1315" s="519"/>
      <c r="F1315" s="519"/>
      <c r="G1315" s="519"/>
      <c r="H1315" s="519"/>
      <c r="I1315" s="2079"/>
      <c r="J1315" s="2079"/>
      <c r="K1315" s="2079"/>
      <c r="L1315" s="2423"/>
      <c r="M1315" s="2423"/>
      <c r="O1315" s="2345" t="s">
        <v>2193</v>
      </c>
      <c r="P1315" s="2372" t="str">
        <f>'Part VIII-Threshold Criteria'!P230</f>
        <v>n/a</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The rezoning of the property allowed the local government and community to receive notice of the project and an opportunity to comment.  Meetings were publicized and held is multiple meetings.  The zoning agenda is included as proof of public meetings.  In addition, both the zoning application that was available to the public before and during the meeting, as well as the presentation that was presented during the meeting are included in tab 13 of this binder.  Specifically, the zoning was publicized for "Low Income multi-family apartments" and not merely to rezone to a certain density.  The public and government both knew and supported every detail of the project.
Furthermore, the housing authority, in an effort to keep the community and city leaders fully informed worked with them both (community and city leaders) to craft the redevelopment plan and gain support for the plan all along the way.  A detailed list of meetings held is included in tab 13.
In addition, a letter from the GIHC Letter of support is also included in tab 13.</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Yes</v>
      </c>
      <c r="Q1324" s="2372">
        <f>'Part VIII-Threshold Criteria'!Q239</f>
        <v>0</v>
      </c>
    </row>
    <row r="1325" spans="1:17">
      <c r="B1325" s="2373" t="s">
        <v>2058</v>
      </c>
      <c r="C1325" s="519" t="s">
        <v>3061</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Room</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4462</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2831</v>
      </c>
      <c r="M1332" s="2079"/>
      <c r="N1332" s="2079"/>
      <c r="O1332" s="2429"/>
      <c r="P1332" s="2204" t="s">
        <v>804</v>
      </c>
      <c r="Q1332" s="2074" t="s">
        <v>805</v>
      </c>
    </row>
    <row r="1333" spans="1:17" ht="56.25">
      <c r="A1333" s="2079"/>
      <c r="B1333" s="2372"/>
      <c r="C1333" s="2345" t="s">
        <v>1803</v>
      </c>
      <c r="D1333" s="2374" t="str">
        <f>'Part VIII-Threshold Criteria'!D248</f>
        <v>Furnished Library (DCA Pre-Approval in tab 14)</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45">
      <c r="A1334" s="2079"/>
      <c r="B1334" s="2372"/>
      <c r="C1334" s="2345" t="s">
        <v>1804</v>
      </c>
      <c r="D1334" s="2374" t="str">
        <f>'Part VIII-Threshold Criteria'!D249</f>
        <v>Furnished Exercise / Fitness Center</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3721</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2918</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2919</v>
      </c>
      <c r="P1343" s="2372" t="str">
        <f>'Part VIII-Threshold Criteria'!P258</f>
        <v>No</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4094</v>
      </c>
      <c r="D1345" s="519"/>
      <c r="E1345" s="519"/>
      <c r="F1345" s="519"/>
      <c r="G1345" s="519"/>
      <c r="H1345" s="519"/>
      <c r="I1345" s="519"/>
      <c r="J1345" s="519"/>
      <c r="K1345" s="2079"/>
      <c r="L1345" s="519"/>
      <c r="M1345" s="519"/>
      <c r="O1345" s="2345" t="s">
        <v>2193</v>
      </c>
      <c r="P1345" s="2372" t="str">
        <f>'Part VIII-Threshold Criteria'!P260</f>
        <v>Agree</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t="str">
        <f>'Part VIII-Threshold Criteria'!P262</f>
        <v>Yes</v>
      </c>
      <c r="Q1347" s="2372">
        <f>'Part VIII-Threshold Criteria'!Q262</f>
        <v>0</v>
      </c>
    </row>
    <row r="1348" spans="1:17">
      <c r="B1348" s="2373"/>
      <c r="C1348" s="2345" t="s">
        <v>1805</v>
      </c>
      <c r="D1348" s="2308" t="s">
        <v>4051</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68.75">
      <c r="A1351" s="2374" t="str">
        <f>'Part VIII-Threshold Criteria'!A266</f>
        <v>Please see tab 14 for DCA's pre-approval of the furnished library. All other amenities will provided in accordance with DCA's amenity guidebook.</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2934</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4463</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56.25">
      <c r="A1363" s="2374" t="str">
        <f>'Part VIII-Threshold Criteria'!A278</f>
        <v>Project is entirely new construction.</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12.5">
      <c r="A1372" s="2374" t="str">
        <f>'Part VIII-Threshold Criteria'!A287</f>
        <v>In order to cover all requirements requested by DCA, several conceptual site plans are included in tab 16.</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2937</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78.75">
      <c r="A1380" s="2374" t="str">
        <f>'Part VIII-Threshold Criteria'!A295</f>
        <v>Project will be Earthcraft Multifamily (or equivalent) certified.</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3733</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3717</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79"/>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4128</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12.5">
      <c r="A1398" s="2374" t="str">
        <f>'Part VIII-Threshold Criteria'!A313</f>
        <v>Project will meet all accessibility requirements and any additional requirements established by DCA.</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4464</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4465</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101.25">
      <c r="A1415" s="2374" t="str">
        <f>'Part VIII-Threshold Criteria'!A330</f>
        <v>The Project Partnership will comply with all of DCA's architectural requirements.</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1938</v>
      </c>
      <c r="P1418" s="2277">
        <f>'Part VIII-Threshold Criteria'!P333</f>
        <v>0</v>
      </c>
      <c r="Q1418" s="2277"/>
    </row>
    <row r="1419" spans="1:17">
      <c r="B1419" s="504" t="s">
        <v>3025</v>
      </c>
      <c r="P1419" s="2372" t="str">
        <f>'Part VIII-Threshold Criteria'!P334</f>
        <v>Yes</v>
      </c>
      <c r="Q1419" s="2372">
        <f>'Part VIII-Threshold Criteria'!Q334</f>
        <v>0</v>
      </c>
    </row>
    <row r="1420" spans="1:17">
      <c r="B1420" s="504" t="s">
        <v>2431</v>
      </c>
      <c r="P1420" s="2372" t="str">
        <f>'Part VIII-Threshold Criteria'!P335</f>
        <v>No</v>
      </c>
      <c r="Q1420" s="2372">
        <f>'Part VIII-Threshold Criteria'!Q335</f>
        <v>0</v>
      </c>
    </row>
    <row r="1421" spans="1:17">
      <c r="B1421" s="504" t="s">
        <v>3026</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101.25">
      <c r="A1424" s="2374" t="str">
        <f>'Part VIII-Threshold Criteria'!A339</f>
        <v>A pre-qualification letter is contained in tab 20, listing the project team as Qualified - Complete.</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4087</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4088</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3734</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12.5">
      <c r="A1432" s="2374" t="str">
        <f>'Part VIII-Threshold Criteria'!A347</f>
        <v>The project partnership is qualified based on the compliance history of Walton Communities.</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Gainesville Housing Corporation</v>
      </c>
      <c r="L1437" s="2368"/>
      <c r="M1437" s="2368"/>
      <c r="N1437" s="2368"/>
      <c r="O1437" s="2368"/>
      <c r="P1437" s="2368"/>
      <c r="Q1437" s="2372">
        <f>'Part VIII-Threshold Criteria'!Q352</f>
        <v>0</v>
      </c>
    </row>
    <row r="1438" spans="1:17" ht="12.75" customHeight="1">
      <c r="B1438" s="2371" t="s">
        <v>2061</v>
      </c>
      <c r="C1438" s="2337" t="s">
        <v>3889</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3890</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3891</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Yes</v>
      </c>
      <c r="Q1442" s="2372">
        <f>'Part VIII-Threshold Criteria'!Q357</f>
        <v>0</v>
      </c>
    </row>
    <row r="1443" spans="1:17">
      <c r="A1443" s="2414"/>
      <c r="B1443" s="2371"/>
      <c r="C1443" s="2416" t="s">
        <v>1803</v>
      </c>
      <c r="D1443" s="2423" t="s">
        <v>3892</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3893</v>
      </c>
      <c r="D1444" s="2374"/>
      <c r="E1444" s="2374"/>
      <c r="F1444" s="2374"/>
      <c r="G1444" s="2374"/>
      <c r="H1444" s="2374"/>
      <c r="I1444" s="2374"/>
      <c r="J1444" s="2374"/>
      <c r="K1444" s="2374"/>
      <c r="L1444" s="2374"/>
      <c r="M1444" s="2374"/>
      <c r="N1444" s="2374"/>
      <c r="O1444" s="2415" t="s">
        <v>2021</v>
      </c>
      <c r="P1444" s="2372" t="str">
        <f>'Part VIII-Threshold Criteria'!P359</f>
        <v>Yes</v>
      </c>
      <c r="Q1444" s="2372">
        <f>'Part VIII-Threshold Criteria'!Q359</f>
        <v>0</v>
      </c>
    </row>
    <row r="1445" spans="1:17" ht="12.75" customHeight="1">
      <c r="B1445" s="2371" t="s">
        <v>3558</v>
      </c>
      <c r="C1445" s="2382" t="s">
        <v>3894</v>
      </c>
      <c r="D1445" s="2382"/>
      <c r="E1445" s="2382"/>
      <c r="F1445" s="2382"/>
      <c r="G1445" s="2382"/>
      <c r="H1445" s="2382"/>
      <c r="I1445" s="2382"/>
      <c r="J1445" s="2382"/>
      <c r="K1445" s="2382"/>
      <c r="L1445" s="2382"/>
      <c r="M1445" s="2382"/>
      <c r="N1445" s="2382"/>
      <c r="O1445" s="2415" t="s">
        <v>3558</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46.25">
      <c r="A1447" s="2374" t="str">
        <f>'Part VIII-Threshold Criteria'!A362</f>
        <v>See section 3.2 and 4.1 of the JV Agreement in tab 22 for the ownership and developer fee share of the non-profit partner.</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3718</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3735</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4148</v>
      </c>
      <c r="G1455" s="2303"/>
      <c r="H1455" s="2303"/>
      <c r="I1455" s="2303"/>
      <c r="J1455" s="2308" t="s">
        <v>4149</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45">
      <c r="A1457" s="2374" t="str">
        <f>'Part VIII-Threshold Criteria'!A372</f>
        <v>Gainesville Housing Authority is not a CHDO.</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3895</v>
      </c>
      <c r="D1463" s="2374"/>
      <c r="E1463" s="2374"/>
      <c r="O1463" s="2345" t="s">
        <v>2061</v>
      </c>
      <c r="P1463" s="2372" t="str">
        <f>'Part VIII-Threshold Criteria'!P378</f>
        <v>No</v>
      </c>
      <c r="Q1463" s="2372">
        <f>'Part VIII-Threshold Criteria'!Q378</f>
        <v>0</v>
      </c>
    </row>
    <row r="1464" spans="1:17">
      <c r="A1464" s="2410"/>
      <c r="B1464" s="2373" t="s">
        <v>779</v>
      </c>
      <c r="C1464" s="519" t="s">
        <v>3896</v>
      </c>
      <c r="D1464" s="2374"/>
      <c r="E1464" s="2374"/>
      <c r="O1464" s="2345" t="s">
        <v>779</v>
      </c>
      <c r="P1464" s="2372" t="str">
        <f>'Part VIII-Threshold Criteria'!P379</f>
        <v>Yes</v>
      </c>
      <c r="Q1464" s="2372">
        <f>'Part VIII-Threshold Criteria'!Q379</f>
        <v>0</v>
      </c>
    </row>
    <row r="1465" spans="1:17">
      <c r="A1465" s="2410"/>
      <c r="B1465" s="2373" t="s">
        <v>2193</v>
      </c>
      <c r="C1465" s="519" t="s">
        <v>3897</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67.5">
      <c r="A1468" s="2374" t="str">
        <f>'Part VIII-Threshold Criteria'!A383</f>
        <v>The non-profit opinion letter can be found in tab 24.</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Yes</v>
      </c>
      <c r="Q1473" s="2372">
        <f>'Part VIII-Threshold Criteria'!Q388</f>
        <v>0</v>
      </c>
    </row>
    <row r="1474" spans="1:17">
      <c r="A1474" s="2079"/>
      <c r="B1474" s="2373" t="s">
        <v>2061</v>
      </c>
      <c r="C1474" s="519" t="s">
        <v>3739</v>
      </c>
      <c r="D1474" s="2079"/>
      <c r="E1474" s="2079"/>
      <c r="F1474" s="2079"/>
      <c r="G1474" s="2079"/>
      <c r="H1474" s="2079"/>
      <c r="I1474" s="2079"/>
      <c r="J1474" s="2079"/>
      <c r="K1474" s="2079"/>
      <c r="L1474" s="2079"/>
      <c r="M1474" s="2079"/>
      <c r="N1474" s="2079"/>
      <c r="O1474" s="2345" t="s">
        <v>1502</v>
      </c>
      <c r="P1474" s="2372" t="str">
        <f>'Part VIII-Threshold Criteria'!P389</f>
        <v>No</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3736</v>
      </c>
      <c r="E1476" s="519"/>
      <c r="F1476" s="519"/>
      <c r="G1476" s="519"/>
      <c r="H1476" s="519"/>
      <c r="I1476" s="519"/>
      <c r="J1476" s="519"/>
      <c r="K1476" s="519"/>
      <c r="L1476" s="519"/>
      <c r="M1476" s="519"/>
      <c r="N1476" s="2079"/>
      <c r="O1476" s="2345" t="s">
        <v>1804</v>
      </c>
      <c r="P1476" s="2372" t="str">
        <f>'Part VIII-Threshold Criteria'!P391</f>
        <v>No</v>
      </c>
      <c r="Q1476" s="2372">
        <f>'Part VIII-Threshold Criteria'!Q391</f>
        <v>0</v>
      </c>
    </row>
    <row r="1477" spans="1:17">
      <c r="A1477" s="2079"/>
      <c r="B1477" s="2373"/>
      <c r="C1477" s="519" t="s">
        <v>3856</v>
      </c>
      <c r="D1477" s="519" t="s">
        <v>3857</v>
      </c>
      <c r="E1477" s="519"/>
      <c r="F1477" s="519"/>
      <c r="G1477" s="519"/>
      <c r="H1477" s="519"/>
      <c r="I1477" s="519"/>
      <c r="J1477" s="519"/>
      <c r="K1477" s="519"/>
      <c r="L1477" s="519"/>
      <c r="M1477" s="519"/>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t="str">
        <f>'Part VIII-Threshold Criteria'!P393</f>
        <v>Yes</v>
      </c>
      <c r="Q1478" s="2372">
        <f>'Part VIII-Threshold Criteria'!Q393</f>
        <v>0</v>
      </c>
    </row>
    <row r="1479" spans="1:17">
      <c r="A1479" s="2079"/>
      <c r="B1479" s="2373" t="s">
        <v>2193</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4</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78</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48</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t="str">
        <f>'Part VIII-Threshold Criteria'!G399</f>
        <v>Yes</v>
      </c>
      <c r="H1484" s="2372">
        <f>'Part VIII-Threshold Criteria'!H399</f>
        <v>0</v>
      </c>
      <c r="J1484" s="504" t="s">
        <v>1225</v>
      </c>
      <c r="K1484" s="2308"/>
      <c r="N1484" s="2372" t="str">
        <f>'Part VIII-Threshold Criteria'!N399</f>
        <v>Yes</v>
      </c>
      <c r="O1484" s="2372">
        <f>'Part VIII-Threshold Criteria'!O399</f>
        <v>0</v>
      </c>
    </row>
    <row r="1485" spans="1:17">
      <c r="A1485" s="2079"/>
      <c r="B1485" s="2373"/>
      <c r="C1485" s="504" t="s">
        <v>1224</v>
      </c>
      <c r="D1485" s="2308"/>
      <c r="E1485" s="2308"/>
      <c r="F1485" s="2308"/>
      <c r="G1485" s="2372" t="str">
        <f>'Part VIII-Threshold Criteria'!G400</f>
        <v>Yes</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409.5">
      <c r="A1487" s="2374" t="str">
        <f>'Part VIII-Threshold Criteria'!A402</f>
        <v>The numbers provided in 25.D. above are as of April 30, 2015. All residents, including those who are rent burndened, will have the opportunity to receive a relocation voucher or remain in public housing, therefore, none of the residents will actually be rent burdened as they will only pay 30% of their income as rent.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1938</v>
      </c>
      <c r="P1491" s="2277">
        <f>'Part VIII-Threshold Criteria'!P406</f>
        <v>0</v>
      </c>
      <c r="Q1491" s="2277"/>
    </row>
    <row r="1492" spans="1:17">
      <c r="A1492" s="2249"/>
      <c r="B1492" s="2368" t="s">
        <v>3560</v>
      </c>
      <c r="C1492" s="2078"/>
      <c r="D1492" s="2368"/>
      <c r="E1492" s="2377"/>
      <c r="F1492" s="2377"/>
      <c r="G1492" s="2377"/>
      <c r="H1492" s="2377"/>
    </row>
    <row r="1493" spans="1:17" ht="12.75" customHeight="1">
      <c r="A1493" s="2414"/>
      <c r="B1493" s="2371" t="s">
        <v>2058</v>
      </c>
      <c r="C1493" s="2374" t="s">
        <v>3561</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3737</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3738</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3562</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3563</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3564</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3740</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90">
      <c r="A1501" s="2374" t="str">
        <f>'Part VIII-Threshold Criteria'!A416</f>
        <v>We will incorporate these concepts into our marketing and leasing practices.</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292.5">
      <c r="A1507" s="2374" t="str">
        <f>'Part VIII-Threshold Criteria'!A422</f>
        <v>This site is the redevelopment of a public housing site and is utilizing some of the pre-existing infrastructure. In addition, we are leveraging substantial local government resources to help implement the governments place based strategy.</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2016-032 240 Atlanta Street Development Phase 2,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63</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2902</v>
      </c>
      <c r="C1525" s="2078"/>
      <c r="D1525" s="2078"/>
      <c r="E1525" s="2078"/>
      <c r="F1525" s="2078"/>
      <c r="G1525" s="2079"/>
      <c r="H1525" s="2336" t="s">
        <v>4466</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4065</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4467</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3905</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3904</v>
      </c>
      <c r="B1532" s="2368"/>
      <c r="C1532" s="2368"/>
      <c r="D1532" s="2368"/>
      <c r="E1532" s="2345" t="s">
        <v>527</v>
      </c>
      <c r="F1532" s="2258">
        <f>SUM(F1533:F1544)</f>
        <v>0</v>
      </c>
      <c r="G1532" s="2411" t="s">
        <v>3898</v>
      </c>
      <c r="H1532" s="2411"/>
      <c r="I1532" s="2411"/>
      <c r="J1532" s="2258">
        <f>SUM(J1533:J1544)</f>
        <v>0</v>
      </c>
      <c r="K1532" s="2368" t="s">
        <v>3565</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3055</v>
      </c>
      <c r="K1535" s="2151">
        <f>'Part IX A-Scoring Criteria'!K18</f>
        <v>3</v>
      </c>
      <c r="L1535" s="2151"/>
      <c r="M1535" s="2151"/>
      <c r="N1535" s="2151"/>
      <c r="O1535" s="2433" t="s">
        <v>3055</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3055</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3900</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3901</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3902</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3903</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3906</v>
      </c>
      <c r="C1546" s="2443"/>
      <c r="D1546" s="2443"/>
      <c r="E1546" s="519"/>
      <c r="F1546" s="2443"/>
      <c r="G1546" s="2330"/>
      <c r="H1546" s="519"/>
      <c r="I1546" s="2452" t="s">
        <v>3765</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3907</v>
      </c>
      <c r="I1548" s="2220"/>
      <c r="J1548" s="2454">
        <f>'Part VI-Revenues &amp; Expenses'!$O$60</f>
        <v>90</v>
      </c>
      <c r="K1548" s="2456"/>
      <c r="L1548" s="2443"/>
      <c r="M1548" s="2258"/>
      <c r="N1548" s="2080"/>
      <c r="O1548" s="2443"/>
      <c r="P1548" s="2443"/>
      <c r="Q1548" s="2080"/>
      <c r="R1548" s="2453"/>
      <c r="S1548" s="2443"/>
    </row>
    <row r="1549" spans="1:19" ht="15" customHeight="1">
      <c r="A1549" s="2289"/>
      <c r="B1549" s="2337" t="s">
        <v>3908</v>
      </c>
      <c r="C1549" s="2337"/>
      <c r="D1549" s="2337"/>
      <c r="E1549" s="2337"/>
      <c r="F1549" s="2337"/>
      <c r="G1549" s="2411"/>
      <c r="H1549" s="2457" t="s">
        <v>3909</v>
      </c>
      <c r="I1549" s="2457" t="s">
        <v>3910</v>
      </c>
      <c r="J1549" s="2411"/>
      <c r="K1549" s="519" t="s">
        <v>3567</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4066</v>
      </c>
      <c r="I1550" s="2337"/>
      <c r="J1550" s="2459"/>
      <c r="K1550" s="2457" t="s">
        <v>3909</v>
      </c>
      <c r="L1550" s="2457" t="s">
        <v>3910</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3566</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3528</v>
      </c>
      <c r="B1552" s="2463" t="s">
        <v>2064</v>
      </c>
      <c r="C1552" s="2464">
        <v>0.2</v>
      </c>
      <c r="D1552" s="2397" t="s">
        <v>3566</v>
      </c>
      <c r="E1552" s="2465"/>
      <c r="F1552" s="2465"/>
      <c r="G1552" s="2465"/>
      <c r="H1552" s="2466">
        <f>'Part IX A-Scoring Criteria'!H35</f>
        <v>25</v>
      </c>
      <c r="I1552" s="2466">
        <f>'Part IX A-Scoring Criteria'!I35</f>
        <v>0</v>
      </c>
      <c r="J1552" s="2465"/>
      <c r="K1552" s="2467">
        <f>IF(OR('Part VI-Revenues &amp; Expenses'!$O$60="", 'Part VI-Revenues &amp; Expenses'!$O$60=0),0,H1552/'Part VI-Revenues &amp; Expenses'!$O$60)</f>
        <v>0.27777777777777779</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4468</v>
      </c>
      <c r="C1554" s="2465"/>
      <c r="D1554" s="2465"/>
      <c r="E1554" s="2426"/>
      <c r="F1554" s="2465"/>
      <c r="G1554" s="2465"/>
      <c r="H1554" s="2337" t="s">
        <v>4071</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4070</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3528</v>
      </c>
      <c r="B1556" s="2463" t="s">
        <v>2064</v>
      </c>
      <c r="C1556" s="2468" t="s">
        <v>4073</v>
      </c>
      <c r="D1556" s="2465"/>
      <c r="E1556" s="2469">
        <v>3</v>
      </c>
      <c r="F1556" s="2468" t="s">
        <v>4072</v>
      </c>
      <c r="G1556" s="2465"/>
      <c r="H1556" s="2465"/>
      <c r="I1556" s="2435" t="s">
        <v>4074</v>
      </c>
      <c r="J1556" s="2465"/>
      <c r="K1556" s="2470">
        <f>O1630</f>
        <v>0</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3629</v>
      </c>
      <c r="C1563" s="2078"/>
      <c r="D1563" s="2078"/>
      <c r="E1563" s="2443"/>
      <c r="F1563" s="2074" t="s">
        <v>3650</v>
      </c>
      <c r="G1563" s="2443"/>
      <c r="H1563" s="2068"/>
      <c r="I1563" s="2074" t="s">
        <v>3651</v>
      </c>
      <c r="J1563" s="2443"/>
      <c r="K1563" s="2443"/>
      <c r="L1563" s="2474" t="s">
        <v>3630</v>
      </c>
      <c r="M1563" s="2080">
        <v>1</v>
      </c>
      <c r="N1563" s="2345" t="s">
        <v>2061</v>
      </c>
      <c r="O1563" s="2439">
        <f>'Part IX A-Scoring Criteria'!O46</f>
        <v>1</v>
      </c>
      <c r="P1563" s="2439">
        <f>'Part IX A-Scoring Criteria'!P46</f>
        <v>0</v>
      </c>
      <c r="Q1563" s="2312" t="s">
        <v>2810</v>
      </c>
      <c r="R1563" s="2453"/>
      <c r="S1563" s="2443"/>
    </row>
    <row r="1564" spans="1:19" ht="15" customHeight="1">
      <c r="A1564" s="2289"/>
      <c r="B1564" s="2220" t="s">
        <v>4075</v>
      </c>
      <c r="C1564" s="2220"/>
      <c r="D1564" s="2220"/>
      <c r="E1564" s="2220"/>
      <c r="F1564" s="2074" t="str">
        <f>'Part IX A-Scoring Criteria'!F47</f>
        <v>Hospital</v>
      </c>
      <c r="G1564" s="2074"/>
      <c r="H1564" s="2074"/>
      <c r="I1564" s="2074" t="str">
        <f>'Part IX A-Scoring Criteria'!I47</f>
        <v>Northeast GA Health System</v>
      </c>
      <c r="J1564" s="2074"/>
      <c r="K1564" s="2074"/>
      <c r="L1564" s="2475">
        <f>'Part IX A-Scoring Criteria'!L47</f>
        <v>0.8</v>
      </c>
      <c r="M1564" s="2080"/>
      <c r="N1564" s="2473"/>
      <c r="O1564" s="2473"/>
      <c r="P1564" s="2473"/>
      <c r="Q1564" s="2312"/>
      <c r="R1564" s="2453"/>
      <c r="S1564" s="2443"/>
    </row>
    <row r="1565" spans="1:19" ht="15">
      <c r="A1565" s="2289"/>
      <c r="B1565" s="2220"/>
      <c r="C1565" s="2220"/>
      <c r="D1565" s="2220"/>
      <c r="E1565" s="2220"/>
      <c r="F1565" s="2074" t="str">
        <f>'Part IX A-Scoring Criteria'!F48</f>
        <v>Traditional town square</v>
      </c>
      <c r="G1565" s="2074"/>
      <c r="H1565" s="2074"/>
      <c r="I1565" s="2074" t="str">
        <f>'Part IX A-Scoring Criteria'!I48</f>
        <v>Hall County Govt Admin - Courthouse Annex</v>
      </c>
      <c r="J1565" s="2074"/>
      <c r="K1565" s="2074"/>
      <c r="L1565" s="2475">
        <f>'Part IX A-Scoring Criteria'!L48</f>
        <v>0.6</v>
      </c>
      <c r="M1565" s="2080"/>
      <c r="N1565" s="2473"/>
      <c r="O1565" s="2473"/>
      <c r="P1565" s="2473"/>
      <c r="Q1565" s="2312"/>
      <c r="R1565" s="2453"/>
      <c r="S1565" s="2443"/>
    </row>
    <row r="1566" spans="1:19" ht="15">
      <c r="A1566" s="2289"/>
      <c r="B1566" s="2220"/>
      <c r="C1566" s="2220"/>
      <c r="D1566" s="2220"/>
      <c r="E1566" s="2220"/>
      <c r="F1566" s="2074" t="str">
        <f>'Part IX A-Scoring Criteria'!F49</f>
        <v>Federally insured banking institutions</v>
      </c>
      <c r="G1566" s="2074"/>
      <c r="H1566" s="2074"/>
      <c r="I1566" s="2074" t="str">
        <f>'Part IX A-Scoring Criteria'!I49</f>
        <v>Chattahoochee Bank of Georgia</v>
      </c>
      <c r="J1566" s="2074"/>
      <c r="K1566" s="2074"/>
      <c r="L1566" s="2475">
        <f>'Part IX A-Scoring Criteria'!L49</f>
        <v>0.2</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409.5">
      <c r="A1569" s="2374" t="str">
        <f>'Part IX A-Scoring Criteria'!A52</f>
        <v>The site is an intown infill location surrounded by many desirable sites including banks, churches, parks, the downtown, the hospital, a school, etc.
All desirable site distances are measured from the main pedestrian entrance to the site.  In addition, we have measured distances on the conceptual site plan of the on site sidewalks from the main entrance to the community center for this project to the public ROW.  Regardless of direction (to the front or rear of the property), the added distance would not change the qualification any desirable site.</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4</v>
      </c>
      <c r="P1573" s="2439">
        <f>'Part IX A-Scoring Criteria'!P56</f>
        <v>0</v>
      </c>
      <c r="Q1573" s="2258" t="s">
        <v>456</v>
      </c>
      <c r="R1573" s="2443"/>
      <c r="S1573" s="2443"/>
    </row>
    <row r="1574" spans="1:19" ht="15">
      <c r="A1574" s="2440"/>
      <c r="B1574" s="519" t="s">
        <v>4469</v>
      </c>
      <c r="C1574" s="2443"/>
      <c r="D1574" s="2472"/>
      <c r="E1574" s="2443"/>
      <c r="F1574" s="2443"/>
      <c r="G1574" s="2443"/>
      <c r="H1574" s="2452"/>
      <c r="I1574" s="2336"/>
      <c r="J1574" s="2261"/>
      <c r="K1574" s="2261"/>
      <c r="L1574" s="2443"/>
      <c r="M1574" s="2258"/>
      <c r="N1574" s="2345"/>
      <c r="O1574" s="2477" t="s">
        <v>3918</v>
      </c>
      <c r="P1574" s="2477" t="s">
        <v>3919</v>
      </c>
      <c r="Q1574" s="2258"/>
      <c r="R1574" s="2443"/>
      <c r="S1574" s="2443"/>
    </row>
    <row r="1575" spans="1:19" ht="15">
      <c r="A1575" s="2440"/>
      <c r="B1575" s="2478" t="s">
        <v>2062</v>
      </c>
      <c r="C1575" s="504" t="s">
        <v>3912</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3913</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3914</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3915</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3916</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3917</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4470</v>
      </c>
      <c r="C1583" s="2181"/>
      <c r="D1583" s="2181"/>
      <c r="E1583" s="2181"/>
      <c r="F1583" s="2181"/>
      <c r="G1583" s="2181"/>
      <c r="H1583" s="2181"/>
      <c r="I1583" s="2220" t="s">
        <v>4471</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4472</v>
      </c>
      <c r="C1584" s="2483"/>
      <c r="D1584" s="2483"/>
      <c r="E1584" s="2483"/>
      <c r="F1584" s="2483"/>
      <c r="G1584" s="2483"/>
      <c r="H1584" s="2483"/>
      <c r="I1584" s="1306" t="str">
        <f>'Part IX A-Scoring Criteria'!I67</f>
        <v>Hall Area Transit</v>
      </c>
      <c r="J1584" s="1306"/>
      <c r="K1584" s="1306"/>
      <c r="L1584" s="2484">
        <f>'Part IX A-Scoring Criteria'!L67</f>
        <v>7705033333</v>
      </c>
      <c r="M1584" s="2480">
        <v>4</v>
      </c>
      <c r="N1584" s="2415" t="s">
        <v>2061</v>
      </c>
      <c r="O1584" s="2439">
        <f>'Part IX A-Scoring Criteria'!O67</f>
        <v>4</v>
      </c>
      <c r="P1584" s="2439">
        <f>'Part IX A-Scoring Criteria'!P67</f>
        <v>0</v>
      </c>
      <c r="Q1584" s="2481" t="str">
        <f>IF(OR($O1584=$M1584,$O1584=0,$O1584=""),"","* * Check Score! * *")</f>
        <v/>
      </c>
      <c r="R1584" s="2312" t="s">
        <v>2810</v>
      </c>
      <c r="S1584" s="2482"/>
    </row>
    <row r="1585" spans="1:19" ht="15" customHeight="1">
      <c r="A1585" s="2289" t="s">
        <v>779</v>
      </c>
      <c r="B1585" s="2261" t="s">
        <v>4473</v>
      </c>
      <c r="C1585" s="2483"/>
      <c r="D1585" s="2483"/>
      <c r="E1585" s="2483"/>
      <c r="F1585" s="2483"/>
      <c r="G1585" s="2483"/>
      <c r="H1585" s="2483"/>
      <c r="I1585" s="2151" t="str">
        <f>'Part IX A-Scoring Criteria'!I68</f>
        <v>http://www.gainesville.org/hall-area-transit</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4474</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4475</v>
      </c>
      <c r="C1587" s="2443"/>
      <c r="D1587" s="2443"/>
      <c r="E1587" s="2472"/>
      <c r="F1587" s="2443"/>
      <c r="G1587" s="2443"/>
      <c r="H1587" s="2443"/>
      <c r="I1587" s="2151" t="str">
        <f>'Part IX A-Scoring Criteria'!I70</f>
        <v>http://www.gainesville.org/fullpanel/uploads/files/redrabbitroutes-july182012.pdf</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4476</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2810</v>
      </c>
      <c r="S1589" s="2458"/>
    </row>
    <row r="1590" spans="1:19" ht="15">
      <c r="A1590" s="519" t="s">
        <v>4164</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409.5">
      <c r="A1592" s="2374" t="str">
        <f>'Part IX A-Scoring Criteria'!A75</f>
        <v>Hall Area Transit's main office is located at 687 Main St SW, Gainesville, GA 30501, which is less than 1 mile from the site and easily accessible for pedestrians. This is the main office for the transit system and the point from which all bus routes start and stop.
The route schedules are PDF documents which can be found at the bottom of the page referenced above (http://www.gainesville.org/hall-area-transit). We are listing them here for your convenience:
Route 10: http://www.gainesville.org/fullpanel/uploads/files/gvilleconnection-route10-july15.pdf
Route 11: http://www.gainesville.org/fullpanel/uploads/files/gvilleconnection-route11-july15.pdf
Route 20: http://www.gainesville.org/fullpanel/uploads/files/gvilleconnection-route20-july15.pdf
Route 30: http://www.gainesville.org/fullpanel/uploads/files/gvilleconnection-route30-july15.pdf
Route 40: http://www.gainesville.org/fullpanel/uploads/files/gvilleconnection-route40-july15.pdf
Route 41: http://www.gainesville.org/fullpanel/uploads/files/gvilleconnection-route41-july15.pdf
Route 50: http://www.gainesville.org/fullpanel/uploads/files/gvilleconnection-route50-july15.pdf
On each route map, the Hall Area Transit office is listed as the Gainesville Connection Transfer Center on the route schedule in the bottom left of the route map.
All desirable site distances are measured from the main pedestrian entrance to the site.  In addition, we have measured distances on the conceptual site plan of the on site sidewalks from the main entrance to the community center for this project to the public ROW.  Regardless of direction (to the front or rear of the property), the added distance would not change the qualification of the transit hub.  Also, routes have been provided in tab 28 from the front and the rear of the property.  In either case, the distance to the travel hub is less than a mile.</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3652</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3743</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4477</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Flexible</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4478</v>
      </c>
      <c r="C1607" s="2496"/>
      <c r="D1607" s="2496"/>
      <c r="E1607" s="2496"/>
      <c r="F1607" s="2497"/>
      <c r="G1607" s="551" t="s">
        <v>4077</v>
      </c>
      <c r="H1607" s="2498">
        <f>'Part IX A-Scoring Criteria'!H90</f>
        <v>42474</v>
      </c>
      <c r="I1607" s="2499" t="str">
        <f>'Part IX A-Scoring Criteria'!I90</f>
        <v>Corbin Adams</v>
      </c>
      <c r="J1607" s="2499"/>
      <c r="K1607" s="2499" t="str">
        <f>'Part IX A-Scoring Criteria'!K90</f>
        <v>Walton Communities</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4077</v>
      </c>
      <c r="H1608" s="2498">
        <f>'Part IX A-Scoring Criteria'!H91</f>
        <v>0</v>
      </c>
      <c r="I1608" s="2499">
        <f>'Part IX A-Scoring Criteria'!I91</f>
        <v>0</v>
      </c>
      <c r="J1608" s="2499"/>
      <c r="K1608" s="2499">
        <f>'Part IX A-Scoring Criteria'!K91</f>
        <v>0</v>
      </c>
      <c r="L1608" s="2499"/>
      <c r="M1608" s="2499"/>
    </row>
    <row r="1609" spans="1:19" s="2489" customFormat="1" ht="12.6" customHeight="1">
      <c r="A1609" s="2488"/>
      <c r="B1609" s="2504" t="s">
        <v>4171</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4479</v>
      </c>
      <c r="G1610" s="2494"/>
      <c r="H1610" s="2472"/>
      <c r="I1610" s="2312" t="s">
        <v>4178</v>
      </c>
      <c r="J1610" s="2505">
        <f>'Part IX A-Scoring Criteria'!J93</f>
        <v>0</v>
      </c>
      <c r="K1610" s="2312" t="s">
        <v>4176</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4169</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4170</v>
      </c>
      <c r="D1615" s="2514"/>
      <c r="E1615" s="2514"/>
      <c r="F1615" s="2514"/>
      <c r="G1615" s="2514"/>
      <c r="H1615" s="2397"/>
      <c r="I1615" s="2397"/>
      <c r="J1615" s="2397"/>
      <c r="K1615" s="2397"/>
      <c r="L1615" s="2505">
        <f>'Part IX A-Scoring Criteria'!L98</f>
        <v>0</v>
      </c>
      <c r="M1615" s="2294"/>
    </row>
    <row r="1616" spans="1:19" s="546" customFormat="1" ht="11.45" customHeight="1">
      <c r="B1616" s="2510" t="s">
        <v>2064</v>
      </c>
      <c r="C1616" s="2511" t="s">
        <v>3922</v>
      </c>
      <c r="E1616" s="1304"/>
      <c r="H1616" s="877"/>
      <c r="I1616" s="877"/>
      <c r="J1616" s="877"/>
      <c r="K1616" s="877"/>
      <c r="L1616" s="877"/>
      <c r="M1616" s="2485"/>
    </row>
    <row r="1617" spans="1:19" s="546" customFormat="1" ht="11.25" customHeight="1">
      <c r="A1617" s="2512" t="str">
        <f>IF(AND(O1617="",$I$87="LEED-ND"), "X","")</f>
        <v/>
      </c>
      <c r="B1617" s="2515" t="s">
        <v>2520</v>
      </c>
      <c r="C1617" s="2514" t="s">
        <v>4175</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4172</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2840</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2837</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2838</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135">
      <c r="A1626" s="2374" t="str">
        <f>'Part IX A-Scoring Criteria'!A109</f>
        <v>The Project will be built to the Earthcraft Multifamily standard consistent with other projects developed by the applicant.</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3923</v>
      </c>
      <c r="I1630" s="2458"/>
      <c r="J1630" s="2458"/>
      <c r="K1630" s="2458"/>
      <c r="L1630" s="2458"/>
      <c r="M1630" s="2258">
        <v>8</v>
      </c>
      <c r="N1630" s="2080"/>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3926</v>
      </c>
      <c r="B1632" s="2277" t="s">
        <v>3924</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2912</v>
      </c>
      <c r="C1633" s="2259"/>
      <c r="D1633" s="2259"/>
      <c r="E1633" s="2277" t="str">
        <f>'Part I-Project Information'!$H$90</f>
        <v>Flexible</v>
      </c>
      <c r="O1633" s="2425" t="s">
        <v>2597</v>
      </c>
      <c r="P1633" s="2425" t="s">
        <v>2597</v>
      </c>
    </row>
    <row r="1634" spans="1:19" ht="12.75" customHeight="1">
      <c r="A1634" s="2519"/>
      <c r="B1634" s="2520" t="s">
        <v>2062</v>
      </c>
      <c r="C1634" s="504" t="s">
        <v>2785</v>
      </c>
      <c r="M1634" s="2253"/>
      <c r="O1634" s="2372" t="str">
        <f>'Part IX A-Scoring Criteria'!O117</f>
        <v>N/a</v>
      </c>
      <c r="P1634" s="2372">
        <f>'Part IX A-Scoring Criteria'!P117</f>
        <v>0</v>
      </c>
      <c r="Q1634" s="2521" t="str">
        <f>IF(AND(O1634="Yes",O1637="Yes"),"Only 1 or 4 can be 'Yes'!","")</f>
        <v/>
      </c>
      <c r="R1634" s="2521"/>
    </row>
    <row r="1635" spans="1:19" ht="12.75" customHeight="1">
      <c r="B1635" s="2520" t="s">
        <v>2064</v>
      </c>
      <c r="C1635" s="504" t="s">
        <v>2853</v>
      </c>
      <c r="D1635" s="2522">
        <f>'Part IX A-Scoring Criteria'!D118</f>
        <v>0</v>
      </c>
      <c r="E1635" s="504" t="s">
        <v>2854</v>
      </c>
      <c r="G1635" s="504" t="s">
        <v>2474</v>
      </c>
      <c r="K1635" s="519" t="s">
        <v>2852</v>
      </c>
      <c r="L1635" s="2523">
        <f>'Part IX A-Scoring Criteria'!L118</f>
        <v>0</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2844</v>
      </c>
      <c r="L1636" s="2468">
        <f>'Part IX A-Scoring Criteria'!L119</f>
        <v>0</v>
      </c>
      <c r="N1636" s="2253"/>
      <c r="O1636" s="2255"/>
      <c r="P1636" s="2255"/>
      <c r="Q1636" s="2521"/>
      <c r="R1636" s="2521"/>
    </row>
    <row r="1637" spans="1:19" ht="12.75" customHeight="1">
      <c r="B1637" s="2520" t="s">
        <v>1270</v>
      </c>
      <c r="C1637" s="2382" t="s">
        <v>4480</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3925</v>
      </c>
      <c r="C1639" s="504"/>
      <c r="G1639" s="504"/>
      <c r="K1639" s="2425" t="s">
        <v>3909</v>
      </c>
      <c r="L1639" s="2425" t="s">
        <v>3910</v>
      </c>
      <c r="M1639" s="2253">
        <v>3</v>
      </c>
      <c r="N1639" s="2253"/>
      <c r="O1639" s="2525">
        <f>'Part IX A-Scoring Criteria'!O122</f>
        <v>0</v>
      </c>
      <c r="P1639" s="2525">
        <f>'Part IX A-Scoring Criteria'!P122</f>
        <v>0</v>
      </c>
    </row>
    <row r="1640" spans="1:19" ht="12.75" customHeight="1">
      <c r="A1640" s="2315"/>
      <c r="B1640" s="2382" t="s">
        <v>3929</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3927</v>
      </c>
      <c r="C1642" s="504"/>
      <c r="G1642" s="2468" t="s">
        <v>3928</v>
      </c>
      <c r="H1642" s="2526">
        <f>'Part VI-Revenues &amp; Expenses'!$O$59</f>
        <v>20</v>
      </c>
      <c r="I1642" s="2425" t="s">
        <v>3943</v>
      </c>
      <c r="J1642" s="2526">
        <f>'Part VI-Revenues &amp; Expenses'!$O$62</f>
        <v>90</v>
      </c>
      <c r="K1642" s="2425" t="s">
        <v>3944</v>
      </c>
      <c r="L1642" s="2527">
        <f>IF(J1642=0,0,H1642/J1642)</f>
        <v>0.22222222222222221</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3568</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7</v>
      </c>
      <c r="P1646" s="2258">
        <f>'Part IX A-Scoring Criteria'!P129</f>
        <v>0</v>
      </c>
      <c r="Q1646" s="2258" t="s">
        <v>456</v>
      </c>
      <c r="R1646" s="2443"/>
      <c r="S1646" s="2458"/>
    </row>
    <row r="1647" spans="1:19">
      <c r="A1647" s="2373"/>
      <c r="B1647" s="2468"/>
      <c r="D1647" s="2425"/>
      <c r="E1647" s="2468"/>
      <c r="G1647" s="2528"/>
      <c r="H1647" s="2468"/>
      <c r="I1647" s="2308"/>
      <c r="K1647" s="2308"/>
    </row>
    <row r="1648" spans="1:19" ht="89.25">
      <c r="B1648" s="2405" t="s">
        <v>4078</v>
      </c>
      <c r="E1648" s="2079"/>
      <c r="G1648" s="2220" t="str">
        <f>'Part IX A-Scoring Criteria'!G131</f>
        <v>http://www.gainesville.org/pdfs/bidding/Tax%20Allocation%20District%20Document_2006.pdf</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3054</v>
      </c>
      <c r="C1650" s="2443"/>
      <c r="D1650" s="2079"/>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4481</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3708</v>
      </c>
      <c r="D1653" s="2458"/>
      <c r="E1653" s="2308"/>
      <c r="F1653" s="2443"/>
      <c r="G1653" s="504" t="s">
        <v>3709</v>
      </c>
      <c r="H1653" s="2443"/>
      <c r="I1653" s="2443"/>
      <c r="J1653" s="2443"/>
      <c r="K1653" s="2443"/>
      <c r="L1653" s="2529">
        <f>'Part IX A-Scoring Criteria'!L136</f>
        <v>39007</v>
      </c>
      <c r="M1653" s="2529"/>
      <c r="N1653" s="2345" t="s">
        <v>2520</v>
      </c>
      <c r="O1653" s="2372" t="str">
        <f>'Part IX A-Scoring Criteria'!O136</f>
        <v>Yes</v>
      </c>
      <c r="P1653" s="2372">
        <f>'Part IX A-Scoring Criteria'!P136</f>
        <v>0</v>
      </c>
      <c r="Q1653" s="2443"/>
      <c r="R1653" s="2443"/>
      <c r="S1653" s="2443"/>
    </row>
    <row r="1654" spans="1:19" ht="15" customHeight="1">
      <c r="A1654" s="2255"/>
      <c r="B1654" s="2345" t="s">
        <v>2521</v>
      </c>
      <c r="C1654" s="2374" t="s">
        <v>4482</v>
      </c>
      <c r="D1654" s="2374"/>
      <c r="E1654" s="2374"/>
      <c r="F1654" s="2374"/>
      <c r="G1654" s="504" t="s">
        <v>3574</v>
      </c>
      <c r="H1654" s="2443"/>
      <c r="I1654" s="2443"/>
      <c r="J1654" s="2443"/>
      <c r="K1654" s="2443"/>
      <c r="L1654" s="2529" t="str">
        <f>'Part IX A-Scoring Criteria'!L137</f>
        <v>9/21/2006 and 9/24/2006</v>
      </c>
      <c r="M1654" s="2529"/>
      <c r="N1654" s="2345" t="s">
        <v>2521</v>
      </c>
      <c r="O1654" s="2372" t="str">
        <f>'Part IX A-Scoring Criteria'!O137</f>
        <v>Yes</v>
      </c>
      <c r="P1654" s="2372">
        <f>'Part IX A-Scoring Criteria'!P137</f>
        <v>0</v>
      </c>
      <c r="Q1654" s="2443"/>
      <c r="R1654" s="2443"/>
      <c r="S1654" s="2443"/>
    </row>
    <row r="1655" spans="1:19" ht="15">
      <c r="A1655" s="2255"/>
      <c r="B1655" s="2345"/>
      <c r="C1655" s="2374"/>
      <c r="D1655" s="2374"/>
      <c r="E1655" s="2374"/>
      <c r="F1655" s="2374"/>
      <c r="G1655" s="504" t="s">
        <v>3052</v>
      </c>
      <c r="H1655" s="2443"/>
      <c r="I1655" s="2443"/>
      <c r="J1655" s="2443"/>
      <c r="K1655" s="2443"/>
      <c r="L1655" s="2074" t="str">
        <f>'Part IX A-Scoring Criteria'!L138</f>
        <v>The Times, Gainesville, Georgia</v>
      </c>
      <c r="M1655" s="2074"/>
      <c r="N1655" s="2443"/>
      <c r="O1655" s="2443"/>
      <c r="P1655" s="2443"/>
      <c r="Q1655" s="2443"/>
      <c r="R1655" s="2443"/>
      <c r="S1655" s="2443"/>
    </row>
    <row r="1656" spans="1:19" ht="15">
      <c r="A1656" s="2255"/>
      <c r="B1656" s="2345"/>
      <c r="C1656" s="2374"/>
      <c r="D1656" s="2374"/>
      <c r="E1656" s="2374"/>
      <c r="F1656" s="2374"/>
      <c r="G1656" s="504" t="s">
        <v>2948</v>
      </c>
      <c r="H1656" s="2443"/>
      <c r="I1656" s="2443"/>
      <c r="J1656" s="2074" t="str">
        <f>'Part IX A-Scoring Criteria'!J139</f>
        <v>Published local govt public mtg</v>
      </c>
      <c r="K1656" s="2074"/>
      <c r="L1656" s="2074" t="str">
        <f>'Part IX A-Scoring Criteria'!L139</f>
        <v>Published local govt public mtg</v>
      </c>
      <c r="M1656" s="2074"/>
      <c r="N1656" s="2443"/>
      <c r="O1656" s="2443"/>
      <c r="P1656" s="2443"/>
      <c r="Q1656" s="2443"/>
      <c r="R1656" s="2443"/>
      <c r="S1656" s="2443"/>
    </row>
    <row r="1657" spans="1:19" ht="15">
      <c r="A1657" s="2255"/>
      <c r="B1657" s="2345"/>
      <c r="C1657" s="2468"/>
      <c r="D1657" s="2458"/>
      <c r="E1657" s="2308"/>
      <c r="F1657" s="2443"/>
      <c r="G1657" s="504" t="s">
        <v>2949</v>
      </c>
      <c r="H1657" s="2443"/>
      <c r="I1657" s="2443"/>
      <c r="J1657" s="2529">
        <f>'Part IX A-Scoring Criteria'!J140</f>
        <v>38993</v>
      </c>
      <c r="K1657" s="2529"/>
      <c r="L1657" s="2529">
        <f>'Part IX A-Scoring Criteria'!L140</f>
        <v>39007</v>
      </c>
      <c r="M1657" s="2529"/>
      <c r="N1657" s="2443"/>
      <c r="O1657" s="2443"/>
      <c r="P1657" s="2443"/>
      <c r="Q1657" s="2443"/>
      <c r="R1657" s="2443"/>
      <c r="S1657" s="2443"/>
    </row>
    <row r="1658" spans="1:19" ht="15" customHeight="1">
      <c r="A1658" s="2255"/>
      <c r="B1658" s="2345"/>
      <c r="C1658" s="2468"/>
      <c r="D1658" s="2458"/>
      <c r="E1658" s="2308"/>
      <c r="F1658" s="2443"/>
      <c r="G1658" s="2382" t="s">
        <v>4081</v>
      </c>
      <c r="H1658" s="2382"/>
      <c r="I1658" s="504" t="s">
        <v>1778</v>
      </c>
      <c r="J1658" s="519" t="str">
        <f>'Part IX A-Scoring Criteria'!J141</f>
        <v>Non-profit organization</v>
      </c>
      <c r="K1658" s="519"/>
      <c r="L1658" s="519" t="str">
        <f>'Part IX A-Scoring Criteria'!L141</f>
        <v xml:space="preserve">Local business coalition </v>
      </c>
      <c r="M1658" s="519"/>
      <c r="N1658" s="2443"/>
      <c r="O1658" s="2443"/>
      <c r="P1658" s="2443"/>
      <c r="Q1658" s="2443"/>
      <c r="R1658" s="2443"/>
      <c r="S1658" s="2443"/>
    </row>
    <row r="1659" spans="1:19" ht="15">
      <c r="A1659" s="2255"/>
      <c r="B1659" s="2345"/>
      <c r="C1659" s="2468"/>
      <c r="D1659" s="2458"/>
      <c r="E1659" s="2308"/>
      <c r="F1659" s="2443"/>
      <c r="G1659" s="2382"/>
      <c r="H1659" s="2382"/>
      <c r="I1659" s="504" t="s">
        <v>4080</v>
      </c>
      <c r="J1659" s="2074" t="str">
        <f>'Part IX A-Scoring Criteria'!J142</f>
        <v>Gainesville Non-Profit Development Foundation, Inc.</v>
      </c>
      <c r="K1659" s="2074"/>
      <c r="L1659" s="2074" t="str">
        <f>'Part IX A-Scoring Criteria'!L142</f>
        <v>Greater Hall Chamber of Commerce</v>
      </c>
      <c r="M1659" s="2074"/>
      <c r="N1659" s="2443"/>
      <c r="O1659" s="2443"/>
      <c r="P1659" s="2443"/>
      <c r="Q1659" s="2443"/>
      <c r="R1659" s="2443"/>
      <c r="S1659" s="2443"/>
    </row>
    <row r="1660" spans="1:19" ht="13.5" customHeight="1">
      <c r="B1660" s="2345" t="s">
        <v>2522</v>
      </c>
      <c r="C1660" s="2374" t="s">
        <v>3932</v>
      </c>
      <c r="D1660" s="2374"/>
      <c r="E1660" s="2374"/>
      <c r="F1660" s="2374"/>
      <c r="G1660" s="504" t="s">
        <v>3053</v>
      </c>
      <c r="L1660" s="2529" t="str">
        <f>'Part IX A-Scoring Criteria'!L143</f>
        <v>9 years and 8 months</v>
      </c>
      <c r="M1660" s="2529"/>
      <c r="N1660" s="2345" t="s">
        <v>2522</v>
      </c>
      <c r="O1660" s="2372" t="str">
        <f>'Part IX A-Scoring Criteria'!O143</f>
        <v>Yes</v>
      </c>
      <c r="P1660" s="2372">
        <f>'Part IX A-Scoring Criteria'!P143</f>
        <v>0</v>
      </c>
    </row>
    <row r="1661" spans="1:19" ht="13.5">
      <c r="B1661" s="2345"/>
      <c r="C1661" s="2374"/>
      <c r="D1661" s="2374"/>
      <c r="E1661" s="2374"/>
      <c r="F1661" s="2374"/>
      <c r="G1661" s="504" t="s">
        <v>4483</v>
      </c>
      <c r="L1661" s="2529">
        <f>'Part IX A-Scoring Criteria'!L144</f>
        <v>40302</v>
      </c>
      <c r="M1661" s="2529"/>
    </row>
    <row r="1662" spans="1:19" ht="13.5" customHeight="1">
      <c r="B1662" s="2345" t="s">
        <v>2523</v>
      </c>
      <c r="C1662" s="519" t="s">
        <v>3933</v>
      </c>
      <c r="D1662" s="504"/>
      <c r="G1662" s="2312"/>
      <c r="K1662" s="2308"/>
      <c r="L1662" s="2530">
        <f>'Part IX A-Scoring Criteria'!L145</f>
        <v>21</v>
      </c>
      <c r="M1662" s="2530"/>
      <c r="N1662" s="2345" t="s">
        <v>2523</v>
      </c>
      <c r="O1662" s="2372" t="str">
        <f>'Part IX A-Scoring Criteria'!O145</f>
        <v>Yes</v>
      </c>
      <c r="P1662" s="2372">
        <f>'Part IX A-Scoring Criteria'!P145</f>
        <v>0</v>
      </c>
    </row>
    <row r="1663" spans="1:19" ht="12.75" customHeight="1">
      <c r="B1663" s="2345" t="s">
        <v>2524</v>
      </c>
      <c r="C1663" s="519" t="s">
        <v>2950</v>
      </c>
      <c r="K1663" s="2308"/>
      <c r="L1663" s="2530">
        <f>'Part IX A-Scoring Criteria'!L146</f>
        <v>21</v>
      </c>
      <c r="M1663" s="2530"/>
      <c r="N1663" s="2345" t="s">
        <v>2524</v>
      </c>
      <c r="O1663" s="2372" t="str">
        <f>'Part IX A-Scoring Criteria'!O146</f>
        <v>Yes</v>
      </c>
      <c r="P1663" s="2372">
        <f>'Part IX A-Scoring Criteria'!P146</f>
        <v>0</v>
      </c>
    </row>
    <row r="1664" spans="1:19" ht="12.75" customHeight="1">
      <c r="B1664" s="2345" t="s">
        <v>3577</v>
      </c>
      <c r="C1664" s="519" t="s">
        <v>3571</v>
      </c>
      <c r="K1664" s="2308"/>
      <c r="L1664" s="2530" t="str">
        <f>'Part IX A-Scoring Criteria'!L147</f>
        <v>24,25</v>
      </c>
      <c r="M1664" s="2530"/>
      <c r="N1664" s="2345" t="s">
        <v>3577</v>
      </c>
      <c r="O1664" s="2372" t="str">
        <f>'Part IX A-Scoring Criteria'!O147</f>
        <v>Yes</v>
      </c>
      <c r="P1664" s="2372">
        <f>'Part IX A-Scoring Criteria'!P147</f>
        <v>0</v>
      </c>
    </row>
    <row r="1665" spans="1:21" ht="12.75" customHeight="1">
      <c r="B1665" s="2345" t="s">
        <v>3578</v>
      </c>
      <c r="C1665" s="519" t="s">
        <v>3569</v>
      </c>
      <c r="K1665" s="2308"/>
      <c r="L1665" s="2530" t="str">
        <f>'Part IX A-Scoring Criteria'!L148</f>
        <v>Via Email from City</v>
      </c>
      <c r="M1665" s="2530"/>
      <c r="N1665" s="2345" t="s">
        <v>3578</v>
      </c>
      <c r="O1665" s="2372" t="str">
        <f>'Part IX A-Scoring Criteria'!O148</f>
        <v>Yes</v>
      </c>
      <c r="P1665" s="2372">
        <f>'Part IX A-Scoring Criteria'!P148</f>
        <v>0</v>
      </c>
    </row>
    <row r="1666" spans="1:21" ht="12.75" customHeight="1">
      <c r="B1666" s="2345" t="s">
        <v>2541</v>
      </c>
      <c r="C1666" s="519" t="s">
        <v>2951</v>
      </c>
      <c r="K1666" s="2308"/>
      <c r="L1666" s="2530">
        <f>'Part IX A-Scoring Criteria'!L149</f>
        <v>17</v>
      </c>
      <c r="M1666" s="2530"/>
      <c r="N1666" s="2345" t="s">
        <v>2541</v>
      </c>
      <c r="O1666" s="2372" t="str">
        <f>'Part IX A-Scoring Criteria'!O149</f>
        <v>Yes</v>
      </c>
      <c r="P1666" s="2372">
        <f>'Part IX A-Scoring Criteria'!P149</f>
        <v>0</v>
      </c>
    </row>
    <row r="1667" spans="1:21" ht="12.75" customHeight="1">
      <c r="B1667" s="2345" t="s">
        <v>2542</v>
      </c>
      <c r="C1667" s="519" t="s">
        <v>2952</v>
      </c>
      <c r="D1667" s="504"/>
      <c r="K1667" s="2308"/>
      <c r="L1667" s="2530" t="str">
        <f>'Part IX A-Scoring Criteria'!L150</f>
        <v>26, 27, 30</v>
      </c>
      <c r="M1667" s="2530"/>
      <c r="N1667" s="2345" t="s">
        <v>2542</v>
      </c>
      <c r="O1667" s="2372" t="str">
        <f>'Part IX A-Scoring Criteria'!O150</f>
        <v>Yes</v>
      </c>
      <c r="P1667" s="2372">
        <f>'Part IX A-Scoring Criteria'!P150</f>
        <v>0</v>
      </c>
    </row>
    <row r="1668" spans="1:21">
      <c r="B1668" s="2345" t="s">
        <v>2543</v>
      </c>
      <c r="C1668" s="519" t="s">
        <v>3934</v>
      </c>
      <c r="K1668" s="2308"/>
      <c r="M1668" s="2255"/>
      <c r="N1668" s="2345" t="s">
        <v>2543</v>
      </c>
      <c r="O1668" s="2372" t="str">
        <f>'Part IX A-Scoring Criteria'!O151</f>
        <v>Yes</v>
      </c>
      <c r="P1668" s="2372">
        <f>'Part IX A-Scoring Criteria'!P151</f>
        <v>0</v>
      </c>
    </row>
    <row r="1669" spans="1:21">
      <c r="B1669" s="2345"/>
      <c r="C1669" s="519"/>
      <c r="K1669" s="2308"/>
      <c r="M1669" s="2255"/>
      <c r="N1669" s="2255"/>
      <c r="O1669" s="2255"/>
      <c r="P1669" s="2255"/>
    </row>
    <row r="1670" spans="1:21">
      <c r="A1670" s="2289" t="s">
        <v>2058</v>
      </c>
      <c r="B1670" s="2277" t="s">
        <v>3570</v>
      </c>
      <c r="G1670" s="2468" t="s">
        <v>3698</v>
      </c>
      <c r="K1670" s="2308"/>
      <c r="L1670" s="2531" t="str">
        <f>'Part IX A-Scoring Criteria'!L153</f>
        <v>21</v>
      </c>
      <c r="M1670" s="2080">
        <v>3</v>
      </c>
      <c r="N1670" s="2345" t="s">
        <v>2058</v>
      </c>
      <c r="O1670" s="2372" t="str">
        <f>'Part IX A-Scoring Criteria'!O153</f>
        <v>Yes</v>
      </c>
      <c r="P1670" s="2372">
        <f>'Part IX A-Scoring Criteria'!P153</f>
        <v>0</v>
      </c>
    </row>
    <row r="1671" spans="1:21">
      <c r="A1671" s="2373"/>
      <c r="G1671" s="2468" t="s">
        <v>3861</v>
      </c>
      <c r="L1671" s="2532" t="str">
        <f>'Part I-Project Information'!$O$28</f>
        <v>12.01</v>
      </c>
      <c r="M1671" s="2532"/>
    </row>
    <row r="1672" spans="1:21">
      <c r="A1672" s="2373"/>
      <c r="B1672" s="2468"/>
      <c r="D1672" s="2425"/>
      <c r="G1672" s="2468" t="s">
        <v>3576</v>
      </c>
      <c r="K1672" s="2308"/>
      <c r="L1672" s="2468" t="str">
        <f>'Part I-Project Information'!$N$29</f>
        <v>Yes</v>
      </c>
    </row>
    <row r="1673" spans="1:21">
      <c r="A1673" s="2373"/>
      <c r="B1673" s="2468"/>
      <c r="D1673" s="2425"/>
      <c r="E1673" s="2468"/>
      <c r="G1673" s="2308" t="s">
        <v>3572</v>
      </c>
      <c r="K1673" s="2308"/>
      <c r="L1673" s="2308" t="str">
        <f>'Part IV-Uses of Funds'!$H$151</f>
        <v>DDA/QCT</v>
      </c>
    </row>
    <row r="1674" spans="1:21">
      <c r="A1674" s="2289" t="s">
        <v>2061</v>
      </c>
      <c r="B1674" s="2277" t="s">
        <v>3573</v>
      </c>
      <c r="D1674" s="2079"/>
      <c r="M1674" s="2253">
        <v>2</v>
      </c>
    </row>
    <row r="1675" spans="1:21" ht="13.5">
      <c r="A1675" s="2373"/>
      <c r="B1675" s="504" t="s">
        <v>3575</v>
      </c>
      <c r="N1675" s="2345" t="s">
        <v>2061</v>
      </c>
      <c r="O1675" s="2372" t="str">
        <f>'Part IX A-Scoring Criteria'!O158</f>
        <v>Yes</v>
      </c>
      <c r="P1675" s="2372">
        <f>'Part IX A-Scoring Criteria'!P158</f>
        <v>0</v>
      </c>
      <c r="Q1675" s="2312"/>
    </row>
    <row r="1676" spans="1:21">
      <c r="A1676" s="2289" t="s">
        <v>779</v>
      </c>
      <c r="B1676" s="2277" t="s">
        <v>2916</v>
      </c>
      <c r="C1676" s="2277"/>
      <c r="D1676" s="2079"/>
      <c r="M1676" s="2080"/>
      <c r="N1676" s="2253"/>
      <c r="O1676" s="2369"/>
      <c r="P1676" s="2369"/>
    </row>
    <row r="1677" spans="1:21" ht="12.75" customHeight="1">
      <c r="B1677" s="2533"/>
      <c r="C1677" s="2374" t="s">
        <v>4484</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3941</v>
      </c>
      <c r="S1677" s="2426"/>
      <c r="T1677" s="2534" t="s">
        <v>3941</v>
      </c>
      <c r="U1677" s="2534"/>
    </row>
    <row r="1678" spans="1:21" ht="13.5">
      <c r="A1678" s="2289" t="s">
        <v>2193</v>
      </c>
      <c r="B1678" s="2277" t="s">
        <v>3935</v>
      </c>
      <c r="C1678" s="2277"/>
      <c r="D1678" s="2079"/>
      <c r="I1678" s="2535" t="s">
        <v>4386</v>
      </c>
      <c r="J1678" s="2536" t="s">
        <v>4379</v>
      </c>
      <c r="K1678" s="2537" t="s">
        <v>4079</v>
      </c>
      <c r="L1678" s="2537"/>
      <c r="M1678" s="2080">
        <v>4</v>
      </c>
      <c r="N1678" s="2345" t="s">
        <v>2193</v>
      </c>
      <c r="O1678" s="2525">
        <f>'Part IX A-Scoring Criteria'!O161</f>
        <v>4</v>
      </c>
      <c r="P1678" s="2525">
        <f>'Part IX A-Scoring Criteria'!P161</f>
        <v>0</v>
      </c>
      <c r="R1678" s="504" t="s">
        <v>3420</v>
      </c>
      <c r="S1678" s="2425" t="s">
        <v>268</v>
      </c>
      <c r="T1678" s="547" t="s">
        <v>3420</v>
      </c>
      <c r="U1678" s="2509" t="s">
        <v>268</v>
      </c>
    </row>
    <row r="1679" spans="1:21">
      <c r="B1679" s="2520" t="s">
        <v>2062</v>
      </c>
      <c r="C1679" s="2423" t="s">
        <v>3937</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4377</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3939</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3938</v>
      </c>
      <c r="D1682" s="2423"/>
      <c r="E1682" s="2423"/>
      <c r="F1682" s="2423"/>
      <c r="G1682" s="2423"/>
      <c r="H1682" s="2423"/>
      <c r="I1682" s="2538">
        <f>'Part IX A-Scoring Criteria'!I165</f>
        <v>2</v>
      </c>
      <c r="J1682" s="2538">
        <f>'Part IX A-Scoring Criteria'!J165</f>
        <v>0</v>
      </c>
      <c r="K1682" s="2372">
        <f>'Part IX A-Scoring Criteria'!K165</f>
        <v>0</v>
      </c>
      <c r="L1682" s="2372">
        <f>'Part IX A-Scoring Criteria'!L165</f>
        <v>0</v>
      </c>
      <c r="M1682" s="2480"/>
      <c r="N1682" s="2540" t="s">
        <v>1270</v>
      </c>
      <c r="O1682" s="2372" t="str">
        <f>'Part IX A-Scoring Criteria'!O165</f>
        <v>Yes</v>
      </c>
      <c r="P1682" s="2372">
        <f>'Part IX A-Scoring Criteria'!P165</f>
        <v>0</v>
      </c>
      <c r="R1682" s="2425">
        <f t="shared" si="305"/>
        <v>1</v>
      </c>
      <c r="S1682" s="2425">
        <f t="shared" si="305"/>
        <v>0</v>
      </c>
      <c r="T1682" s="2509">
        <f t="shared" si="306"/>
        <v>0</v>
      </c>
      <c r="U1682" s="2509">
        <f t="shared" si="306"/>
        <v>0</v>
      </c>
    </row>
    <row r="1683" spans="1:21">
      <c r="B1683" s="2520" t="s">
        <v>1271</v>
      </c>
      <c r="C1683" s="2541" t="s">
        <v>4378</v>
      </c>
      <c r="D1683" s="2423"/>
      <c r="E1683" s="2423"/>
      <c r="F1683" s="2423"/>
      <c r="G1683" s="2423"/>
      <c r="H1683" s="2423"/>
      <c r="I1683" s="2542">
        <f>'Part IX A-Scoring Criteria'!I166</f>
        <v>0.22222222222222221</v>
      </c>
      <c r="J1683" s="2542">
        <f>'Part IX A-Scoring Criteria'!J166</f>
        <v>0</v>
      </c>
      <c r="K1683" s="2372">
        <f>'Part IX A-Scoring Criteria'!K166</f>
        <v>0</v>
      </c>
      <c r="L1683" s="2372">
        <f>'Part IX A-Scoring Criteria'!L166</f>
        <v>0</v>
      </c>
      <c r="M1683" s="2480"/>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409.5">
      <c r="A1685" s="2374" t="str">
        <f>'Part IX A-Scoring Criteria'!A168</f>
        <v>The Ordinance establishing the redevelopment area and the TAD lists the date of First Reading, Publication, and Passage as 10/3/06, 10/5/06, and 10/17/06 respectively.
In addition, the TAD was reauthorized per Resolution BR-2010-15 included in tab 32 on 5/4/2010.
Furthermore, email correspondence with the city of Gainesville, and included in tab 32, demonstrate that the TAD is currently active and in use.
The redevelopment plan is being submitted in electronic format in tab 32.</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3600</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2912</v>
      </c>
      <c r="I1690" s="504"/>
      <c r="J1690" s="2368" t="str">
        <f>'Part I-Project Information'!$H$90</f>
        <v>Flexible</v>
      </c>
      <c r="K1690" s="2368"/>
    </row>
    <row r="1691" spans="1:21" ht="13.5">
      <c r="A1691" s="2269" t="s">
        <v>2058</v>
      </c>
      <c r="B1691" s="2277" t="s">
        <v>2312</v>
      </c>
      <c r="D1691" s="2079"/>
      <c r="E1691" s="2079"/>
      <c r="F1691" s="2079"/>
      <c r="H1691" s="2368" t="s">
        <v>4127</v>
      </c>
      <c r="I1691" s="504"/>
      <c r="J1691" s="2368" t="str">
        <f>'Part I-Project Information'!$O$24</f>
        <v>Yes- w/Master Plan</v>
      </c>
      <c r="K1691" s="2368"/>
      <c r="L1691" s="2544" t="str">
        <f>'Part I-Project Information'!$O$25</f>
        <v>2015-046</v>
      </c>
      <c r="M1691" s="2080">
        <v>3</v>
      </c>
      <c r="N1691" s="2345" t="s">
        <v>2058</v>
      </c>
      <c r="O1691" s="2439">
        <f>'Part IX A-Scoring Criteria'!O174</f>
        <v>3</v>
      </c>
      <c r="P1691" s="2439">
        <f>'Part IX A-Scoring Criteria'!P174</f>
        <v>0</v>
      </c>
      <c r="Q1691" s="2312" t="s">
        <v>2810</v>
      </c>
    </row>
    <row r="1692" spans="1:21" ht="12.75" customHeight="1">
      <c r="A1692" s="504"/>
      <c r="B1692" s="2545" t="s">
        <v>2062</v>
      </c>
      <c r="C1692" s="2374" t="s">
        <v>3942</v>
      </c>
      <c r="D1692" s="2176"/>
      <c r="E1692" s="2176"/>
      <c r="F1692" s="2176"/>
      <c r="G1692" s="2176"/>
      <c r="H1692" s="2176"/>
      <c r="I1692" s="2176"/>
      <c r="J1692" s="2176"/>
      <c r="K1692" s="2176"/>
      <c r="L1692" s="2176"/>
      <c r="M1692" s="2480"/>
      <c r="N1692" s="2460" t="s">
        <v>2062</v>
      </c>
      <c r="O1692" s="2372" t="str">
        <f>'Part IX A-Scoring Criteria'!O175</f>
        <v>Yes</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t="str">
        <f>'Part IX A-Scoring Criteria'!J176</f>
        <v>2015-046</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t="str">
        <f>'Part IX A-Scoring Criteria'!J177</f>
        <v>240 Atlanta Street Development Phase 1</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t="str">
        <f>'Part IX A-Scoring Criteria'!O178</f>
        <v>Yes</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t="str">
        <f>'Part IX A-Scoring Criteria'!O179</f>
        <v>No</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t="str">
        <f>'Part IX A-Scoring Criteria'!O180</f>
        <v>Yes</v>
      </c>
      <c r="P1697" s="2372">
        <f>'Part IX A-Scoring Criteria'!P180</f>
        <v>0</v>
      </c>
      <c r="Q1697" s="519"/>
      <c r="R1697" s="519"/>
      <c r="S1697" s="519"/>
    </row>
    <row r="1698" spans="1:19">
      <c r="A1698" s="2269" t="s">
        <v>2061</v>
      </c>
      <c r="B1698" s="2277" t="s">
        <v>3945</v>
      </c>
      <c r="C1698" s="2079"/>
      <c r="D1698" s="2079"/>
      <c r="E1698" s="2079"/>
      <c r="F1698" s="2079"/>
      <c r="G1698" s="2079"/>
      <c r="H1698" s="2543" t="s">
        <v>3601</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3947</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4485</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4486</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3946</v>
      </c>
      <c r="C1702" s="2079"/>
      <c r="D1702" s="2079"/>
      <c r="E1702" s="2079"/>
      <c r="F1702" s="2079"/>
      <c r="G1702" s="2079"/>
      <c r="H1702" s="2543" t="s">
        <v>3954</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3951</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4487</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2810</v>
      </c>
      <c r="R1704" s="2079"/>
      <c r="S1704" s="2079"/>
    </row>
    <row r="1705" spans="1:19">
      <c r="A1705" s="2372"/>
      <c r="B1705" s="2533" t="s">
        <v>2064</v>
      </c>
      <c r="C1705" s="504" t="s">
        <v>3949</v>
      </c>
      <c r="D1705" s="2079"/>
      <c r="E1705" s="2079"/>
      <c r="F1705" s="2079"/>
      <c r="G1705" s="2308"/>
      <c r="H1705" s="2309" t="s">
        <v>3955</v>
      </c>
      <c r="I1705" s="2308"/>
      <c r="K1705" s="2274"/>
      <c r="L1705" s="2274"/>
      <c r="M1705" s="2253">
        <v>1</v>
      </c>
      <c r="N1705" s="2540" t="s">
        <v>2064</v>
      </c>
      <c r="O1705" s="2439">
        <f>'Part IX A-Scoring Criteria'!O188</f>
        <v>0</v>
      </c>
      <c r="P1705" s="2439">
        <f>'Part IX A-Scoring Criteria'!P188</f>
        <v>0</v>
      </c>
      <c r="Q1705" s="2074" t="s">
        <v>2810</v>
      </c>
    </row>
    <row r="1706" spans="1:19">
      <c r="A1706" s="2372" t="s">
        <v>1403</v>
      </c>
      <c r="B1706" s="2533" t="s">
        <v>2622</v>
      </c>
      <c r="C1706" s="2419" t="s">
        <v>4488</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90">
      <c r="A1708" s="2374" t="str">
        <f>'Part IX A-Scoring Criteria'!A191</f>
        <v>This will be the second phase of a three-phase development called Walton Summit.</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3593</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3941</v>
      </c>
      <c r="S1712" s="2426"/>
    </row>
    <row r="1713" spans="1:19">
      <c r="B1713" s="504" t="s">
        <v>1729</v>
      </c>
      <c r="M1713" s="2485"/>
      <c r="O1713" s="2425" t="s">
        <v>2597</v>
      </c>
      <c r="P1713" s="2425" t="s">
        <v>2597</v>
      </c>
      <c r="R1713" s="504" t="s">
        <v>3420</v>
      </c>
      <c r="S1713" s="2425" t="s">
        <v>268</v>
      </c>
    </row>
    <row r="1714" spans="1:19" ht="12.75" customHeight="1">
      <c r="A1714" s="2410" t="s">
        <v>2058</v>
      </c>
      <c r="B1714" s="2374" t="s">
        <v>3956</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2841</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3957</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409.5">
      <c r="A1719" s="2374" t="str">
        <f>'Part IX A-Scoring Criteria'!A202</f>
        <v>At the conclusion of 2015, the Greater Hall Chamber had the single best year of investment on record with 24 new and existing projects announcing capital investment plans for over $320 million and 1,100 jobs. It’s no wonder Gainesville-Hall County was recently ranked third in the nation and first in Georgia for number of economic development projects (population 200,000/less) by Site Selection Magazine.
International commerce continues to grow in Gainesville-Hall County, with 47 international firms, many serving as North American headquarters. Kubota Manufacturing is developing a new 180-acre campus, investing $220 million, and adding 580 additional jobs to its current 1,300 employee base. The company recently celebrated their “One-Millionth” tractor produced since opening its Gainesville facility in 1988.
The above was excerpted from: http://www.bizjournals.com/atlanta/print-edition/2016/04/29/bridging-economic-growth-with-historical.html</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2953</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3958</v>
      </c>
      <c r="C1727" s="2443"/>
      <c r="D1727" s="519"/>
      <c r="E1727" s="2443"/>
      <c r="F1727" s="2443"/>
      <c r="G1727" s="2443"/>
      <c r="H1727" s="2369"/>
      <c r="I1727" s="2443"/>
      <c r="J1727" s="2443"/>
      <c r="K1727" s="519"/>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3594</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3710</v>
      </c>
      <c r="C1733" s="2443"/>
      <c r="D1733" s="2079"/>
      <c r="E1733" s="2443"/>
      <c r="F1733" s="2443"/>
      <c r="G1733" s="2443"/>
      <c r="H1733" s="2443"/>
      <c r="I1733" s="2443"/>
      <c r="J1733" s="2443"/>
      <c r="K1733" s="2443"/>
      <c r="L1733" s="2443"/>
      <c r="M1733" s="2443"/>
      <c r="N1733" s="2345"/>
      <c r="O1733" s="2372">
        <f>'Part IX A-Scoring Criteria'!O216</f>
        <v>0</v>
      </c>
      <c r="P1733" s="2372">
        <f>'Part IX A-Scoring Criteria'!P216</f>
        <v>0</v>
      </c>
      <c r="Q1733" s="2443"/>
      <c r="R1733" s="2453"/>
      <c r="S1733" s="2443"/>
    </row>
    <row r="1734" spans="1:19" ht="15">
      <c r="A1734" s="2289"/>
      <c r="B1734" s="504" t="s">
        <v>3711</v>
      </c>
      <c r="C1734" s="2443"/>
      <c r="D1734" s="2079"/>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4" t="s">
        <v>3959</v>
      </c>
      <c r="C1735" s="2443"/>
      <c r="D1735" s="2079"/>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8"/>
      <c r="D1739" s="2548"/>
      <c r="E1739" s="519" t="s">
        <v>3863</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3864</v>
      </c>
      <c r="L1739" s="2308" t="str">
        <f>'Part I-Project Information'!$K$30</f>
        <v>Urban</v>
      </c>
      <c r="M1739" s="2258">
        <v>2</v>
      </c>
      <c r="N1739" s="2487"/>
      <c r="O1739" s="2439">
        <f>'Part IX A-Scoring Criteria'!O222</f>
        <v>0</v>
      </c>
      <c r="P1739" s="2439">
        <f>'Part IX A-Scoring Criteria'!P222</f>
        <v>0</v>
      </c>
      <c r="Q1739" s="2258" t="s">
        <v>456</v>
      </c>
      <c r="R1739" s="1306"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4489</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3862</v>
      </c>
      <c r="B1742" s="2548"/>
      <c r="C1742" s="2550" t="str">
        <f>'Part II-Development Team'!$H$14</f>
        <v>240 Atlanta Street Phase 2 GP, LLC</v>
      </c>
      <c r="D1742" s="2550"/>
      <c r="E1742" s="2548"/>
      <c r="F1742" s="2551">
        <f>'Part II-Development Team'!$L$139</f>
        <v>1E-4</v>
      </c>
      <c r="G1742" s="2550" t="str">
        <f>'Part II-Development Team'!$Q$14</f>
        <v>Beth Brown</v>
      </c>
      <c r="H1742" s="2550"/>
      <c r="I1742" s="2552" t="s">
        <v>4490</v>
      </c>
      <c r="J1742" s="2553">
        <f>'Part VI-Revenues &amp; Expenses'!$O$62</f>
        <v>90</v>
      </c>
      <c r="K1742" s="2554" t="s">
        <v>4491</v>
      </c>
      <c r="L1742" s="2555"/>
      <c r="M1742" s="2556"/>
      <c r="N1742" s="2487"/>
      <c r="O1742" s="2557" t="s">
        <v>4198</v>
      </c>
      <c r="P1742" s="2557"/>
      <c r="Q1742" s="2258"/>
      <c r="S1742" s="2548"/>
    </row>
    <row r="1743" spans="1:19" ht="15">
      <c r="A1743" s="2549" t="s">
        <v>3865</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3961</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90</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3962</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Gainesville Housing Corporation</v>
      </c>
      <c r="K1745" s="2550"/>
      <c r="L1745" s="2551">
        <f>'Part II-Development Team'!$L$145</f>
        <v>0</v>
      </c>
      <c r="M1745" s="2550" t="str">
        <f>'Part II-Development Team'!$Q$54</f>
        <v>Beth Brown</v>
      </c>
      <c r="N1745" s="2550"/>
      <c r="O1745" s="2548"/>
      <c r="P1745" s="2548"/>
      <c r="Q1745" s="2258"/>
      <c r="S1745" s="2548"/>
    </row>
    <row r="1746" spans="1:19" ht="15">
      <c r="A1746" s="2549" t="s">
        <v>3965</v>
      </c>
      <c r="B1746" s="2548"/>
      <c r="C1746" s="2550" t="str">
        <f>'Part II-Development Team'!$H$33</f>
        <v>Wells Fargo Community Lending and Investment</v>
      </c>
      <c r="D1746" s="2550"/>
      <c r="E1746" s="2548"/>
      <c r="F1746" s="2551">
        <f>'Part II-Development Team'!$L$142</f>
        <v>0.9899</v>
      </c>
      <c r="G1746" s="2550" t="str">
        <f>'Part II-Development Team'!$Q$33</f>
        <v>J. Frederick Davis, III</v>
      </c>
      <c r="H1746" s="2550"/>
      <c r="I1746" s="2549" t="s">
        <v>3038</v>
      </c>
      <c r="J1746" s="2550" t="str">
        <f>'Part II-Development Team'!$H$60</f>
        <v>KDTA Development, Inc.</v>
      </c>
      <c r="K1746" s="2550"/>
      <c r="L1746" s="2551">
        <f>'Part II-Development Team'!$L$146</f>
        <v>0</v>
      </c>
      <c r="M1746" s="2550" t="str">
        <f>'Part II-Development Team'!$Q$60</f>
        <v>Keith A. Davidson</v>
      </c>
      <c r="N1746" s="2550"/>
      <c r="O1746" s="2487"/>
      <c r="P1746" s="2487"/>
      <c r="Q1746" s="2258"/>
      <c r="S1746" s="2548"/>
    </row>
    <row r="1747" spans="1:19" ht="15">
      <c r="A1747" s="2549" t="s">
        <v>3966</v>
      </c>
      <c r="B1747" s="2548"/>
      <c r="C1747" s="2550" t="str">
        <f>'Part II-Development Team'!$H$39</f>
        <v>240 Atlanta Street Phase 2 Walton Limited, LLC</v>
      </c>
      <c r="D1747" s="2550"/>
      <c r="E1747" s="2548"/>
      <c r="F1747" s="2551">
        <f>'Part II-Development Team'!$L$143</f>
        <v>0.01</v>
      </c>
      <c r="G1747" s="2550" t="str">
        <f>'Part II-Development Team'!$Q$39</f>
        <v>Keith A. Davidson</v>
      </c>
      <c r="H1747" s="2550"/>
      <c r="I1747" s="2549" t="s">
        <v>3039</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3964</v>
      </c>
      <c r="B1748" s="2548"/>
      <c r="C1748" s="2550" t="str">
        <f>'Part II-Development Team'!$H$46</f>
        <v>Gainesville Housing Corporation</v>
      </c>
      <c r="D1748" s="2550"/>
      <c r="E1748" s="2548"/>
      <c r="F1748" s="2551">
        <f>'Part II-Development Team'!$L$144</f>
        <v>0</v>
      </c>
      <c r="G1748" s="2550" t="str">
        <f>'Part II-Development Team'!$Q$46</f>
        <v>Beth Brown</v>
      </c>
      <c r="H1748" s="2550"/>
      <c r="I1748" s="2549" t="s">
        <v>3963</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78.75">
      <c r="A1750" s="2374" t="str">
        <f>'Part IX A-Scoring Criteria'!A233</f>
        <v>The application is being submitted under the flexible pool.</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1</v>
      </c>
      <c r="P1752" s="2439">
        <f>'Part IX A-Scoring Criteria'!P235</f>
        <v>0</v>
      </c>
      <c r="Q1752" s="2258" t="s">
        <v>456</v>
      </c>
      <c r="R1752" s="2443"/>
      <c r="S1752" s="2443"/>
    </row>
    <row r="1753" spans="1:19" ht="15">
      <c r="A1753" s="2289" t="s">
        <v>2058</v>
      </c>
      <c r="B1753" s="2405" t="s">
        <v>3969</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1</v>
      </c>
      <c r="P1753" s="2439">
        <f>'Part IX A-Scoring Criteria'!P236</f>
        <v>0</v>
      </c>
      <c r="Q1753" s="2258"/>
      <c r="R1753" s="2312" t="s">
        <v>2810</v>
      </c>
      <c r="S1753" s="2443"/>
    </row>
    <row r="1754" spans="1:19" ht="15">
      <c r="A1754" s="2443"/>
      <c r="B1754" s="2308" t="s">
        <v>3967</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3968</v>
      </c>
      <c r="D1755" s="519"/>
      <c r="E1755" s="519"/>
      <c r="F1755" s="519"/>
      <c r="G1755" s="504"/>
      <c r="H1755" s="504"/>
      <c r="I1755" s="519" t="str">
        <f>'Part IX A-Scoring Criteria'!I238</f>
        <v>Gainesville</v>
      </c>
      <c r="J1755" s="519"/>
      <c r="K1755" s="519"/>
      <c r="L1755" s="504"/>
      <c r="M1755" s="504"/>
      <c r="N1755" s="2540" t="s">
        <v>2062</v>
      </c>
      <c r="O1755" s="2372" t="str">
        <f>'Part IX A-Scoring Criteria'!O238</f>
        <v>Yes</v>
      </c>
      <c r="P1755" s="2372">
        <f>'Part IX A-Scoring Criteria'!P238</f>
        <v>0</v>
      </c>
      <c r="Q1755" s="504"/>
      <c r="R1755" s="504"/>
      <c r="S1755" s="504"/>
    </row>
    <row r="1756" spans="1:19">
      <c r="A1756" s="504"/>
      <c r="B1756" s="2540" t="s">
        <v>2064</v>
      </c>
      <c r="C1756" s="519" t="s">
        <v>3020</v>
      </c>
      <c r="D1756" s="519"/>
      <c r="E1756" s="519"/>
      <c r="F1756" s="519"/>
      <c r="G1756" s="519"/>
      <c r="H1756" s="504"/>
      <c r="I1756" s="504"/>
      <c r="J1756" s="504"/>
      <c r="K1756" s="504"/>
      <c r="L1756" s="504"/>
      <c r="M1756" s="519"/>
      <c r="N1756" s="2540" t="s">
        <v>2064</v>
      </c>
      <c r="O1756" s="2372" t="str">
        <f>'Part IX A-Scoring Criteria'!O239</f>
        <v>Yes</v>
      </c>
      <c r="P1756" s="2372">
        <f>'Part IX A-Scoring Criteria'!P239</f>
        <v>0</v>
      </c>
      <c r="Q1756" s="504"/>
      <c r="R1756" s="504"/>
      <c r="S1756" s="504"/>
    </row>
    <row r="1757" spans="1:19">
      <c r="A1757" s="2289"/>
      <c r="B1757" s="2540" t="s">
        <v>2622</v>
      </c>
      <c r="C1757" s="519" t="s">
        <v>3970</v>
      </c>
      <c r="D1757" s="519"/>
      <c r="E1757" s="519"/>
      <c r="F1757" s="519"/>
      <c r="G1757" s="519"/>
      <c r="H1757" s="519"/>
      <c r="I1757" s="504"/>
      <c r="J1757" s="504"/>
      <c r="K1757" s="504"/>
      <c r="L1757" s="519"/>
      <c r="M1757" s="519"/>
      <c r="N1757" s="2540" t="s">
        <v>2622</v>
      </c>
      <c r="O1757" s="2372" t="str">
        <f>'Part IX A-Scoring Criteria'!O240</f>
        <v>Yes</v>
      </c>
      <c r="P1757" s="2372">
        <f>'Part IX A-Scoring Criteria'!P240</f>
        <v>0</v>
      </c>
      <c r="Q1757" s="504"/>
      <c r="R1757" s="504"/>
      <c r="S1757" s="504"/>
    </row>
    <row r="1758" spans="1:19">
      <c r="A1758" s="2289"/>
      <c r="B1758" s="2540" t="s">
        <v>1270</v>
      </c>
      <c r="C1758" s="519" t="s">
        <v>3971</v>
      </c>
      <c r="D1758" s="519"/>
      <c r="E1758" s="519"/>
      <c r="F1758" s="519"/>
      <c r="G1758" s="519"/>
      <c r="H1758" s="519"/>
      <c r="I1758" s="519"/>
      <c r="J1758" s="519"/>
      <c r="K1758" s="519"/>
      <c r="L1758" s="519"/>
      <c r="M1758" s="519"/>
      <c r="N1758" s="2540" t="s">
        <v>1270</v>
      </c>
      <c r="O1758" s="2372" t="str">
        <f>'Part IX A-Scoring Criteria'!O241</f>
        <v>Yes</v>
      </c>
      <c r="P1758" s="2372">
        <f>'Part IX A-Scoring Criteria'!P241</f>
        <v>0</v>
      </c>
      <c r="Q1758" s="504"/>
      <c r="R1758" s="504"/>
      <c r="S1758" s="504"/>
    </row>
    <row r="1759" spans="1:19">
      <c r="A1759" s="504"/>
      <c r="B1759" s="2455" t="s">
        <v>3972</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2915</v>
      </c>
      <c r="D1760" s="2079"/>
      <c r="G1760" s="2562" t="s">
        <v>3760</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2917</v>
      </c>
      <c r="N1761" s="2345" t="s">
        <v>2061</v>
      </c>
      <c r="O1761" s="2372">
        <f>'Part IX A-Scoring Criteria'!O244</f>
        <v>0</v>
      </c>
      <c r="P1761" s="2372">
        <f>'Part IX A-Scoring Criteria'!P244</f>
        <v>0</v>
      </c>
      <c r="Q1761" s="2312"/>
    </row>
    <row r="1762" spans="1:19">
      <c r="A1762" s="2373"/>
      <c r="C1762" s="519" t="s">
        <v>3974</v>
      </c>
      <c r="D1762" s="519" t="str">
        <f>'Part I-Project Information'!$F$28</f>
        <v>Gainesville</v>
      </c>
      <c r="F1762" s="519" t="s">
        <v>3754</v>
      </c>
      <c r="G1762" s="519" t="str">
        <f>'Part I-Project Information'!$J$29</f>
        <v>Hall</v>
      </c>
      <c r="H1762" s="2417" t="s">
        <v>468</v>
      </c>
      <c r="I1762" s="2468" t="str">
        <f>'Part I-Project Information'!$N$29</f>
        <v>Yes</v>
      </c>
      <c r="K1762" s="2468" t="s">
        <v>3973</v>
      </c>
      <c r="L1762" s="2532" t="str">
        <f>'Part I-Project Information'!$O$28</f>
        <v>12.01</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123.75">
      <c r="A1764" s="2374" t="str">
        <f>'Part IX A-Scoring Criteria'!A247</f>
        <v>See Tab 36 for letters and documentation regarding the GICH's support and activities in Gainesville, GA.</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19"/>
      <c r="G1766" s="519"/>
      <c r="H1766" s="519"/>
      <c r="I1766" s="2277" t="s">
        <v>2912</v>
      </c>
      <c r="J1766" s="2259"/>
      <c r="K1766" s="2548"/>
      <c r="L1766" s="2277" t="str">
        <f>'Part I-Project Information'!$H$90</f>
        <v>Flexible</v>
      </c>
      <c r="M1766" s="2439">
        <v>8</v>
      </c>
      <c r="N1766" s="2080"/>
      <c r="O1766" s="2439">
        <f>'Part IX A-Scoring Criteria'!O249</f>
        <v>4</v>
      </c>
      <c r="P1766" s="2439">
        <f>'Part IX A-Scoring Criteria'!P249</f>
        <v>0</v>
      </c>
      <c r="Q1766" s="2258" t="s">
        <v>456</v>
      </c>
      <c r="R1766" s="2443"/>
      <c r="S1766" s="2443"/>
    </row>
    <row r="1767" spans="1:19" ht="15">
      <c r="A1767" s="2079"/>
      <c r="B1767" s="2405" t="s">
        <v>3023</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2955</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3977</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4492</v>
      </c>
      <c r="D1772" s="504"/>
      <c r="E1772" s="504"/>
      <c r="F1772" s="504"/>
      <c r="G1772" s="504"/>
      <c r="H1772" s="504"/>
      <c r="I1772" s="504"/>
      <c r="J1772" s="504"/>
      <c r="K1772" s="504"/>
      <c r="L1772" s="504"/>
      <c r="M1772" s="504"/>
      <c r="N1772" s="2473" t="s">
        <v>2520</v>
      </c>
      <c r="O1772" s="2372" t="str">
        <f>'Part IX A-Scoring Criteria'!O255</f>
        <v>N/a</v>
      </c>
      <c r="P1772" s="2372">
        <f>'Part IX A-Scoring Criteria'!P255</f>
        <v>0</v>
      </c>
      <c r="Q1772" s="504"/>
      <c r="R1772" s="504"/>
      <c r="S1772" s="504"/>
    </row>
    <row r="1773" spans="1:19" ht="12.75" customHeight="1">
      <c r="A1773" s="2415" t="s">
        <v>3528</v>
      </c>
      <c r="B1773" s="2415" t="s">
        <v>2521</v>
      </c>
      <c r="C1773" s="2374" t="s">
        <v>3978</v>
      </c>
      <c r="D1773" s="2374"/>
      <c r="E1773" s="2374"/>
      <c r="F1773" s="2374"/>
      <c r="G1773" s="2374"/>
      <c r="H1773" s="2374"/>
      <c r="I1773" s="2374"/>
      <c r="J1773" s="2374"/>
      <c r="K1773" s="2374"/>
      <c r="L1773" s="2374"/>
      <c r="M1773" s="2374"/>
      <c r="N1773" s="2460" t="s">
        <v>2521</v>
      </c>
      <c r="O1773" s="2372" t="str">
        <f>'Part IX A-Scoring Criteria'!O256</f>
        <v>Yes</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2</v>
      </c>
      <c r="P1774" s="2439">
        <f>'Part IX A-Scoring Criteria'!P257</f>
        <v>0</v>
      </c>
      <c r="Q1774" s="2443"/>
      <c r="R1774" s="2443"/>
      <c r="S1774" s="2443"/>
    </row>
    <row r="1775" spans="1:19">
      <c r="B1775" s="2520" t="s">
        <v>2062</v>
      </c>
      <c r="C1775" s="2419" t="s">
        <v>4493</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3983</v>
      </c>
      <c r="H1777" s="2415" t="s">
        <v>2521</v>
      </c>
      <c r="I1777" s="2565">
        <f>'Part IX A-Scoring Criteria'!I260</f>
        <v>700000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3712</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2842</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3981</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3982</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3984</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3985</v>
      </c>
      <c r="C1785" s="519" t="s">
        <v>3986</v>
      </c>
      <c r="H1785" s="2345" t="s">
        <v>3985</v>
      </c>
      <c r="I1785" s="2565">
        <f>'Part IX A-Scoring Criteria'!I268</f>
        <v>0</v>
      </c>
      <c r="J1785" s="2565"/>
      <c r="K1785" s="2345" t="s">
        <v>3985</v>
      </c>
      <c r="L1785" s="2565">
        <f>'Part IX A-Scoring Criteria'!L268</f>
        <v>0</v>
      </c>
      <c r="M1785" s="2565"/>
      <c r="N1785" s="2566" t="s">
        <v>3987</v>
      </c>
      <c r="O1785" s="2255"/>
      <c r="P1785" s="2255"/>
      <c r="R1785" s="2453"/>
    </row>
    <row r="1786" spans="1:19">
      <c r="A1786" s="2350"/>
      <c r="B1786" s="2540"/>
      <c r="C1786" s="2308" t="s">
        <v>2718</v>
      </c>
      <c r="H1786" s="504"/>
      <c r="I1786" s="2565">
        <f>SUM(I1776:J1785)</f>
        <v>700000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13380152</v>
      </c>
      <c r="J1788" s="2565"/>
      <c r="L1788" s="2219"/>
      <c r="M1788" s="2219"/>
      <c r="N1788" s="2219"/>
      <c r="O1788" s="2219"/>
      <c r="P1788" s="2219"/>
    </row>
    <row r="1789" spans="1:19">
      <c r="B1789" s="2473"/>
      <c r="C1789" s="2568"/>
      <c r="D1789" s="2468" t="s">
        <v>2720</v>
      </c>
      <c r="G1789" s="2344"/>
      <c r="H1789" s="2344"/>
      <c r="I1789" s="2569">
        <f>IF($I1788=0,0,$I1786/$I1788)</f>
        <v>5.2316296556272304E-2</v>
      </c>
      <c r="J1789" s="2569"/>
      <c r="L1789" s="2569">
        <f>IF($I1788=0,0,$L1786/$I1788)</f>
        <v>0</v>
      </c>
      <c r="M1789" s="2569"/>
    </row>
    <row r="1790" spans="1:19" ht="15">
      <c r="A1790" s="2289" t="s">
        <v>2061</v>
      </c>
      <c r="B1790" s="2455" t="s">
        <v>3988</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2810</v>
      </c>
      <c r="R1790" s="2443"/>
      <c r="S1790" s="2443"/>
    </row>
    <row r="1791" spans="1:19" ht="15">
      <c r="A1791" s="2289"/>
      <c r="B1791" s="519" t="s">
        <v>3989</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2971</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3991</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4082</v>
      </c>
      <c r="F1795" s="2414"/>
      <c r="G1795" s="2414"/>
      <c r="H1795" s="2414"/>
      <c r="I1795" s="2405">
        <f>'Part IX A-Scoring Criteria'!I278</f>
        <v>0</v>
      </c>
      <c r="K1795" s="2414"/>
      <c r="L1795" s="2414"/>
      <c r="M1795" s="2414"/>
      <c r="N1795" s="2414"/>
      <c r="O1795" s="2414"/>
      <c r="P1795" s="2414"/>
    </row>
    <row r="1796" spans="1:19">
      <c r="A1796" s="2350"/>
      <c r="B1796" s="2397" t="s">
        <v>3990</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3699</v>
      </c>
      <c r="E1798" s="2425"/>
      <c r="I1798" s="2572">
        <f>'Part IX A-Scoring Criteria'!I281</f>
        <v>0</v>
      </c>
      <c r="J1798" s="2572"/>
      <c r="L1798" s="2565">
        <f>'Part IX A-Scoring Criteria'!L281</f>
        <v>0</v>
      </c>
      <c r="M1798" s="2565"/>
      <c r="P1798" s="2255"/>
    </row>
    <row r="1799" spans="1:19" ht="15">
      <c r="A1799" s="2079"/>
      <c r="B1799" s="2443"/>
      <c r="C1799" s="519" t="s">
        <v>4165</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146.25">
      <c r="A1801" s="2374" t="str">
        <f>'Part IX A-Scoring Criteria'!A284</f>
        <v>The Project Partnership is receiving both leveraging and a long term ground lease for a nominal rent in conjuction with this project.</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3603</v>
      </c>
      <c r="C1805" s="2345"/>
      <c r="D1805" s="2443"/>
      <c r="E1805" s="2472"/>
      <c r="F1805" s="2443"/>
      <c r="G1805" s="2277" t="s">
        <v>2912</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2843</v>
      </c>
      <c r="C1806" s="2443"/>
      <c r="D1806" s="2079"/>
      <c r="E1806" s="2443"/>
      <c r="F1806" s="2443"/>
      <c r="G1806" s="504" t="s">
        <v>2433</v>
      </c>
      <c r="H1806" s="2443"/>
      <c r="I1806" s="2443"/>
      <c r="J1806" s="2443"/>
      <c r="K1806" s="2443"/>
      <c r="L1806" s="2443"/>
      <c r="M1806" s="2080">
        <v>3</v>
      </c>
      <c r="N1806" s="2345" t="s">
        <v>2058</v>
      </c>
      <c r="O1806" s="2372">
        <f>'Part IX A-Scoring Criteria'!O289</f>
        <v>0</v>
      </c>
      <c r="P1806" s="2372">
        <f>'Part IX A-Scoring Criteria'!P289</f>
        <v>0</v>
      </c>
      <c r="Q1806" s="2443"/>
      <c r="R1806" s="2453"/>
      <c r="S1806" s="2443"/>
    </row>
    <row r="1807" spans="1:19" ht="15" customHeight="1">
      <c r="A1807" s="2289" t="s">
        <v>2061</v>
      </c>
      <c r="B1807" s="2277" t="s">
        <v>3604</v>
      </c>
      <c r="C1807" s="2443"/>
      <c r="D1807" s="2079"/>
      <c r="E1807" s="2443"/>
      <c r="F1807" s="2345"/>
      <c r="G1807" s="504" t="s">
        <v>4110</v>
      </c>
      <c r="H1807" s="2443"/>
      <c r="I1807" s="2368" t="str">
        <f>'Part IX A-Scoring Criteria'!I290</f>
        <v>&lt;&lt; Choose category in which to compete &gt;&gt;</v>
      </c>
      <c r="J1807" s="2368"/>
      <c r="K1807" s="2368"/>
      <c r="L1807" s="2368"/>
      <c r="M1807" s="2443"/>
      <c r="N1807" s="2443"/>
      <c r="O1807" s="2153" t="s">
        <v>4494</v>
      </c>
      <c r="P1807" s="2153"/>
      <c r="Q1807" s="2443"/>
      <c r="R1807" s="2453"/>
      <c r="S1807" s="2443"/>
    </row>
    <row r="1808" spans="1:19" ht="15">
      <c r="A1808" s="2462" t="s">
        <v>779</v>
      </c>
      <c r="B1808" s="2306" t="s">
        <v>3992</v>
      </c>
      <c r="C1808" s="2465"/>
      <c r="D1808" s="2251"/>
      <c r="E1808" s="2251"/>
      <c r="F1808" s="2079"/>
      <c r="G1808" s="2443"/>
      <c r="H1808" s="2443"/>
      <c r="I1808" s="2443"/>
      <c r="J1808" s="2443"/>
      <c r="K1808" s="2443"/>
      <c r="L1808" s="2573" t="s">
        <v>3999</v>
      </c>
      <c r="M1808" s="2443"/>
      <c r="N1808" s="2443"/>
      <c r="O1808" s="2153"/>
      <c r="P1808" s="2153"/>
      <c r="Q1808" s="2443"/>
      <c r="R1808" s="2453"/>
      <c r="S1808" s="2443"/>
    </row>
    <row r="1809" spans="1:19" ht="15">
      <c r="A1809" s="2289"/>
      <c r="B1809" s="2520" t="s">
        <v>2062</v>
      </c>
      <c r="C1809" s="519" t="s">
        <v>3993</v>
      </c>
      <c r="D1809" s="2079"/>
      <c r="E1809" s="2458"/>
      <c r="F1809" s="2079"/>
      <c r="G1809" s="2458"/>
      <c r="H1809" s="519"/>
      <c r="I1809" s="2458"/>
      <c r="J1809" s="2458"/>
      <c r="K1809" s="2458"/>
      <c r="L1809" s="2540" t="s">
        <v>4000</v>
      </c>
      <c r="M1809" s="2458"/>
      <c r="N1809" s="2345" t="s">
        <v>779</v>
      </c>
      <c r="O1809" s="2473" t="s">
        <v>2062</v>
      </c>
      <c r="P1809" s="2372">
        <f>'Part IX A-Scoring Criteria'!P292</f>
        <v>0</v>
      </c>
      <c r="Q1809" s="2458"/>
      <c r="R1809" s="2453"/>
      <c r="S1809" s="2458"/>
    </row>
    <row r="1810" spans="1:19" ht="15">
      <c r="A1810" s="2289"/>
      <c r="B1810" s="2520" t="s">
        <v>2064</v>
      </c>
      <c r="C1810" s="519" t="s">
        <v>3994</v>
      </c>
      <c r="D1810" s="2079"/>
      <c r="E1810" s="2458"/>
      <c r="F1810" s="2079"/>
      <c r="G1810" s="2458"/>
      <c r="H1810" s="519"/>
      <c r="I1810" s="2458"/>
      <c r="J1810" s="2458"/>
      <c r="K1810" s="2458"/>
      <c r="L1810" s="2540" t="s">
        <v>4000</v>
      </c>
      <c r="M1810" s="2458"/>
      <c r="N1810" s="2458"/>
      <c r="O1810" s="2473" t="s">
        <v>2064</v>
      </c>
      <c r="P1810" s="2372">
        <f>'Part IX A-Scoring Criteria'!P293</f>
        <v>0</v>
      </c>
      <c r="Q1810" s="2458"/>
      <c r="R1810" s="2453"/>
      <c r="S1810" s="2458"/>
    </row>
    <row r="1811" spans="1:19" ht="15">
      <c r="A1811" s="2289"/>
      <c r="B1811" s="2520" t="s">
        <v>2622</v>
      </c>
      <c r="C1811" s="519" t="s">
        <v>3995</v>
      </c>
      <c r="D1811" s="2079"/>
      <c r="E1811" s="2458"/>
      <c r="F1811" s="2079"/>
      <c r="G1811" s="2458"/>
      <c r="H1811" s="519"/>
      <c r="I1811" s="2458"/>
      <c r="J1811" s="2458"/>
      <c r="K1811" s="2458"/>
      <c r="L1811" s="2540" t="s">
        <v>4001</v>
      </c>
      <c r="M1811" s="2458"/>
      <c r="N1811" s="2458"/>
      <c r="O1811" s="2473" t="s">
        <v>2622</v>
      </c>
      <c r="P1811" s="2372">
        <f>'Part IX A-Scoring Criteria'!P294</f>
        <v>0</v>
      </c>
      <c r="Q1811" s="2458"/>
      <c r="R1811" s="2453"/>
      <c r="S1811" s="2458"/>
    </row>
    <row r="1812" spans="1:19" ht="15">
      <c r="A1812" s="2289"/>
      <c r="B1812" s="2520" t="s">
        <v>1270</v>
      </c>
      <c r="C1812" s="519" t="s">
        <v>3996</v>
      </c>
      <c r="D1812" s="2079"/>
      <c r="E1812" s="2458"/>
      <c r="F1812" s="2079"/>
      <c r="G1812" s="2458"/>
      <c r="H1812" s="519"/>
      <c r="I1812" s="2458"/>
      <c r="J1812" s="2458"/>
      <c r="K1812" s="2458"/>
      <c r="L1812" s="2540" t="s">
        <v>4001</v>
      </c>
      <c r="M1812" s="2458"/>
      <c r="N1812" s="2458"/>
      <c r="O1812" s="2473" t="s">
        <v>1270</v>
      </c>
      <c r="P1812" s="2372">
        <f>'Part IX A-Scoring Criteria'!P295</f>
        <v>0</v>
      </c>
      <c r="Q1812" s="2458"/>
      <c r="R1812" s="2453"/>
      <c r="S1812" s="2458"/>
    </row>
    <row r="1813" spans="1:19" ht="15">
      <c r="A1813" s="2289"/>
      <c r="B1813" s="2520" t="s">
        <v>1271</v>
      </c>
      <c r="C1813" s="519" t="s">
        <v>3997</v>
      </c>
      <c r="D1813" s="2079"/>
      <c r="E1813" s="2458"/>
      <c r="F1813" s="2079"/>
      <c r="G1813" s="2458"/>
      <c r="H1813" s="519"/>
      <c r="I1813" s="2458"/>
      <c r="J1813" s="2458"/>
      <c r="K1813" s="2458"/>
      <c r="L1813" s="2540" t="s">
        <v>4001</v>
      </c>
      <c r="M1813" s="2458"/>
      <c r="N1813" s="2458"/>
      <c r="O1813" s="2473" t="s">
        <v>1271</v>
      </c>
      <c r="P1813" s="2372">
        <f>'Part IX A-Scoring Criteria'!P296</f>
        <v>0</v>
      </c>
      <c r="Q1813" s="2458"/>
      <c r="R1813" s="2453"/>
      <c r="S1813" s="2458"/>
    </row>
    <row r="1814" spans="1:19" ht="15">
      <c r="A1814" s="2410"/>
      <c r="B1814" s="2533" t="s">
        <v>1955</v>
      </c>
      <c r="C1814" s="2397" t="s">
        <v>3998</v>
      </c>
      <c r="D1814" s="2397"/>
      <c r="E1814" s="2397"/>
      <c r="F1814" s="2397"/>
      <c r="G1814" s="2397"/>
      <c r="H1814" s="2397"/>
      <c r="I1814" s="2397"/>
      <c r="J1814" s="2397"/>
      <c r="K1814" s="2397"/>
      <c r="L1814" s="2540" t="s">
        <v>4001</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4002</v>
      </c>
      <c r="M1815" s="2443"/>
      <c r="N1815" s="2443"/>
      <c r="O1815" s="2574"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4068</v>
      </c>
      <c r="C1819" s="2443"/>
      <c r="D1819" s="2079"/>
      <c r="E1819" s="2079"/>
      <c r="F1819" s="2079"/>
      <c r="G1819" s="2443"/>
      <c r="H1819" s="2575" t="s">
        <v>4383</v>
      </c>
      <c r="I1819" s="2576">
        <f>IF('Part VI-Revenues &amp; Expenses'!$O$62=0,0,L1820/'Part VI-Revenues &amp; Expenses'!$O$62)</f>
        <v>0.1</v>
      </c>
      <c r="J1819" s="2443"/>
      <c r="K1819" s="2345" t="s">
        <v>4067</v>
      </c>
      <c r="L1819" s="2576">
        <f>IF('Part VI-Revenues &amp; Expenses'!$O$58=0,0,'Part VI-Revenues &amp; Expenses'!$K$58/'Part VI-Revenues &amp; Expenses'!$O$58)</f>
        <v>0.77142857142857146</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4380</v>
      </c>
      <c r="D1820" s="2374"/>
      <c r="E1820" s="2374"/>
      <c r="F1820" s="2374"/>
      <c r="G1820" s="2374"/>
      <c r="H1820" s="2374"/>
      <c r="I1820" s="2577" t="s">
        <v>4387</v>
      </c>
      <c r="J1820" s="2578">
        <f>'Part IX A-Scoring Criteria'!J303</f>
        <v>9</v>
      </c>
      <c r="K1820" s="2577" t="s">
        <v>4382</v>
      </c>
      <c r="L1820" s="2578">
        <f>'Part IX A-Scoring Criteria'!L303</f>
        <v>9</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3606</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4005</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3713</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9"/>
      <c r="R1825" s="2481"/>
      <c r="S1825" s="2482"/>
    </row>
    <row r="1826" spans="1:19" ht="22.5">
      <c r="A1826" s="2410"/>
      <c r="B1826" s="2533"/>
      <c r="C1826" s="2423" t="s">
        <v>4084</v>
      </c>
      <c r="D1826" s="2377"/>
      <c r="E1826" s="2377"/>
      <c r="F1826" s="2377"/>
      <c r="G1826" s="2374">
        <f>'Part IX A-Scoring Criteria'!G309</f>
        <v>0</v>
      </c>
      <c r="H1826" s="2374"/>
      <c r="I1826" s="2374"/>
      <c r="J1826" s="2374"/>
      <c r="K1826" s="2377" t="s">
        <v>4085</v>
      </c>
      <c r="L1826" s="2581">
        <f>'Part IX A-Scoring Criteria'!L309</f>
        <v>0</v>
      </c>
      <c r="M1826" s="2374"/>
      <c r="N1826" s="2460"/>
      <c r="O1826" s="2460"/>
      <c r="P1826" s="2460"/>
      <c r="Q1826" s="2579"/>
      <c r="R1826" s="2481"/>
      <c r="S1826" s="2482"/>
    </row>
    <row r="1827" spans="1:19">
      <c r="A1827" s="2330"/>
      <c r="B1827" s="2533" t="s">
        <v>2064</v>
      </c>
      <c r="C1827" s="2397" t="s">
        <v>3607</v>
      </c>
      <c r="D1827" s="2397"/>
      <c r="E1827" s="2397"/>
      <c r="F1827" s="2397"/>
      <c r="G1827" s="2397"/>
      <c r="H1827" s="2397"/>
      <c r="I1827" s="2397"/>
      <c r="J1827" s="2397" t="s">
        <v>4083</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3714</v>
      </c>
      <c r="C1833" s="2482"/>
      <c r="D1833" s="519" t="str">
        <f>'Part IX A-Scoring Criteria'!D316</f>
        <v>&lt;&lt;Select applicable status&gt;&gt;</v>
      </c>
      <c r="E1833" s="519"/>
      <c r="F1833" s="519"/>
      <c r="G1833" s="519"/>
      <c r="H1833" s="519"/>
      <c r="I1833" s="519"/>
      <c r="J1833" s="2397" t="s">
        <v>2960</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4495</v>
      </c>
      <c r="C1835" s="2397"/>
      <c r="D1835" s="2397"/>
      <c r="E1835" s="2397"/>
      <c r="F1835" s="2397"/>
      <c r="G1835" s="2397"/>
      <c r="H1835" s="2397"/>
      <c r="I1835" s="2397"/>
      <c r="J1835" s="2397" t="s">
        <v>4006</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4007</v>
      </c>
      <c r="C1836" s="2374"/>
      <c r="D1836" s="2374"/>
      <c r="E1836" s="2374"/>
      <c r="F1836" s="2374"/>
      <c r="G1836" s="2374"/>
      <c r="H1836" s="2374"/>
      <c r="I1836" s="2397"/>
      <c r="J1836" s="2423" t="s">
        <v>2958</v>
      </c>
      <c r="K1836" s="2482"/>
      <c r="L1836" s="2583">
        <f>'Part VI-Revenues &amp; Expenses'!$O$62</f>
        <v>90</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2959</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3543</v>
      </c>
      <c r="C1841" s="2397"/>
      <c r="D1841" s="2482"/>
      <c r="E1841" s="2482"/>
      <c r="F1841" s="2482"/>
      <c r="G1841" s="2482"/>
      <c r="H1841" s="2397"/>
      <c r="I1841" s="2482"/>
      <c r="J1841" s="2397" t="s">
        <v>3609</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4112</v>
      </c>
      <c r="C1842" s="2374"/>
      <c r="D1842" s="2374"/>
      <c r="E1842" s="2374"/>
      <c r="F1842" s="2374"/>
      <c r="G1842" s="2374"/>
      <c r="H1842" s="2374"/>
      <c r="I1842" s="2374"/>
      <c r="J1842" s="2423" t="s">
        <v>2958</v>
      </c>
      <c r="K1842" s="2482"/>
      <c r="L1842" s="2583">
        <f>'Part VI-Revenues &amp; Expenses'!$O$62</f>
        <v>90</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2959</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4496</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4113</v>
      </c>
      <c r="C1849" s="2261"/>
      <c r="D1849" s="2587">
        <f>IF('Part VI-Revenues &amp; Expenses'!$O$62=0,0,'Part IV-Uses of Funds'!$J$172/'Part VI-Revenues &amp; Expenses'!$O$62)</f>
        <v>10055.555555555555</v>
      </c>
      <c r="E1849" s="2587"/>
      <c r="F1849" s="2261" t="s">
        <v>4114</v>
      </c>
      <c r="G1849" s="2588"/>
      <c r="H1849" s="2589">
        <f>IF('Part VI-Revenues &amp; Expenses'!$O$62=0,0,('Part VI-Revenues &amp; Expenses'!$O$77+'Part VI-Revenues &amp; Expenses'!$O$80+'Part VI-Revenues &amp; Expenses'!$O$84)/'Part VI-Revenues &amp; Expenses'!$O$62)</f>
        <v>0</v>
      </c>
      <c r="I1849" s="2307" t="s">
        <v>4497</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4009</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3879</v>
      </c>
      <c r="D1851" s="2344">
        <f>'Part IX A-Scoring Criteria'!D334</f>
        <v>0</v>
      </c>
      <c r="E1851" s="519"/>
      <c r="F1851" s="2308" t="s">
        <v>3880</v>
      </c>
      <c r="G1851" s="2591">
        <f>'Part IX A-Scoring Criteria'!G334</f>
        <v>0</v>
      </c>
      <c r="H1851" s="2443"/>
      <c r="I1851" s="504" t="s">
        <v>4010</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4011</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3879</v>
      </c>
      <c r="D1853" s="2344">
        <f>'Part IX A-Scoring Criteria'!D336</f>
        <v>0</v>
      </c>
      <c r="E1853" s="519"/>
      <c r="F1853" s="2308" t="s">
        <v>3880</v>
      </c>
      <c r="G1853" s="2591">
        <f>'Part IX A-Scoring Criteria'!G336</f>
        <v>0</v>
      </c>
      <c r="H1853" s="2443"/>
      <c r="I1853" s="504" t="s">
        <v>4010</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3610</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3867</v>
      </c>
      <c r="D1855" s="2580"/>
      <c r="E1855" s="2482"/>
      <c r="F1855" s="2482"/>
      <c r="G1855" s="2594">
        <f>'Part IX A-Scoring Criteria'!G338</f>
        <v>0</v>
      </c>
      <c r="H1855" s="2580"/>
      <c r="I1855" s="2423" t="s">
        <v>3866</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2810</v>
      </c>
      <c r="R1856" s="2482"/>
      <c r="S1856" s="2482"/>
    </row>
    <row r="1857" spans="1:19" ht="22.5">
      <c r="A1857" s="2410"/>
      <c r="B1857" s="2533"/>
      <c r="C1857" s="2423" t="s">
        <v>4086</v>
      </c>
      <c r="D1857" s="2377"/>
      <c r="E1857" s="2377"/>
      <c r="F1857" s="2374">
        <f>'Part IX A-Scoring Criteria'!F340</f>
        <v>0</v>
      </c>
      <c r="G1857" s="2374"/>
      <c r="H1857" s="2374"/>
      <c r="I1857" s="2374"/>
      <c r="K1857" s="2377" t="s">
        <v>4085</v>
      </c>
      <c r="L1857" s="2581">
        <f>'Part IX A-Scoring Criteria'!L340</f>
        <v>0</v>
      </c>
      <c r="M1857" s="2374"/>
      <c r="N1857" s="2460"/>
      <c r="O1857" s="2460"/>
      <c r="P1857" s="2460"/>
      <c r="Q1857" s="2579"/>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Flexible</v>
      </c>
      <c r="M1858" s="2480">
        <v>3</v>
      </c>
      <c r="N1858" s="2593"/>
      <c r="O1858" s="2590">
        <f>'Part IX A-Scoring Criteria'!O341</f>
        <v>0</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4016</v>
      </c>
      <c r="K1859" s="2374"/>
      <c r="L1859" s="2595">
        <f>'Part IX A-Scoring Criteria'!L342</f>
        <v>0</v>
      </c>
      <c r="M1859" s="2480"/>
      <c r="N1859" s="2593"/>
      <c r="O1859" s="2590"/>
      <c r="P1859" s="2590"/>
      <c r="Q1859" s="2074"/>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5">
        <f>'Part IX A-Scoring Criteria'!L343</f>
        <v>7</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3702</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2810</v>
      </c>
      <c r="R1861" s="2443"/>
      <c r="S1861" s="2443"/>
    </row>
    <row r="1862" spans="1:19" ht="15" customHeight="1">
      <c r="A1862" s="2367" t="s">
        <v>1403</v>
      </c>
      <c r="B1862" s="2372" t="s">
        <v>2064</v>
      </c>
      <c r="C1862" s="2382" t="s">
        <v>3701</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3877</v>
      </c>
      <c r="D1863" s="2596"/>
      <c r="E1863" s="2596"/>
      <c r="F1863" s="2404" t="s">
        <v>3870</v>
      </c>
      <c r="G1863" s="2404" t="s">
        <v>3871</v>
      </c>
      <c r="H1863" s="2404" t="s">
        <v>3872</v>
      </c>
      <c r="I1863" s="2404" t="s">
        <v>3873</v>
      </c>
      <c r="J1863" s="2404" t="s">
        <v>3874</v>
      </c>
      <c r="K1863" s="2404" t="s">
        <v>3875</v>
      </c>
      <c r="L1863" s="2404" t="s">
        <v>3876</v>
      </c>
      <c r="M1863" s="2597"/>
      <c r="N1863" s="2597"/>
      <c r="O1863" s="2597"/>
      <c r="P1863" s="2597"/>
      <c r="Q1863" s="504"/>
      <c r="R1863" s="2443"/>
      <c r="S1863" s="2443"/>
    </row>
    <row r="1864" spans="1:19" ht="15">
      <c r="A1864" s="2443"/>
      <c r="B1864" s="2367"/>
      <c r="C1864" s="2336" t="s">
        <v>3878</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3611</v>
      </c>
      <c r="D1865" s="2374"/>
      <c r="E1865" s="2374"/>
      <c r="F1865" s="2374"/>
      <c r="G1865" s="2374"/>
      <c r="H1865" s="2374"/>
      <c r="I1865" s="2374"/>
      <c r="J1865" s="2482"/>
      <c r="K1865" s="2374" t="s">
        <v>4116</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3612</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3613</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2810</v>
      </c>
      <c r="R1867" s="2458"/>
      <c r="S1867" s="2458"/>
    </row>
    <row r="1868" spans="1:19" ht="15" customHeight="1">
      <c r="A1868" s="2289"/>
      <c r="B1868" s="2443"/>
      <c r="C1868" s="2308" t="s">
        <v>4018</v>
      </c>
      <c r="D1868" s="2597"/>
      <c r="E1868" s="2572">
        <f>'Part IV-Uses of Funds'!$B$44</f>
        <v>9718500</v>
      </c>
      <c r="F1868" s="2572"/>
      <c r="G1868" s="519" t="s">
        <v>4019</v>
      </c>
      <c r="H1868" s="519"/>
      <c r="I1868" s="2600">
        <f>'Part IV-Uses of Funds'!$G$131</f>
        <v>13380152</v>
      </c>
      <c r="J1868" s="2337" t="s">
        <v>4020</v>
      </c>
      <c r="K1868" s="2337"/>
      <c r="L1868" s="2598">
        <f>IF(I1868=0, 0,E1868/I1868)</f>
        <v>0.72633704011733202</v>
      </c>
      <c r="M1868" s="2260"/>
      <c r="N1868" s="2260"/>
      <c r="O1868" s="2260"/>
      <c r="P1868" s="2260"/>
      <c r="Q1868" s="2074"/>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2810</v>
      </c>
      <c r="R1869" s="2482"/>
      <c r="S1869" s="2482"/>
    </row>
    <row r="1870" spans="1:19" ht="15" customHeight="1">
      <c r="A1870" s="2410" t="s">
        <v>640</v>
      </c>
      <c r="B1870" s="2482"/>
      <c r="C1870" s="2374" t="s">
        <v>3703</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2810</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2810</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600">
        <f>'Part IV-Uses of Funds'!$G$127</f>
        <v>0</v>
      </c>
      <c r="M1872" s="2601">
        <v>1</v>
      </c>
      <c r="N1872" s="2601"/>
      <c r="O1872" s="2439">
        <f>'Part IX A-Scoring Criteria'!O355</f>
        <v>0</v>
      </c>
      <c r="P1872" s="2439">
        <f>'Part IX A-Scoring Criteria'!P355</f>
        <v>0</v>
      </c>
      <c r="Q1872" s="1306" t="s">
        <v>2810</v>
      </c>
      <c r="R1872" s="2482"/>
      <c r="S1872" s="2482"/>
    </row>
    <row r="1873" spans="1:19" ht="22.5">
      <c r="A1873" s="2410"/>
      <c r="B1873" s="2482"/>
      <c r="C1873" s="2374"/>
      <c r="D1873" s="2374"/>
      <c r="E1873" s="2374"/>
      <c r="F1873" s="2374"/>
      <c r="G1873" s="2374"/>
      <c r="H1873" s="2374"/>
      <c r="I1873" s="2374"/>
      <c r="J1873" s="2374"/>
      <c r="K1873" s="2374" t="s">
        <v>4024</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45">
      <c r="A1875" s="2374" t="str">
        <f>'Part IX A-Scoring Criteria'!A358</f>
        <v>Applicant is not seeking preservation points.</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2961</v>
      </c>
      <c r="B1879" s="2441" t="s">
        <v>3626</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f>'Part IX A-Scoring Criteria'!O363</f>
        <v>0</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9" t="s">
        <v>3623</v>
      </c>
      <c r="G1882" s="519"/>
      <c r="H1882" s="2443"/>
      <c r="I1882" s="2443"/>
      <c r="J1882" s="2337" t="str">
        <f>'Part IX A-Scoring Criteria'!J365</f>
        <v>Gainesville City - 776</v>
      </c>
      <c r="K1882" s="2337"/>
      <c r="L1882" s="2337"/>
      <c r="M1882" s="2337"/>
      <c r="N1882" s="2337"/>
      <c r="O1882" s="2153" t="s">
        <v>3720</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3050</v>
      </c>
      <c r="G1884" s="504"/>
      <c r="H1884" s="2443"/>
      <c r="I1884" s="2443"/>
      <c r="J1884" s="2426" t="str">
        <f>'Part I-Project Information'!$H$67</f>
        <v>HFOP</v>
      </c>
      <c r="K1884" s="2426"/>
      <c r="L1884" s="2602"/>
      <c r="M1884" s="2153" t="s">
        <v>3899</v>
      </c>
      <c r="N1884" s="2382"/>
      <c r="O1884" s="2153"/>
      <c r="P1884" s="2382"/>
      <c r="Q1884" s="2443"/>
      <c r="R1884" s="2443"/>
      <c r="S1884" s="2443"/>
    </row>
    <row r="1885" spans="1:19" ht="15" customHeight="1">
      <c r="A1885" s="2289"/>
      <c r="B1885" s="2219" t="s">
        <v>3624</v>
      </c>
      <c r="C1885" s="2343"/>
      <c r="D1885" s="2343"/>
      <c r="E1885" s="2602"/>
      <c r="F1885" s="2453"/>
      <c r="G1885" s="2443"/>
      <c r="H1885" s="2602"/>
      <c r="I1885" s="2602"/>
      <c r="J1885" s="2602"/>
      <c r="K1885" s="2602"/>
      <c r="L1885" s="2602"/>
      <c r="M1885" s="2153"/>
      <c r="N1885" s="2382"/>
      <c r="O1885" s="2153"/>
      <c r="P1885" s="2337" t="s">
        <v>3620</v>
      </c>
      <c r="Q1885" s="2443"/>
      <c r="R1885" s="2443"/>
      <c r="S1885" s="2443"/>
    </row>
    <row r="1886" spans="1:19" ht="15">
      <c r="A1886" s="2289"/>
      <c r="B1886" s="2443"/>
      <c r="C1886" s="2303"/>
      <c r="D1886" s="2443"/>
      <c r="E1886" s="2443"/>
      <c r="F1886" s="2308" t="s">
        <v>3625</v>
      </c>
      <c r="G1886" s="2443"/>
      <c r="H1886" s="2602"/>
      <c r="I1886" s="2396" t="s">
        <v>3619</v>
      </c>
      <c r="J1886" s="2425" t="s">
        <v>3621</v>
      </c>
      <c r="K1886" s="2369" t="s">
        <v>3620</v>
      </c>
      <c r="L1886" s="2262" t="s">
        <v>3622</v>
      </c>
      <c r="M1886" s="2153"/>
      <c r="N1886" s="2260"/>
      <c r="O1886" s="2153"/>
      <c r="P1886" s="2337"/>
      <c r="Q1886" s="2443"/>
      <c r="R1886" s="2443"/>
      <c r="S1886" s="2443"/>
    </row>
    <row r="1887" spans="1:19" ht="15">
      <c r="A1887" s="2289"/>
      <c r="B1887" s="2345" t="s">
        <v>2520</v>
      </c>
      <c r="C1887" s="2343" t="s">
        <v>3618</v>
      </c>
      <c r="D1887" s="2343"/>
      <c r="E1887" s="2602"/>
      <c r="F1887" s="2337">
        <f>'Part IX A-Scoring Criteria'!F370</f>
        <v>0</v>
      </c>
      <c r="G1887" s="2337"/>
      <c r="H1887" s="2337"/>
      <c r="I1887" s="2404">
        <f>'Part IX A-Scoring Criteria'!I370</f>
        <v>0</v>
      </c>
      <c r="J1887" s="2404">
        <f>'Part IX A-Scoring Criteria'!J370</f>
        <v>0</v>
      </c>
      <c r="K1887" s="2603">
        <f>'Part IX A-Scoring Criteria'!K370</f>
        <v>0</v>
      </c>
      <c r="L1887" s="2260">
        <v>78</v>
      </c>
      <c r="M1887" s="2262" t="str">
        <f>IF(K1887="","",IF(K1887&gt;=L1887,"Yes",IF(K1887&lt;L1887,"No","")))</f>
        <v>No</v>
      </c>
      <c r="N1887" s="2260"/>
      <c r="O1887" s="2262" t="str">
        <f>IF(P1887="","",IF(P1887&gt;=L1887,"Yes",IF(P1887&lt;L1887,"No","")))</f>
        <v>No</v>
      </c>
      <c r="P1887" s="2603">
        <f>'Part IX A-Scoring Criteria'!P370</f>
        <v>0</v>
      </c>
      <c r="Q1887" s="519" t="s">
        <v>4117</v>
      </c>
      <c r="R1887" s="2443"/>
      <c r="S1887" s="2443"/>
    </row>
    <row r="1888" spans="1:19" ht="15">
      <c r="A1888" s="2289"/>
      <c r="B1888" s="2415" t="s">
        <v>2521</v>
      </c>
      <c r="C1888" s="2343" t="s">
        <v>3616</v>
      </c>
      <c r="D1888" s="2343"/>
      <c r="E1888" s="2602"/>
      <c r="F1888" s="2337">
        <f>'Part IX A-Scoring Criteria'!F371</f>
        <v>0</v>
      </c>
      <c r="G1888" s="2337"/>
      <c r="H1888" s="2337"/>
      <c r="I1888" s="2404">
        <f>'Part IX A-Scoring Criteria'!I371</f>
        <v>0</v>
      </c>
      <c r="J1888" s="2404">
        <f>'Part IX A-Scoring Criteria'!J371</f>
        <v>0</v>
      </c>
      <c r="K1888" s="2603">
        <f>'Part IX A-Scoring Criteria'!K371</f>
        <v>0</v>
      </c>
      <c r="L1888" s="2260">
        <v>75</v>
      </c>
      <c r="M1888" s="2262" t="str">
        <f>IF(K1888="","",IF(K1888&gt;=L1888,"Yes",IF(K1888&lt;L1888,"No","")))</f>
        <v>No</v>
      </c>
      <c r="N1888" s="2260"/>
      <c r="O1888" s="2262" t="str">
        <f>IF(P1888="","",IF(P1888&gt;=L1888,"Yes",IF(P1888&lt;L1888,"No","")))</f>
        <v>No</v>
      </c>
      <c r="P1888" s="2603">
        <f>'Part IX A-Scoring Criteria'!P371</f>
        <v>0</v>
      </c>
      <c r="Q1888" s="519" t="s">
        <v>4117</v>
      </c>
      <c r="R1888" s="2443"/>
      <c r="S1888" s="2443"/>
    </row>
    <row r="1889" spans="1:19" ht="33.75">
      <c r="A1889" s="2289"/>
      <c r="B1889" s="2345" t="s">
        <v>2522</v>
      </c>
      <c r="C1889" s="2343" t="s">
        <v>3617</v>
      </c>
      <c r="D1889" s="2343"/>
      <c r="E1889" s="2602"/>
      <c r="F1889" s="2337" t="str">
        <f>'Part IX A-Scoring Criteria'!F372</f>
        <v>Gainesville High School - 3050</v>
      </c>
      <c r="G1889" s="2337"/>
      <c r="H1889" s="2337"/>
      <c r="I1889" s="2404" t="str">
        <f>'Part IX A-Scoring Criteria'!I372</f>
        <v>09, 10, 11, 12</v>
      </c>
      <c r="J1889" s="2404" t="str">
        <f>'Part IX A-Scoring Criteria'!J372</f>
        <v>No</v>
      </c>
      <c r="K1889" s="2603">
        <f>'Part IX A-Scoring Criteria'!K372</f>
        <v>72.5</v>
      </c>
      <c r="L1889" s="2260">
        <v>72</v>
      </c>
      <c r="M1889" s="2262" t="str">
        <f>IF(K1889="","",IF(K1889&gt;=L1889,"Yes",IF(K1889&lt;L1889,"No","")))</f>
        <v>Yes</v>
      </c>
      <c r="N1889" s="2260"/>
      <c r="O1889" s="2262" t="str">
        <f>IF(P1889="","",IF(P1889&gt;=L1889,"Yes",IF(P1889&lt;L1889,"No","")))</f>
        <v>No</v>
      </c>
      <c r="P1889" s="2603">
        <f>'Part IX A-Scoring Criteria'!P372</f>
        <v>0</v>
      </c>
      <c r="Q1889" s="519" t="s">
        <v>4117</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337.5">
      <c r="A1891" s="2374" t="str">
        <f>'Part IX A-Scoring Criteria'!A374</f>
        <v>The Project, and the entire city of Gainesville, is districted for Gainesville High School which meets the performance standard necessary for a point in this category. While we are not a family category, we should still receive the point for the multiplier for locating the property in an area with good schools.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2964</v>
      </c>
      <c r="B1895" s="2441" t="s">
        <v>2963</v>
      </c>
      <c r="C1895" s="2443"/>
      <c r="D1895" s="2472"/>
      <c r="E1895" s="2472"/>
      <c r="F1895" s="2472"/>
      <c r="G1895" s="2369" t="s">
        <v>4026</v>
      </c>
      <c r="H1895" s="2472"/>
      <c r="I1895" s="2443"/>
      <c r="J1895" s="2443"/>
      <c r="K1895" s="2443"/>
      <c r="L1895" s="2443"/>
      <c r="M1895" s="2258">
        <v>2</v>
      </c>
      <c r="N1895" s="2473"/>
      <c r="O1895" s="2439">
        <f>'Part IX A-Scoring Criteria'!O378</f>
        <v>2</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4498</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4499</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4027</v>
      </c>
      <c r="C1900" s="2605"/>
      <c r="D1900" s="2447" t="s">
        <v>2965</v>
      </c>
      <c r="E1900" s="2433" t="s">
        <v>3627</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2969</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3909</v>
      </c>
      <c r="J1903" s="2425" t="s">
        <v>3910</v>
      </c>
      <c r="K1903" s="2600"/>
      <c r="L1903" s="2600"/>
      <c r="M1903" s="2600"/>
      <c r="N1903" s="504"/>
      <c r="O1903" s="504"/>
      <c r="P1903" s="504"/>
      <c r="Q1903" s="504"/>
      <c r="R1903" s="2604"/>
      <c r="S1903" s="504"/>
    </row>
    <row r="1904" spans="1:19">
      <c r="A1904" s="504"/>
      <c r="B1904" s="504"/>
      <c r="C1904" s="2606" t="s">
        <v>4032</v>
      </c>
      <c r="D1904" s="2600"/>
      <c r="E1904" s="2600"/>
      <c r="F1904" s="2600"/>
      <c r="G1904" s="2600"/>
      <c r="H1904" s="2600"/>
      <c r="I1904" s="2600">
        <f>'Part IX A-Scoring Criteria'!I387</f>
        <v>6000</v>
      </c>
      <c r="J1904" s="2600">
        <f>'Part IX A-Scoring Criteria'!J387</f>
        <v>0</v>
      </c>
      <c r="K1904" s="2605" t="str">
        <f>IF(J1905&lt;J1904,"Threshold not met!","")</f>
        <v/>
      </c>
      <c r="L1904" s="504" t="s">
        <v>2966</v>
      </c>
      <c r="M1904" s="2426" t="str">
        <f>'Part I-Project Information'!$F$28</f>
        <v>Gainesville</v>
      </c>
      <c r="N1904" s="2426"/>
      <c r="O1904" s="2426"/>
      <c r="P1904" s="2426"/>
      <c r="Q1904" s="504"/>
      <c r="R1904" s="504"/>
      <c r="S1904" s="504"/>
    </row>
    <row r="1905" spans="1:19" ht="13.5">
      <c r="A1905" s="2428"/>
      <c r="B1905" s="2428"/>
      <c r="C1905" s="2468" t="s">
        <v>4028</v>
      </c>
      <c r="D1905" s="504"/>
      <c r="E1905" s="504"/>
      <c r="F1905" s="504"/>
      <c r="G1905" s="504"/>
      <c r="H1905" s="2607" t="str">
        <f>IF(I1905&lt;I1904,"Threshold not met!","")</f>
        <v/>
      </c>
      <c r="I1905" s="2600">
        <f>'Part IX A-Scoring Criteria'!I388</f>
        <v>30000</v>
      </c>
      <c r="J1905" s="2600">
        <f>'Part IX A-Scoring Criteria'!J388</f>
        <v>0</v>
      </c>
      <c r="K1905" s="2605"/>
      <c r="L1905" s="2426" t="s">
        <v>2967</v>
      </c>
      <c r="M1905" s="2426" t="str">
        <f>'Part I-Project Information'!$J$29</f>
        <v>Hall</v>
      </c>
      <c r="N1905" s="2426"/>
      <c r="O1905" s="2426"/>
      <c r="P1905" s="2426"/>
      <c r="Q1905" s="504"/>
      <c r="R1905" s="504"/>
      <c r="S1905" s="504"/>
    </row>
    <row r="1906" spans="1:19" ht="13.5">
      <c r="A1906" s="2428"/>
      <c r="B1906" s="2428"/>
      <c r="C1906" s="2468" t="s">
        <v>4166</v>
      </c>
      <c r="D1906" s="504"/>
      <c r="E1906" s="504"/>
      <c r="F1906" s="504"/>
      <c r="G1906" s="504"/>
      <c r="H1906" s="504"/>
      <c r="I1906" s="2600">
        <f>'Part IX A-Scoring Criteria'!I389</f>
        <v>18401</v>
      </c>
      <c r="J1906" s="2600">
        <f>'Part IX A-Scoring Criteria'!J389</f>
        <v>0</v>
      </c>
      <c r="K1906" s="504"/>
      <c r="L1906" s="2468" t="s">
        <v>2968</v>
      </c>
      <c r="M1906" s="2426" t="str">
        <f>'Part I-Project Information'!$O$30</f>
        <v>Gainesville</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3051</v>
      </c>
      <c r="M1907" s="2426" t="str">
        <f>VLOOKUP('Part I-Project Information'!$J$29,'DCA Underwriting Assumptions'!$G$141:$J$300,4)</f>
        <v>MSA</v>
      </c>
      <c r="N1907" s="2426"/>
      <c r="O1907" s="2426"/>
      <c r="P1907" s="2426"/>
      <c r="Q1907" s="504"/>
      <c r="R1907" s="504"/>
      <c r="S1907" s="504"/>
    </row>
    <row r="1908" spans="1:19">
      <c r="A1908" s="504"/>
      <c r="B1908" s="504"/>
      <c r="C1908" s="2468" t="s">
        <v>4167</v>
      </c>
      <c r="D1908" s="504"/>
      <c r="E1908" s="504"/>
      <c r="F1908" s="504"/>
      <c r="G1908" s="504"/>
      <c r="H1908" s="504"/>
      <c r="I1908" s="2467">
        <f>IF(I1905=0,0,I1906/I1905)</f>
        <v>0.61336666666666662</v>
      </c>
      <c r="J1908" s="2527">
        <f>IF(J1905=0,0,J1906/J1905)</f>
        <v>0</v>
      </c>
      <c r="K1908" s="504"/>
      <c r="L1908" s="504" t="s">
        <v>4029</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157.5">
      <c r="A1911" s="2374" t="str">
        <f>'Part IX A-Scoring Criteria'!A394</f>
        <v>Gainesville is a thriving economy and more jobs are being added. The increase in workforce housing is a huge benefit to this community.</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2962</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4089</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4090</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4091</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3</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4156</v>
      </c>
      <c r="M1924" s="2377"/>
      <c r="N1924" s="2471"/>
      <c r="O1924" s="2608">
        <f>'Part IX A-Scoring Criteria'!O408</f>
        <v>63</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63</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3056</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3057</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3058</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3059</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4137</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225">
      <c r="A1932" s="2374" t="str">
        <f>'Part IX A-Scoring Criteria'!A415</f>
        <v xml:space="preserve">22.A. The qualifying principal and qualifying entity (Barry Teague and KDTA Development) have been involved in at least 15 successful tax credit projects as owner/developer.
</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4168</v>
      </c>
      <c r="B1936" s="546"/>
      <c r="C1936" s="546"/>
      <c r="D1936" s="546"/>
      <c r="E1936" s="546"/>
      <c r="F1936" s="546"/>
    </row>
    <row r="1937" spans="1:6" ht="16.5">
      <c r="A1937" s="2614" t="str">
        <f>'Part I-Project Information'!$F$24</f>
        <v>240 Atlanta Street Development Phase 2</v>
      </c>
      <c r="B1937" s="2508"/>
      <c r="C1937" s="2508"/>
      <c r="D1937" s="2508"/>
      <c r="E1937" s="2508"/>
      <c r="F1937" s="2508"/>
    </row>
    <row r="1938" spans="1:6" ht="16.5">
      <c r="A1938" s="2614" t="str">
        <f>CONCATENATE('Part I-Project Information'!$F$28,", ", 'Part I-Project Information'!$J$29," County")</f>
        <v>Gainesville, Hall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GICH - City of Gainesville 
Narrative 
GICH Goals and Objectives and how the proposed project meets the objective: 
Improve the quality of all residential properties in the City: The redevelopment plan includes replacing public housing apartments that have been determined to be physically obsolete with new, quality affordable housing units. 
Improve access to safe and affordable housing choices: Current site of the proposed project is crime ridden and dilapidated. The proposed project will improve the community and be a catalyst for community wide redevelopment. 
Strengthen connections between resources and recipients: One of the action items under this goal was to determine the role of the Housing Authority in GICH. The Housing Authority is now a member of GICH and relationships have strengthened throughout the planning and redevelopment process. 
Increase awareness of and availability to transitional housing/rental assistance: N/ A 
Enhance overall appearance of downtown area: The proposed project is on the edge between the downtown and midtown areas. The project will greatly enhance the appearance of the downtown area.</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3764</v>
      </c>
    </row>
    <row r="1964" spans="1:6" ht="16.5">
      <c r="A1964" s="2619" t="str">
        <f>'Part I-Project Information'!$F$24</f>
        <v>240 Atlanta Street Development Phase 2</v>
      </c>
    </row>
    <row r="1965" spans="1:6" ht="16.5">
      <c r="A1965" s="2619" t="str">
        <f>CONCATENATE('Part I-Project Information'!$F$28,", ", 'Part I-Project Information'!$J$29," County")</f>
        <v>Gainesville, Hall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9iIgiPG9GFKhTXLlI9PWaM0DulbglE0fOQR4qy7BBsUzBplKH7aGYTN978UScu10JBpKhS1pq7BpDtzMUlY5+Q==" saltValue="yonE901th8ROhJyX062esA=="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2016-032 240 Atlanta Street Development Phase 2, Gainesville, Hall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2" t="s">
        <v>4200</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5" t="s">
        <v>4199</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4233</v>
      </c>
      <c r="I5" s="2743"/>
      <c r="J5" s="2743"/>
      <c r="K5" s="2743"/>
      <c r="L5" s="2743"/>
      <c r="M5" s="2743"/>
      <c r="N5" s="2744"/>
      <c r="O5" s="1389" t="s">
        <v>2065</v>
      </c>
      <c r="P5" s="1389"/>
      <c r="Q5" s="2650" t="s">
        <v>4231</v>
      </c>
      <c r="R5" s="2743"/>
      <c r="S5" s="2744"/>
    </row>
    <row r="6" spans="1:26" s="329" customFormat="1" ht="11.25" customHeight="1">
      <c r="D6" s="372"/>
      <c r="E6" s="334" t="s">
        <v>1058</v>
      </c>
      <c r="F6" s="342"/>
      <c r="H6" s="2650" t="s">
        <v>4230</v>
      </c>
      <c r="I6" s="2743"/>
      <c r="J6" s="2743"/>
      <c r="K6" s="2743"/>
      <c r="L6" s="2743"/>
      <c r="M6" s="2743"/>
      <c r="N6" s="2744"/>
      <c r="O6" s="1389" t="s">
        <v>1813</v>
      </c>
      <c r="Q6" s="2650" t="s">
        <v>4235</v>
      </c>
      <c r="R6" s="2743"/>
      <c r="S6" s="2744"/>
    </row>
    <row r="7" spans="1:26" s="329" customFormat="1" ht="11.25" customHeight="1">
      <c r="D7" s="372"/>
      <c r="E7" s="334" t="s">
        <v>642</v>
      </c>
      <c r="H7" s="2650" t="s">
        <v>1267</v>
      </c>
      <c r="I7" s="2743"/>
      <c r="J7" s="2744"/>
      <c r="K7" s="2745" t="s">
        <v>793</v>
      </c>
      <c r="L7" s="2650"/>
      <c r="M7" s="2743"/>
      <c r="N7" s="2744"/>
      <c r="O7" s="1389" t="s">
        <v>1869</v>
      </c>
      <c r="Q7" s="2746">
        <v>7705361294</v>
      </c>
      <c r="R7" s="2747"/>
      <c r="S7" s="2748"/>
    </row>
    <row r="8" spans="1:26" s="329" customFormat="1" ht="11.25" customHeight="1">
      <c r="D8" s="372"/>
      <c r="E8" s="334" t="s">
        <v>1865</v>
      </c>
      <c r="H8" s="2749" t="s">
        <v>880</v>
      </c>
      <c r="I8" s="1394" t="s">
        <v>2308</v>
      </c>
      <c r="J8" s="2750">
        <v>305018528</v>
      </c>
      <c r="K8" s="2744"/>
      <c r="L8" s="329" t="s">
        <v>4136</v>
      </c>
      <c r="M8" s="2751" t="s">
        <v>4234</v>
      </c>
      <c r="N8" s="2752"/>
      <c r="O8" s="1389" t="s">
        <v>2054</v>
      </c>
      <c r="Q8" s="2746"/>
      <c r="R8" s="2747"/>
      <c r="S8" s="2748"/>
    </row>
    <row r="9" spans="1:26" s="329" customFormat="1" ht="11.25" customHeight="1">
      <c r="D9" s="372"/>
      <c r="E9" s="334" t="s">
        <v>2060</v>
      </c>
      <c r="H9" s="2746">
        <v>7705361294</v>
      </c>
      <c r="I9" s="2748"/>
      <c r="J9" s="2753"/>
      <c r="K9" s="1403" t="s">
        <v>2059</v>
      </c>
      <c r="L9" s="2647" t="s">
        <v>4232</v>
      </c>
      <c r="M9" s="2648"/>
      <c r="N9" s="2648"/>
      <c r="O9" s="2648"/>
      <c r="P9" s="2648"/>
      <c r="Q9" s="2648"/>
      <c r="R9" s="2648"/>
      <c r="S9" s="2649"/>
    </row>
    <row r="10" spans="1:26" s="329" customFormat="1" ht="11.25" customHeight="1">
      <c r="D10" s="372"/>
      <c r="E10" s="322" t="s">
        <v>2847</v>
      </c>
      <c r="H10" s="366"/>
      <c r="K10" s="297"/>
      <c r="N10" s="405" t="s">
        <v>3849</v>
      </c>
      <c r="Q10" s="140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4" t="s">
        <v>1331</v>
      </c>
      <c r="W12" s="2754"/>
      <c r="X12" s="2754"/>
      <c r="Y12" s="2754"/>
      <c r="Z12" s="2754"/>
    </row>
    <row r="13" spans="1:26" s="329" customFormat="1" ht="11.25" customHeight="1">
      <c r="C13" s="374" t="s">
        <v>2062</v>
      </c>
      <c r="D13" s="371" t="s">
        <v>2063</v>
      </c>
      <c r="H13" s="1399"/>
      <c r="I13" s="1399"/>
      <c r="J13" s="1399"/>
      <c r="N13" s="1383"/>
      <c r="W13" s="2755"/>
      <c r="X13" s="2755"/>
      <c r="Y13" s="2755"/>
      <c r="Z13" s="2755"/>
    </row>
    <row r="14" spans="1:26" s="329" customFormat="1" ht="11.25" customHeight="1">
      <c r="D14" s="331" t="s">
        <v>2194</v>
      </c>
      <c r="E14" s="329" t="s">
        <v>1926</v>
      </c>
      <c r="H14" s="2632" t="s">
        <v>4236</v>
      </c>
      <c r="I14" s="2693"/>
      <c r="J14" s="2693"/>
      <c r="K14" s="2693"/>
      <c r="L14" s="2693"/>
      <c r="M14" s="2693"/>
      <c r="N14" s="2694"/>
      <c r="O14" s="1389" t="s">
        <v>2065</v>
      </c>
      <c r="P14" s="1389"/>
      <c r="Q14" s="2632" t="s">
        <v>4231</v>
      </c>
      <c r="R14" s="2693"/>
      <c r="S14" s="2694"/>
    </row>
    <row r="15" spans="1:26" s="329" customFormat="1" ht="11.25" customHeight="1">
      <c r="D15" s="372"/>
      <c r="E15" s="334" t="s">
        <v>1058</v>
      </c>
      <c r="F15" s="342"/>
      <c r="H15" s="2632" t="s">
        <v>4230</v>
      </c>
      <c r="I15" s="2693"/>
      <c r="J15" s="2693"/>
      <c r="K15" s="2693"/>
      <c r="L15" s="2693"/>
      <c r="M15" s="2693"/>
      <c r="N15" s="2694"/>
      <c r="O15" s="1389" t="s">
        <v>1813</v>
      </c>
      <c r="Q15" s="2632" t="s">
        <v>4235</v>
      </c>
      <c r="R15" s="2693"/>
      <c r="S15" s="2694"/>
    </row>
    <row r="16" spans="1:26" s="329" customFormat="1" ht="11.25" customHeight="1">
      <c r="D16" s="372"/>
      <c r="E16" s="334" t="s">
        <v>642</v>
      </c>
      <c r="H16" s="2632" t="s">
        <v>1267</v>
      </c>
      <c r="I16" s="2693"/>
      <c r="J16" s="2694"/>
      <c r="K16" s="1393" t="s">
        <v>2808</v>
      </c>
      <c r="L16" s="2632" t="s">
        <v>4237</v>
      </c>
      <c r="M16" s="2693"/>
      <c r="N16" s="2694"/>
      <c r="O16" s="1389" t="s">
        <v>1869</v>
      </c>
      <c r="Q16" s="2640">
        <v>7705361294</v>
      </c>
      <c r="R16" s="2645"/>
      <c r="S16" s="2641"/>
    </row>
    <row r="17" spans="3:19" s="329" customFormat="1" ht="11.25" customHeight="1">
      <c r="D17" s="331"/>
      <c r="E17" s="334" t="s">
        <v>1865</v>
      </c>
      <c r="H17" s="2646" t="s">
        <v>880</v>
      </c>
      <c r="K17" s="1394" t="s">
        <v>2308</v>
      </c>
      <c r="L17" s="2643">
        <v>305018528</v>
      </c>
      <c r="M17" s="2694"/>
      <c r="O17" s="1389" t="s">
        <v>2054</v>
      </c>
      <c r="Q17" s="2640"/>
      <c r="R17" s="2645"/>
      <c r="S17" s="2641"/>
    </row>
    <row r="18" spans="3:19" s="329" customFormat="1" ht="11.25" customHeight="1">
      <c r="D18" s="372"/>
      <c r="E18" s="334" t="s">
        <v>2060</v>
      </c>
      <c r="H18" s="2640">
        <v>7705361294</v>
      </c>
      <c r="I18" s="2641"/>
      <c r="J18" s="2756"/>
      <c r="K18" s="1403" t="s">
        <v>2059</v>
      </c>
      <c r="L18" s="2647" t="s">
        <v>4232</v>
      </c>
      <c r="M18" s="2648"/>
      <c r="N18" s="2648"/>
      <c r="O18" s="2648"/>
      <c r="P18" s="2648"/>
      <c r="Q18" s="2648"/>
      <c r="R18" s="2648"/>
      <c r="S18" s="2649"/>
    </row>
    <row r="19" spans="3:19" ht="4.1500000000000004" customHeight="1">
      <c r="D19" s="357"/>
      <c r="H19" s="2757"/>
      <c r="I19" s="2757"/>
      <c r="J19" s="2757"/>
      <c r="K19" s="1403"/>
      <c r="L19" s="2757"/>
      <c r="M19" s="2757"/>
      <c r="N19" s="1391"/>
      <c r="O19" s="1384"/>
      <c r="P19" s="1384"/>
      <c r="Q19" s="1403"/>
      <c r="R19" s="1384"/>
      <c r="S19" s="1384"/>
    </row>
    <row r="20" spans="3:19" s="329" customFormat="1" ht="11.25" customHeight="1">
      <c r="D20" s="331" t="s">
        <v>2195</v>
      </c>
      <c r="E20" s="329" t="s">
        <v>1927</v>
      </c>
      <c r="F20" s="1399"/>
      <c r="H20" s="2632"/>
      <c r="I20" s="2693"/>
      <c r="J20" s="2693"/>
      <c r="K20" s="2693"/>
      <c r="L20" s="2693"/>
      <c r="M20" s="2693"/>
      <c r="N20" s="2694"/>
      <c r="O20" s="1389" t="s">
        <v>2065</v>
      </c>
      <c r="P20" s="1389"/>
      <c r="Q20" s="2632"/>
      <c r="R20" s="2693"/>
      <c r="S20" s="2694"/>
    </row>
    <row r="21" spans="3:19" s="329" customFormat="1" ht="11.25" customHeight="1">
      <c r="D21" s="372"/>
      <c r="E21" s="334" t="s">
        <v>1058</v>
      </c>
      <c r="F21" s="342"/>
      <c r="H21" s="2632"/>
      <c r="I21" s="2693"/>
      <c r="J21" s="2693"/>
      <c r="K21" s="2693"/>
      <c r="L21" s="2693"/>
      <c r="M21" s="2693"/>
      <c r="N21" s="2694"/>
      <c r="O21" s="1389" t="s">
        <v>1813</v>
      </c>
      <c r="Q21" s="2632"/>
      <c r="R21" s="2693"/>
      <c r="S21" s="2694"/>
    </row>
    <row r="22" spans="3:19" s="329" customFormat="1" ht="11.25" customHeight="1">
      <c r="D22" s="372"/>
      <c r="E22" s="334" t="s">
        <v>642</v>
      </c>
      <c r="H22" s="2632"/>
      <c r="I22" s="2693"/>
      <c r="J22" s="2694"/>
      <c r="K22" s="1393" t="s">
        <v>2808</v>
      </c>
      <c r="L22" s="2632"/>
      <c r="M22" s="2693"/>
      <c r="N22" s="2694"/>
      <c r="O22" s="1389" t="s">
        <v>1869</v>
      </c>
      <c r="Q22" s="2640"/>
      <c r="R22" s="2645"/>
      <c r="S22" s="2641"/>
    </row>
    <row r="23" spans="3:19" s="329" customFormat="1" ht="11.25" customHeight="1">
      <c r="E23" s="334" t="s">
        <v>1865</v>
      </c>
      <c r="H23" s="2646"/>
      <c r="K23" s="1394" t="s">
        <v>2308</v>
      </c>
      <c r="L23" s="2643"/>
      <c r="M23" s="2694"/>
      <c r="O23" s="1389" t="s">
        <v>2054</v>
      </c>
      <c r="Q23" s="2640"/>
      <c r="R23" s="2645"/>
      <c r="S23" s="2641"/>
    </row>
    <row r="24" spans="3:19" s="329" customFormat="1" ht="11.25" customHeight="1">
      <c r="D24" s="372"/>
      <c r="E24" s="334" t="s">
        <v>2060</v>
      </c>
      <c r="H24" s="2640"/>
      <c r="I24" s="2641"/>
      <c r="J24" s="2756"/>
      <c r="K24" s="1403" t="s">
        <v>2059</v>
      </c>
      <c r="L24" s="2647"/>
      <c r="M24" s="2648"/>
      <c r="N24" s="2648"/>
      <c r="O24" s="2648"/>
      <c r="P24" s="2648"/>
      <c r="Q24" s="2648"/>
      <c r="R24" s="2648"/>
      <c r="S24" s="2649"/>
    </row>
    <row r="25" spans="3:19" s="329" customFormat="1" ht="4.1500000000000004" customHeight="1">
      <c r="D25" s="372"/>
      <c r="E25" s="1399"/>
      <c r="F25" s="1399"/>
      <c r="G25" s="1389"/>
      <c r="H25" s="2757"/>
      <c r="I25" s="2757"/>
      <c r="J25" s="2757"/>
      <c r="K25" s="1403"/>
      <c r="L25" s="2757"/>
      <c r="M25" s="2757"/>
      <c r="N25" s="1391"/>
      <c r="O25" s="1384"/>
      <c r="P25" s="1384"/>
      <c r="Q25" s="1403"/>
      <c r="R25" s="1384"/>
      <c r="S25" s="1384"/>
    </row>
    <row r="26" spans="3:19" s="329" customFormat="1" ht="11.25" customHeight="1">
      <c r="D26" s="331" t="s">
        <v>1800</v>
      </c>
      <c r="E26" s="329" t="s">
        <v>1927</v>
      </c>
      <c r="F26" s="1399"/>
      <c r="H26" s="2632"/>
      <c r="I26" s="2693"/>
      <c r="J26" s="2693"/>
      <c r="K26" s="2693"/>
      <c r="L26" s="2693"/>
      <c r="M26" s="2693"/>
      <c r="N26" s="2694"/>
      <c r="O26" s="1389" t="s">
        <v>2065</v>
      </c>
      <c r="P26" s="1389"/>
      <c r="Q26" s="2632"/>
      <c r="R26" s="2693"/>
      <c r="S26" s="2694"/>
    </row>
    <row r="27" spans="3:19" s="329" customFormat="1" ht="11.25" customHeight="1">
      <c r="D27" s="372"/>
      <c r="E27" s="334" t="s">
        <v>1058</v>
      </c>
      <c r="F27" s="342"/>
      <c r="H27" s="2632"/>
      <c r="I27" s="2693"/>
      <c r="J27" s="2693"/>
      <c r="K27" s="2693"/>
      <c r="L27" s="2693"/>
      <c r="M27" s="2693"/>
      <c r="N27" s="2694"/>
      <c r="O27" s="1389" t="s">
        <v>1813</v>
      </c>
      <c r="Q27" s="2632"/>
      <c r="R27" s="2693"/>
      <c r="S27" s="2694"/>
    </row>
    <row r="28" spans="3:19" s="329" customFormat="1" ht="11.25" customHeight="1">
      <c r="D28" s="372"/>
      <c r="E28" s="334" t="s">
        <v>642</v>
      </c>
      <c r="H28" s="2632"/>
      <c r="I28" s="2693"/>
      <c r="J28" s="2694"/>
      <c r="K28" s="1393" t="s">
        <v>2808</v>
      </c>
      <c r="L28" s="2632"/>
      <c r="M28" s="2693"/>
      <c r="N28" s="2694"/>
      <c r="O28" s="1389" t="s">
        <v>1869</v>
      </c>
      <c r="Q28" s="2640"/>
      <c r="R28" s="2645"/>
      <c r="S28" s="2641"/>
    </row>
    <row r="29" spans="3:19" s="329" customFormat="1" ht="11.25" customHeight="1">
      <c r="E29" s="334" t="s">
        <v>1865</v>
      </c>
      <c r="H29" s="2646"/>
      <c r="K29" s="1394" t="s">
        <v>2308</v>
      </c>
      <c r="L29" s="2643"/>
      <c r="M29" s="2694"/>
      <c r="O29" s="1389" t="s">
        <v>2054</v>
      </c>
      <c r="Q29" s="2640"/>
      <c r="R29" s="2645"/>
      <c r="S29" s="2641"/>
    </row>
    <row r="30" spans="3:19" s="329" customFormat="1" ht="11.25" customHeight="1">
      <c r="D30" s="372"/>
      <c r="E30" s="334" t="s">
        <v>2060</v>
      </c>
      <c r="H30" s="2640"/>
      <c r="I30" s="2641"/>
      <c r="J30" s="2756"/>
      <c r="K30" s="1403"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2" t="s">
        <v>4392</v>
      </c>
      <c r="I33" s="2693"/>
      <c r="J33" s="2693"/>
      <c r="K33" s="2693"/>
      <c r="L33" s="2693"/>
      <c r="M33" s="2693"/>
      <c r="N33" s="2694"/>
      <c r="O33" s="1389" t="s">
        <v>2065</v>
      </c>
      <c r="P33" s="1389"/>
      <c r="Q33" s="2632" t="s">
        <v>4390</v>
      </c>
      <c r="R33" s="2693"/>
      <c r="S33" s="2694"/>
    </row>
    <row r="34" spans="3:19" s="329" customFormat="1" ht="11.25" customHeight="1">
      <c r="D34" s="372"/>
      <c r="E34" s="334" t="s">
        <v>1058</v>
      </c>
      <c r="F34" s="342"/>
      <c r="H34" s="2632" t="s">
        <v>4393</v>
      </c>
      <c r="I34" s="2693"/>
      <c r="J34" s="2693"/>
      <c r="K34" s="2693"/>
      <c r="L34" s="2693"/>
      <c r="M34" s="2693"/>
      <c r="N34" s="2694"/>
      <c r="O34" s="1389" t="s">
        <v>1813</v>
      </c>
      <c r="Q34" s="2632" t="s">
        <v>4391</v>
      </c>
      <c r="R34" s="2693"/>
      <c r="S34" s="2694"/>
    </row>
    <row r="35" spans="3:19" s="329" customFormat="1" ht="11.25" customHeight="1">
      <c r="D35" s="372"/>
      <c r="E35" s="334" t="s">
        <v>642</v>
      </c>
      <c r="H35" s="2632" t="s">
        <v>4394</v>
      </c>
      <c r="I35" s="2693"/>
      <c r="J35" s="2694"/>
      <c r="K35" s="1393" t="s">
        <v>2808</v>
      </c>
      <c r="L35" s="2632"/>
      <c r="M35" s="2693"/>
      <c r="N35" s="2694"/>
      <c r="O35" s="1389" t="s">
        <v>1869</v>
      </c>
      <c r="Q35" s="2640">
        <v>7043839705</v>
      </c>
      <c r="R35" s="2645"/>
      <c r="S35" s="2641"/>
    </row>
    <row r="36" spans="3:19" s="329" customFormat="1" ht="11.25" customHeight="1">
      <c r="E36" s="334" t="s">
        <v>1865</v>
      </c>
      <c r="H36" s="2646" t="s">
        <v>1399</v>
      </c>
      <c r="K36" s="1394" t="s">
        <v>2308</v>
      </c>
      <c r="L36" s="2643">
        <v>282885640</v>
      </c>
      <c r="M36" s="2694"/>
      <c r="O36" s="1389" t="s">
        <v>2054</v>
      </c>
      <c r="Q36" s="2640"/>
      <c r="R36" s="2645"/>
      <c r="S36" s="2641"/>
    </row>
    <row r="37" spans="3:19" s="329" customFormat="1" ht="11.25" customHeight="1">
      <c r="D37" s="372"/>
      <c r="E37" s="334" t="s">
        <v>2060</v>
      </c>
      <c r="H37" s="2640">
        <v>7043839705</v>
      </c>
      <c r="I37" s="2641"/>
      <c r="J37" s="2756"/>
      <c r="K37" s="1403" t="s">
        <v>2059</v>
      </c>
      <c r="L37" s="2647" t="s">
        <v>4395</v>
      </c>
      <c r="M37" s="2648"/>
      <c r="N37" s="2648"/>
      <c r="O37" s="2648"/>
      <c r="P37" s="2648"/>
      <c r="Q37" s="2648"/>
      <c r="R37" s="2648"/>
      <c r="S37" s="2649"/>
    </row>
    <row r="38" spans="3:19" ht="4.1500000000000004" customHeight="1">
      <c r="H38" s="2757"/>
      <c r="I38" s="2757"/>
      <c r="J38" s="2757"/>
      <c r="K38" s="1403"/>
      <c r="L38" s="2757"/>
      <c r="M38" s="2757"/>
      <c r="N38" s="1391"/>
      <c r="O38" s="1384"/>
      <c r="P38" s="1384"/>
      <c r="Q38" s="1403"/>
      <c r="R38" s="1384"/>
      <c r="S38" s="1384"/>
    </row>
    <row r="39" spans="3:19" s="329" customFormat="1" ht="11.25" customHeight="1">
      <c r="D39" s="331" t="s">
        <v>2195</v>
      </c>
      <c r="E39" s="329" t="s">
        <v>781</v>
      </c>
      <c r="F39" s="331"/>
      <c r="H39" s="2632" t="s">
        <v>4238</v>
      </c>
      <c r="I39" s="2693"/>
      <c r="J39" s="2693"/>
      <c r="K39" s="2693"/>
      <c r="L39" s="2693"/>
      <c r="M39" s="2693"/>
      <c r="N39" s="2694"/>
      <c r="O39" s="1389" t="s">
        <v>2065</v>
      </c>
      <c r="P39" s="1389"/>
      <c r="Q39" s="2632" t="s">
        <v>4239</v>
      </c>
      <c r="R39" s="2693"/>
      <c r="S39" s="2694"/>
    </row>
    <row r="40" spans="3:19" s="329" customFormat="1" ht="11.25" customHeight="1">
      <c r="D40" s="372"/>
      <c r="E40" s="334" t="s">
        <v>1058</v>
      </c>
      <c r="F40" s="342"/>
      <c r="H40" s="2632" t="s">
        <v>4205</v>
      </c>
      <c r="I40" s="2693"/>
      <c r="J40" s="2693"/>
      <c r="K40" s="2693"/>
      <c r="L40" s="2693"/>
      <c r="M40" s="2693"/>
      <c r="N40" s="2694"/>
      <c r="O40" s="1389" t="s">
        <v>1813</v>
      </c>
      <c r="Q40" s="2632" t="s">
        <v>4240</v>
      </c>
      <c r="R40" s="2693"/>
      <c r="S40" s="2694"/>
    </row>
    <row r="41" spans="3:19" s="329" customFormat="1" ht="11.25" customHeight="1">
      <c r="D41" s="372"/>
      <c r="E41" s="334" t="s">
        <v>642</v>
      </c>
      <c r="H41" s="2632" t="s">
        <v>391</v>
      </c>
      <c r="I41" s="2693"/>
      <c r="J41" s="2694"/>
      <c r="K41" s="1393" t="s">
        <v>2808</v>
      </c>
      <c r="L41" s="2632"/>
      <c r="M41" s="2693"/>
      <c r="N41" s="2694"/>
      <c r="O41" s="1389" t="s">
        <v>1869</v>
      </c>
      <c r="Q41" s="2640">
        <v>6783034135</v>
      </c>
      <c r="R41" s="2645"/>
      <c r="S41" s="2641"/>
    </row>
    <row r="42" spans="3:19" s="329" customFormat="1" ht="11.25" customHeight="1">
      <c r="D42" s="331"/>
      <c r="E42" s="334" t="s">
        <v>1865</v>
      </c>
      <c r="H42" s="2646" t="s">
        <v>880</v>
      </c>
      <c r="K42" s="1394" t="s">
        <v>2308</v>
      </c>
      <c r="L42" s="2643">
        <v>300678770</v>
      </c>
      <c r="M42" s="2694"/>
      <c r="O42" s="1389" t="s">
        <v>2054</v>
      </c>
      <c r="Q42" s="2640"/>
      <c r="R42" s="2645"/>
      <c r="S42" s="2641"/>
    </row>
    <row r="43" spans="3:19" s="329" customFormat="1" ht="11.25" customHeight="1">
      <c r="D43" s="372"/>
      <c r="E43" s="334" t="s">
        <v>2060</v>
      </c>
      <c r="H43" s="2640">
        <v>6783034135</v>
      </c>
      <c r="I43" s="2641"/>
      <c r="J43" s="2756"/>
      <c r="K43" s="1403" t="s">
        <v>2059</v>
      </c>
      <c r="L43" s="2647" t="s">
        <v>4241</v>
      </c>
      <c r="M43" s="2648"/>
      <c r="N43" s="2648"/>
      <c r="O43" s="2648"/>
      <c r="P43" s="2648"/>
      <c r="Q43" s="2648"/>
      <c r="R43" s="2648"/>
      <c r="S43" s="2649"/>
    </row>
    <row r="44" spans="3:19" s="329" customFormat="1" ht="4.1500000000000004" customHeight="1">
      <c r="D44" s="372"/>
      <c r="E44" s="334"/>
      <c r="F44" s="331"/>
      <c r="H44" s="366"/>
      <c r="I44" s="366"/>
      <c r="J44" s="1385"/>
      <c r="K44" s="1403"/>
      <c r="L44" s="366"/>
      <c r="M44" s="366"/>
      <c r="N44" s="1403"/>
      <c r="O44" s="366"/>
      <c r="P44" s="366"/>
      <c r="Q44" s="1403"/>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2" t="s">
        <v>4242</v>
      </c>
      <c r="I46" s="2693"/>
      <c r="J46" s="2693"/>
      <c r="K46" s="2693"/>
      <c r="L46" s="2693"/>
      <c r="M46" s="2693"/>
      <c r="N46" s="2694"/>
      <c r="O46" s="1389" t="s">
        <v>2065</v>
      </c>
      <c r="P46" s="1389"/>
      <c r="Q46" s="2632" t="s">
        <v>4231</v>
      </c>
      <c r="R46" s="2693"/>
      <c r="S46" s="2694"/>
    </row>
    <row r="47" spans="3:19" s="329" customFormat="1" ht="11.25" customHeight="1">
      <c r="D47" s="372"/>
      <c r="E47" s="334" t="s">
        <v>1058</v>
      </c>
      <c r="F47" s="342"/>
      <c r="H47" s="2632" t="s">
        <v>4230</v>
      </c>
      <c r="I47" s="2693"/>
      <c r="J47" s="2693"/>
      <c r="K47" s="2693"/>
      <c r="L47" s="2693"/>
      <c r="M47" s="2693"/>
      <c r="N47" s="2694"/>
      <c r="O47" s="1389" t="s">
        <v>1813</v>
      </c>
      <c r="Q47" s="2632" t="s">
        <v>4235</v>
      </c>
      <c r="R47" s="2693"/>
      <c r="S47" s="2694"/>
    </row>
    <row r="48" spans="3:19" s="329" customFormat="1" ht="11.25" customHeight="1">
      <c r="D48" s="372"/>
      <c r="E48" s="334" t="s">
        <v>642</v>
      </c>
      <c r="H48" s="2632" t="s">
        <v>1267</v>
      </c>
      <c r="I48" s="2693"/>
      <c r="J48" s="2694"/>
      <c r="K48" s="1393" t="s">
        <v>2808</v>
      </c>
      <c r="L48" s="2632" t="s">
        <v>4237</v>
      </c>
      <c r="M48" s="2693"/>
      <c r="N48" s="2694"/>
      <c r="O48" s="1389" t="s">
        <v>1869</v>
      </c>
      <c r="Q48" s="2640">
        <v>7065361294</v>
      </c>
      <c r="R48" s="2645"/>
      <c r="S48" s="2641"/>
    </row>
    <row r="49" spans="1:19" s="329" customFormat="1" ht="11.25" customHeight="1">
      <c r="E49" s="334" t="s">
        <v>1865</v>
      </c>
      <c r="H49" s="2646" t="s">
        <v>880</v>
      </c>
      <c r="K49" s="1394" t="s">
        <v>2308</v>
      </c>
      <c r="L49" s="2643">
        <v>305018528</v>
      </c>
      <c r="M49" s="2694"/>
      <c r="O49" s="1389" t="s">
        <v>2054</v>
      </c>
      <c r="Q49" s="2640"/>
      <c r="R49" s="2645"/>
      <c r="S49" s="2641"/>
    </row>
    <row r="50" spans="1:19" s="329" customFormat="1" ht="11.25" customHeight="1">
      <c r="D50" s="372"/>
      <c r="E50" s="334" t="s">
        <v>2060</v>
      </c>
      <c r="H50" s="2640">
        <v>7705361294</v>
      </c>
      <c r="I50" s="2641"/>
      <c r="J50" s="2756"/>
      <c r="K50" s="1403" t="s">
        <v>2059</v>
      </c>
      <c r="L50" s="2647" t="s">
        <v>4232</v>
      </c>
      <c r="M50" s="2648"/>
      <c r="N50" s="2648"/>
      <c r="O50" s="2648"/>
      <c r="P50" s="2648"/>
      <c r="Q50" s="2648"/>
      <c r="R50" s="2648"/>
      <c r="S50" s="2649"/>
    </row>
    <row r="51" spans="1:19" ht="6.75" customHeight="1"/>
    <row r="52" spans="1:19" s="329" customFormat="1" ht="13.15" customHeight="1">
      <c r="A52" s="331" t="s">
        <v>770</v>
      </c>
      <c r="B52" s="331" t="s">
        <v>677</v>
      </c>
      <c r="F52" s="331"/>
      <c r="G52" s="1403"/>
      <c r="H52" s="1403"/>
      <c r="I52" s="1403"/>
      <c r="J52" s="1399"/>
      <c r="K52" s="1399"/>
      <c r="L52" s="1399"/>
      <c r="M52" s="1399"/>
      <c r="N52" s="1399"/>
      <c r="O52" s="1399"/>
      <c r="P52" s="1399"/>
      <c r="Q52" s="1399"/>
      <c r="R52" s="1399"/>
      <c r="S52" s="1399"/>
    </row>
    <row r="53" spans="1:19" s="329" customFormat="1" ht="3" customHeight="1">
      <c r="A53" s="331"/>
      <c r="B53" s="331"/>
      <c r="F53" s="331"/>
      <c r="G53" s="1403"/>
      <c r="H53" s="2758"/>
      <c r="I53" s="2758"/>
      <c r="J53" s="2758"/>
      <c r="K53" s="1391"/>
      <c r="L53" s="2758"/>
      <c r="M53" s="2758"/>
      <c r="N53" s="1391"/>
      <c r="O53" s="1384"/>
      <c r="P53" s="1384"/>
      <c r="Q53" s="1403"/>
      <c r="R53" s="1384"/>
      <c r="S53" s="1384"/>
    </row>
    <row r="54" spans="1:19" s="329" customFormat="1" ht="11.25" customHeight="1">
      <c r="B54" s="331" t="s">
        <v>2058</v>
      </c>
      <c r="C54" s="331" t="s">
        <v>295</v>
      </c>
      <c r="H54" s="2632" t="s">
        <v>4242</v>
      </c>
      <c r="I54" s="2693"/>
      <c r="J54" s="2693"/>
      <c r="K54" s="2693"/>
      <c r="L54" s="2693"/>
      <c r="M54" s="2693"/>
      <c r="N54" s="2694"/>
      <c r="O54" s="1389" t="s">
        <v>2065</v>
      </c>
      <c r="P54" s="1389"/>
      <c r="Q54" s="2632" t="s">
        <v>4231</v>
      </c>
      <c r="R54" s="2693"/>
      <c r="S54" s="2694"/>
    </row>
    <row r="55" spans="1:19" s="329" customFormat="1" ht="11.25" customHeight="1">
      <c r="D55" s="372"/>
      <c r="E55" s="334" t="s">
        <v>1058</v>
      </c>
      <c r="F55" s="342"/>
      <c r="H55" s="2632" t="s">
        <v>4230</v>
      </c>
      <c r="I55" s="2693"/>
      <c r="J55" s="2693"/>
      <c r="K55" s="2693"/>
      <c r="L55" s="2693"/>
      <c r="M55" s="2693"/>
      <c r="N55" s="2694"/>
      <c r="O55" s="1389" t="s">
        <v>1813</v>
      </c>
      <c r="Q55" s="2632" t="s">
        <v>4235</v>
      </c>
      <c r="R55" s="2693"/>
      <c r="S55" s="2694"/>
    </row>
    <row r="56" spans="1:19" s="329" customFormat="1" ht="11.25" customHeight="1">
      <c r="D56" s="372"/>
      <c r="E56" s="334" t="s">
        <v>642</v>
      </c>
      <c r="H56" s="2632" t="s">
        <v>1267</v>
      </c>
      <c r="I56" s="2693"/>
      <c r="J56" s="2694"/>
      <c r="K56" s="1393" t="s">
        <v>2808</v>
      </c>
      <c r="L56" s="2632"/>
      <c r="M56" s="2693"/>
      <c r="N56" s="2694"/>
      <c r="O56" s="1389" t="s">
        <v>1869</v>
      </c>
      <c r="Q56" s="2640">
        <v>7065361294</v>
      </c>
      <c r="R56" s="2645"/>
      <c r="S56" s="2641"/>
    </row>
    <row r="57" spans="1:19" s="329" customFormat="1" ht="11.25" customHeight="1">
      <c r="E57" s="334" t="s">
        <v>1865</v>
      </c>
      <c r="H57" s="2646" t="s">
        <v>880</v>
      </c>
      <c r="K57" s="1394" t="s">
        <v>2308</v>
      </c>
      <c r="L57" s="2643">
        <v>305018528</v>
      </c>
      <c r="M57" s="2694"/>
      <c r="O57" s="1389" t="s">
        <v>2054</v>
      </c>
      <c r="Q57" s="2640"/>
      <c r="R57" s="2645"/>
      <c r="S57" s="2641"/>
    </row>
    <row r="58" spans="1:19" s="329" customFormat="1" ht="11.25" customHeight="1">
      <c r="D58" s="372"/>
      <c r="E58" s="334" t="s">
        <v>2060</v>
      </c>
      <c r="H58" s="2640">
        <v>7705361294</v>
      </c>
      <c r="I58" s="2641"/>
      <c r="J58" s="2756"/>
      <c r="K58" s="1403" t="s">
        <v>2059</v>
      </c>
      <c r="L58" s="2647" t="s">
        <v>4232</v>
      </c>
      <c r="M58" s="2648"/>
      <c r="N58" s="2648"/>
      <c r="O58" s="2648"/>
      <c r="P58" s="2648"/>
      <c r="Q58" s="2648"/>
      <c r="R58" s="2648"/>
      <c r="S58" s="2649"/>
    </row>
    <row r="59" spans="1:19" s="329" customFormat="1" ht="6.6" customHeight="1">
      <c r="D59" s="372"/>
      <c r="E59" s="1399"/>
      <c r="F59" s="1399"/>
      <c r="G59" s="1389"/>
      <c r="H59" s="2757"/>
      <c r="I59" s="2757"/>
      <c r="J59" s="2757"/>
      <c r="K59" s="1403"/>
      <c r="L59" s="2757"/>
      <c r="M59" s="2757"/>
      <c r="N59" s="1391"/>
      <c r="O59" s="1384"/>
      <c r="P59" s="1384"/>
      <c r="Q59" s="1403"/>
      <c r="R59" s="1384"/>
      <c r="S59" s="1384"/>
    </row>
    <row r="60" spans="1:19" s="329" customFormat="1" ht="11.25" customHeight="1">
      <c r="B60" s="331" t="s">
        <v>2061</v>
      </c>
      <c r="C60" s="331" t="s">
        <v>296</v>
      </c>
      <c r="H60" s="2632" t="s">
        <v>4243</v>
      </c>
      <c r="I60" s="2693"/>
      <c r="J60" s="2693"/>
      <c r="K60" s="2693"/>
      <c r="L60" s="2693"/>
      <c r="M60" s="2693"/>
      <c r="N60" s="2694"/>
      <c r="O60" s="1389" t="s">
        <v>2065</v>
      </c>
      <c r="P60" s="1389"/>
      <c r="Q60" s="2632" t="s">
        <v>4239</v>
      </c>
      <c r="R60" s="2693"/>
      <c r="S60" s="2694"/>
    </row>
    <row r="61" spans="1:19" s="329" customFormat="1" ht="11.25" customHeight="1">
      <c r="D61" s="372"/>
      <c r="E61" s="334" t="s">
        <v>1058</v>
      </c>
      <c r="F61" s="342"/>
      <c r="H61" s="2632" t="s">
        <v>4205</v>
      </c>
      <c r="I61" s="2693"/>
      <c r="J61" s="2693"/>
      <c r="K61" s="2693"/>
      <c r="L61" s="2693"/>
      <c r="M61" s="2693"/>
      <c r="N61" s="2694"/>
      <c r="O61" s="1389" t="s">
        <v>1813</v>
      </c>
      <c r="Q61" s="2632" t="s">
        <v>4244</v>
      </c>
      <c r="R61" s="2693"/>
      <c r="S61" s="2694"/>
    </row>
    <row r="62" spans="1:19" s="329" customFormat="1" ht="11.25" customHeight="1">
      <c r="D62" s="372"/>
      <c r="E62" s="334" t="s">
        <v>642</v>
      </c>
      <c r="H62" s="2632" t="s">
        <v>391</v>
      </c>
      <c r="I62" s="2693"/>
      <c r="J62" s="2694"/>
      <c r="K62" s="1393" t="s">
        <v>2808</v>
      </c>
      <c r="L62" s="2632"/>
      <c r="M62" s="2693"/>
      <c r="N62" s="2694"/>
      <c r="O62" s="1389" t="s">
        <v>1869</v>
      </c>
      <c r="Q62" s="2640">
        <v>6783034135</v>
      </c>
      <c r="R62" s="2645"/>
      <c r="S62" s="2641"/>
    </row>
    <row r="63" spans="1:19" s="329" customFormat="1" ht="11.25" customHeight="1">
      <c r="E63" s="334" t="s">
        <v>1865</v>
      </c>
      <c r="H63" s="2646" t="s">
        <v>880</v>
      </c>
      <c r="K63" s="1394" t="s">
        <v>2308</v>
      </c>
      <c r="L63" s="2643">
        <v>300678770</v>
      </c>
      <c r="M63" s="2694"/>
      <c r="O63" s="1389" t="s">
        <v>2054</v>
      </c>
      <c r="Q63" s="2640"/>
      <c r="R63" s="2645"/>
      <c r="S63" s="2641"/>
    </row>
    <row r="64" spans="1:19" s="329" customFormat="1" ht="11.25" customHeight="1">
      <c r="D64" s="372"/>
      <c r="E64" s="334" t="s">
        <v>2060</v>
      </c>
      <c r="H64" s="2640">
        <v>6783034135</v>
      </c>
      <c r="I64" s="2641"/>
      <c r="J64" s="2756"/>
      <c r="K64" s="1403" t="s">
        <v>2059</v>
      </c>
      <c r="L64" s="2647" t="s">
        <v>4241</v>
      </c>
      <c r="M64" s="2648"/>
      <c r="N64" s="2648"/>
      <c r="O64" s="2648"/>
      <c r="P64" s="2648"/>
      <c r="Q64" s="2648"/>
      <c r="R64" s="2648"/>
      <c r="S64" s="2649"/>
    </row>
    <row r="65" spans="1:19" s="329" customFormat="1" ht="6.6" customHeight="1">
      <c r="D65" s="372"/>
      <c r="E65" s="1399"/>
      <c r="F65" s="1399"/>
      <c r="G65" s="1389"/>
      <c r="H65" s="2757"/>
      <c r="I65" s="2757"/>
      <c r="J65" s="2757"/>
      <c r="K65" s="1403"/>
      <c r="L65" s="2757"/>
      <c r="M65" s="2757"/>
      <c r="N65" s="1391"/>
      <c r="O65" s="1384"/>
      <c r="P65" s="1384"/>
      <c r="Q65" s="1403"/>
      <c r="R65" s="1384"/>
      <c r="S65" s="1384"/>
    </row>
    <row r="66" spans="1:19" s="329" customFormat="1" ht="11.25" customHeight="1">
      <c r="B66" s="331" t="s">
        <v>779</v>
      </c>
      <c r="C66" s="331" t="s">
        <v>1585</v>
      </c>
      <c r="H66" s="2632"/>
      <c r="I66" s="2693"/>
      <c r="J66" s="2693"/>
      <c r="K66" s="2693"/>
      <c r="L66" s="2693"/>
      <c r="M66" s="2693"/>
      <c r="N66" s="2694"/>
      <c r="O66" s="1389" t="s">
        <v>2065</v>
      </c>
      <c r="P66" s="1389"/>
      <c r="Q66" s="2632"/>
      <c r="R66" s="2693"/>
      <c r="S66" s="2694"/>
    </row>
    <row r="67" spans="1:19" s="329" customFormat="1" ht="11.25" customHeight="1">
      <c r="D67" s="372"/>
      <c r="E67" s="334" t="s">
        <v>1058</v>
      </c>
      <c r="F67" s="342"/>
      <c r="H67" s="2632"/>
      <c r="I67" s="2693"/>
      <c r="J67" s="2693"/>
      <c r="K67" s="2693"/>
      <c r="L67" s="2693"/>
      <c r="M67" s="2693"/>
      <c r="N67" s="2694"/>
      <c r="O67" s="1389" t="s">
        <v>1813</v>
      </c>
      <c r="Q67" s="2632"/>
      <c r="R67" s="2693"/>
      <c r="S67" s="2694"/>
    </row>
    <row r="68" spans="1:19" s="329" customFormat="1" ht="11.25" customHeight="1">
      <c r="D68" s="372"/>
      <c r="E68" s="334" t="s">
        <v>642</v>
      </c>
      <c r="H68" s="2632"/>
      <c r="I68" s="2693"/>
      <c r="J68" s="2694"/>
      <c r="K68" s="1393" t="s">
        <v>2808</v>
      </c>
      <c r="L68" s="2632"/>
      <c r="M68" s="2693"/>
      <c r="N68" s="2694"/>
      <c r="O68" s="1389" t="s">
        <v>1869</v>
      </c>
      <c r="Q68" s="2640"/>
      <c r="R68" s="2645"/>
      <c r="S68" s="2641"/>
    </row>
    <row r="69" spans="1:19" s="329" customFormat="1" ht="11.25" customHeight="1">
      <c r="E69" s="334" t="s">
        <v>1865</v>
      </c>
      <c r="H69" s="2646"/>
      <c r="K69" s="1394" t="s">
        <v>2308</v>
      </c>
      <c r="L69" s="2643"/>
      <c r="M69" s="2694"/>
      <c r="O69" s="1389" t="s">
        <v>2054</v>
      </c>
      <c r="Q69" s="2640"/>
      <c r="R69" s="2645"/>
      <c r="S69" s="2641"/>
    </row>
    <row r="70" spans="1:19" s="329" customFormat="1" ht="11.25" customHeight="1">
      <c r="D70" s="372"/>
      <c r="E70" s="334" t="s">
        <v>2060</v>
      </c>
      <c r="H70" s="2640"/>
      <c r="I70" s="2641"/>
      <c r="J70" s="2756"/>
      <c r="K70" s="1403" t="s">
        <v>2059</v>
      </c>
      <c r="L70" s="2647"/>
      <c r="M70" s="2648"/>
      <c r="N70" s="2648"/>
      <c r="O70" s="2648"/>
      <c r="P70" s="2648"/>
      <c r="Q70" s="2648"/>
      <c r="R70" s="2648"/>
      <c r="S70" s="2649"/>
    </row>
    <row r="71" spans="1:19" ht="6.6" customHeight="1">
      <c r="H71" s="2757"/>
      <c r="I71" s="2757"/>
      <c r="J71" s="2757"/>
      <c r="K71" s="1403"/>
      <c r="L71" s="2757"/>
      <c r="M71" s="2757"/>
      <c r="N71" s="1391"/>
      <c r="O71" s="1384"/>
      <c r="P71" s="1384"/>
      <c r="Q71" s="1403"/>
      <c r="R71" s="1384"/>
      <c r="S71" s="1384"/>
    </row>
    <row r="72" spans="1:19" s="329" customFormat="1" ht="11.25" customHeight="1">
      <c r="B72" s="331" t="s">
        <v>2193</v>
      </c>
      <c r="C72" s="331" t="s">
        <v>297</v>
      </c>
      <c r="H72" s="2632"/>
      <c r="I72" s="2693"/>
      <c r="J72" s="2693"/>
      <c r="K72" s="2693"/>
      <c r="L72" s="2693"/>
      <c r="M72" s="2693"/>
      <c r="N72" s="2694"/>
      <c r="O72" s="1389" t="s">
        <v>2065</v>
      </c>
      <c r="P72" s="1389"/>
      <c r="Q72" s="2632"/>
      <c r="R72" s="2693"/>
      <c r="S72" s="2694"/>
    </row>
    <row r="73" spans="1:19" s="329" customFormat="1" ht="11.25" customHeight="1">
      <c r="D73" s="372"/>
      <c r="E73" s="334" t="s">
        <v>1058</v>
      </c>
      <c r="F73" s="342"/>
      <c r="H73" s="2632"/>
      <c r="I73" s="2693"/>
      <c r="J73" s="2693"/>
      <c r="K73" s="2693"/>
      <c r="L73" s="2693"/>
      <c r="M73" s="2693"/>
      <c r="N73" s="2694"/>
      <c r="O73" s="1389" t="s">
        <v>1813</v>
      </c>
      <c r="Q73" s="2632"/>
      <c r="R73" s="2693"/>
      <c r="S73" s="2694"/>
    </row>
    <row r="74" spans="1:19" s="329" customFormat="1" ht="11.25" customHeight="1">
      <c r="D74" s="372"/>
      <c r="E74" s="334" t="s">
        <v>642</v>
      </c>
      <c r="H74" s="2632"/>
      <c r="I74" s="2693"/>
      <c r="J74" s="2694"/>
      <c r="K74" s="1393" t="s">
        <v>2808</v>
      </c>
      <c r="L74" s="2632"/>
      <c r="M74" s="2693"/>
      <c r="N74" s="2694"/>
      <c r="O74" s="1389" t="s">
        <v>1869</v>
      </c>
      <c r="Q74" s="2640"/>
      <c r="R74" s="2645"/>
      <c r="S74" s="2641"/>
    </row>
    <row r="75" spans="1:19" s="329" customFormat="1" ht="11.25" customHeight="1">
      <c r="E75" s="334" t="s">
        <v>1865</v>
      </c>
      <c r="H75" s="2646"/>
      <c r="K75" s="1394" t="s">
        <v>2308</v>
      </c>
      <c r="L75" s="2643"/>
      <c r="M75" s="2694"/>
      <c r="O75" s="1389" t="s">
        <v>2054</v>
      </c>
      <c r="Q75" s="2640"/>
      <c r="R75" s="2645"/>
      <c r="S75" s="2641"/>
    </row>
    <row r="76" spans="1:19" s="329" customFormat="1" ht="11.25" customHeight="1">
      <c r="D76" s="372"/>
      <c r="E76" s="334" t="s">
        <v>2060</v>
      </c>
      <c r="H76" s="2640"/>
      <c r="I76" s="2641"/>
      <c r="J76" s="2756"/>
      <c r="K76" s="1403"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8"/>
      <c r="I79" s="2758"/>
      <c r="J79" s="2758"/>
      <c r="K79" s="1391"/>
      <c r="L79" s="2758"/>
      <c r="M79" s="2758"/>
      <c r="N79" s="1391"/>
      <c r="O79" s="1384"/>
      <c r="P79" s="1384"/>
      <c r="Q79" s="1403"/>
      <c r="R79" s="1384"/>
      <c r="S79" s="1384"/>
    </row>
    <row r="80" spans="1:19" s="329" customFormat="1" ht="11.25" customHeight="1">
      <c r="B80" s="331" t="s">
        <v>2058</v>
      </c>
      <c r="C80" s="331" t="s">
        <v>299</v>
      </c>
      <c r="H80" s="2632"/>
      <c r="I80" s="2693"/>
      <c r="J80" s="2693"/>
      <c r="K80" s="2693"/>
      <c r="L80" s="2693"/>
      <c r="M80" s="2693"/>
      <c r="N80" s="2694"/>
      <c r="O80" s="1389" t="s">
        <v>2065</v>
      </c>
      <c r="P80" s="1389"/>
      <c r="Q80" s="2632"/>
      <c r="R80" s="2693"/>
      <c r="S80" s="2694"/>
    </row>
    <row r="81" spans="2:19" s="329" customFormat="1" ht="11.25" customHeight="1">
      <c r="D81" s="372"/>
      <c r="E81" s="334" t="s">
        <v>1058</v>
      </c>
      <c r="F81" s="342"/>
      <c r="H81" s="2632"/>
      <c r="I81" s="2693"/>
      <c r="J81" s="2693"/>
      <c r="K81" s="2693"/>
      <c r="L81" s="2693"/>
      <c r="M81" s="2693"/>
      <c r="N81" s="2694"/>
      <c r="O81" s="1389" t="s">
        <v>1813</v>
      </c>
      <c r="Q81" s="2632"/>
      <c r="R81" s="2693"/>
      <c r="S81" s="2694"/>
    </row>
    <row r="82" spans="2:19" s="329" customFormat="1" ht="11.25" customHeight="1">
      <c r="D82" s="372"/>
      <c r="E82" s="334" t="s">
        <v>642</v>
      </c>
      <c r="H82" s="2632"/>
      <c r="I82" s="2693"/>
      <c r="J82" s="2694"/>
      <c r="K82" s="1393" t="s">
        <v>2808</v>
      </c>
      <c r="L82" s="2632"/>
      <c r="M82" s="2693"/>
      <c r="N82" s="2694"/>
      <c r="O82" s="1389" t="s">
        <v>1869</v>
      </c>
      <c r="Q82" s="2640"/>
      <c r="R82" s="2645"/>
      <c r="S82" s="2641"/>
    </row>
    <row r="83" spans="2:19" s="329" customFormat="1" ht="11.25" customHeight="1">
      <c r="E83" s="334" t="s">
        <v>1865</v>
      </c>
      <c r="H83" s="2646"/>
      <c r="K83" s="1394" t="s">
        <v>2308</v>
      </c>
      <c r="L83" s="2643"/>
      <c r="M83" s="2694"/>
      <c r="O83" s="1389" t="s">
        <v>2054</v>
      </c>
      <c r="Q83" s="2640"/>
      <c r="R83" s="2645"/>
      <c r="S83" s="2641"/>
    </row>
    <row r="84" spans="2:19" s="329" customFormat="1" ht="11.25" customHeight="1">
      <c r="D84" s="372"/>
      <c r="E84" s="334" t="s">
        <v>2060</v>
      </c>
      <c r="H84" s="2640"/>
      <c r="I84" s="2641"/>
      <c r="J84" s="2756"/>
      <c r="K84" s="1403" t="s">
        <v>2059</v>
      </c>
      <c r="L84" s="2647"/>
      <c r="M84" s="2648"/>
      <c r="N84" s="2648"/>
      <c r="O84" s="2648"/>
      <c r="P84" s="2648"/>
      <c r="Q84" s="2648"/>
      <c r="R84" s="2648"/>
      <c r="S84" s="2649"/>
    </row>
    <row r="85" spans="2:19" ht="6.6" customHeight="1">
      <c r="H85" s="2757"/>
      <c r="I85" s="2757"/>
      <c r="J85" s="2757"/>
      <c r="K85" s="1403"/>
      <c r="L85" s="2757"/>
      <c r="M85" s="2757"/>
      <c r="N85" s="1391"/>
      <c r="O85" s="1384"/>
      <c r="P85" s="1384"/>
      <c r="Q85" s="1403"/>
      <c r="R85" s="1384"/>
      <c r="S85" s="1384"/>
    </row>
    <row r="86" spans="2:19" s="329" customFormat="1" ht="11.25" customHeight="1">
      <c r="B86" s="331" t="s">
        <v>2061</v>
      </c>
      <c r="C86" s="331" t="s">
        <v>300</v>
      </c>
      <c r="H86" s="2632" t="s">
        <v>4245</v>
      </c>
      <c r="I86" s="2693"/>
      <c r="J86" s="2693"/>
      <c r="K86" s="2693"/>
      <c r="L86" s="2693"/>
      <c r="M86" s="2693"/>
      <c r="N86" s="2694"/>
      <c r="O86" s="1389" t="s">
        <v>2065</v>
      </c>
      <c r="P86" s="1389"/>
      <c r="Q86" s="2632" t="s">
        <v>4246</v>
      </c>
      <c r="R86" s="2693"/>
      <c r="S86" s="2694"/>
    </row>
    <row r="87" spans="2:19" s="329" customFormat="1" ht="11.25" customHeight="1">
      <c r="D87" s="372"/>
      <c r="E87" s="334" t="s">
        <v>1058</v>
      </c>
      <c r="F87" s="342"/>
      <c r="H87" s="2632" t="s">
        <v>4247</v>
      </c>
      <c r="I87" s="2693"/>
      <c r="J87" s="2693"/>
      <c r="K87" s="2693"/>
      <c r="L87" s="2693"/>
      <c r="M87" s="2693"/>
      <c r="N87" s="2694"/>
      <c r="O87" s="1389" t="s">
        <v>1813</v>
      </c>
      <c r="Q87" s="2632" t="s">
        <v>4248</v>
      </c>
      <c r="R87" s="2693"/>
      <c r="S87" s="2694"/>
    </row>
    <row r="88" spans="2:19" s="329" customFormat="1" ht="11.25" customHeight="1">
      <c r="D88" s="372"/>
      <c r="E88" s="334" t="s">
        <v>642</v>
      </c>
      <c r="H88" s="2632" t="s">
        <v>1251</v>
      </c>
      <c r="I88" s="2693"/>
      <c r="J88" s="2694"/>
      <c r="K88" s="1393" t="s">
        <v>2808</v>
      </c>
      <c r="L88" s="2632" t="s">
        <v>4249</v>
      </c>
      <c r="M88" s="2693"/>
      <c r="N88" s="2694"/>
      <c r="O88" s="1389" t="s">
        <v>1869</v>
      </c>
      <c r="Q88" s="2640">
        <v>7702729256</v>
      </c>
      <c r="R88" s="2645"/>
      <c r="S88" s="2641"/>
    </row>
    <row r="89" spans="2:19" s="329" customFormat="1" ht="11.25" customHeight="1">
      <c r="E89" s="334" t="s">
        <v>1865</v>
      </c>
      <c r="H89" s="2646" t="s">
        <v>880</v>
      </c>
      <c r="K89" s="1394" t="s">
        <v>2308</v>
      </c>
      <c r="L89" s="2643">
        <v>303392715</v>
      </c>
      <c r="M89" s="2694"/>
      <c r="O89" s="1389" t="s">
        <v>2054</v>
      </c>
      <c r="Q89" s="2640"/>
      <c r="R89" s="2645"/>
      <c r="S89" s="2641"/>
    </row>
    <row r="90" spans="2:19" s="329" customFormat="1" ht="11.25" customHeight="1">
      <c r="D90" s="372"/>
      <c r="E90" s="334" t="s">
        <v>2060</v>
      </c>
      <c r="H90" s="2640">
        <v>7702729256</v>
      </c>
      <c r="I90" s="2641"/>
      <c r="J90" s="2756"/>
      <c r="K90" s="1403" t="s">
        <v>2059</v>
      </c>
      <c r="L90" s="2647" t="s">
        <v>4250</v>
      </c>
      <c r="M90" s="2648"/>
      <c r="N90" s="2648"/>
      <c r="O90" s="2648"/>
      <c r="P90" s="2648"/>
      <c r="Q90" s="2648"/>
      <c r="R90" s="2648"/>
      <c r="S90" s="2649"/>
    </row>
    <row r="91" spans="2:19" ht="6.6" customHeight="1">
      <c r="H91" s="2757"/>
      <c r="I91" s="2757"/>
      <c r="J91" s="2757"/>
      <c r="K91" s="1403"/>
      <c r="L91" s="2757"/>
      <c r="M91" s="2757"/>
      <c r="N91" s="1391"/>
      <c r="O91" s="1384"/>
      <c r="P91" s="1384"/>
      <c r="Q91" s="1403"/>
      <c r="R91" s="1384"/>
      <c r="S91" s="1384"/>
    </row>
    <row r="92" spans="2:19" s="329" customFormat="1" ht="11.25" customHeight="1">
      <c r="B92" s="331" t="s">
        <v>779</v>
      </c>
      <c r="C92" s="331" t="s">
        <v>301</v>
      </c>
      <c r="F92" s="348"/>
      <c r="H92" s="2632" t="s">
        <v>4251</v>
      </c>
      <c r="I92" s="2693"/>
      <c r="J92" s="2693"/>
      <c r="K92" s="2693"/>
      <c r="L92" s="2693"/>
      <c r="M92" s="2693"/>
      <c r="N92" s="2694"/>
      <c r="O92" s="1389" t="s">
        <v>2065</v>
      </c>
      <c r="P92" s="1389"/>
      <c r="Q92" s="2632" t="s">
        <v>4239</v>
      </c>
      <c r="R92" s="2693"/>
      <c r="S92" s="2694"/>
    </row>
    <row r="93" spans="2:19" s="329" customFormat="1" ht="11.25" customHeight="1">
      <c r="D93" s="372"/>
      <c r="E93" s="334" t="s">
        <v>1058</v>
      </c>
      <c r="F93" s="342"/>
      <c r="H93" s="2632" t="s">
        <v>4205</v>
      </c>
      <c r="I93" s="2693"/>
      <c r="J93" s="2693"/>
      <c r="K93" s="2693"/>
      <c r="L93" s="2693"/>
      <c r="M93" s="2693"/>
      <c r="N93" s="2694"/>
      <c r="O93" s="1389" t="s">
        <v>1813</v>
      </c>
      <c r="Q93" s="2632" t="s">
        <v>4240</v>
      </c>
      <c r="R93" s="2693"/>
      <c r="S93" s="2694"/>
    </row>
    <row r="94" spans="2:19" s="329" customFormat="1" ht="11.25" customHeight="1">
      <c r="D94" s="372"/>
      <c r="E94" s="334" t="s">
        <v>642</v>
      </c>
      <c r="H94" s="2632" t="s">
        <v>391</v>
      </c>
      <c r="I94" s="2693"/>
      <c r="J94" s="2694"/>
      <c r="K94" s="1393" t="s">
        <v>2808</v>
      </c>
      <c r="L94" s="2632" t="s">
        <v>4252</v>
      </c>
      <c r="M94" s="2693"/>
      <c r="N94" s="2694"/>
      <c r="O94" s="1389" t="s">
        <v>1869</v>
      </c>
      <c r="Q94" s="2640">
        <v>6783034135</v>
      </c>
      <c r="R94" s="2645"/>
      <c r="S94" s="2641"/>
    </row>
    <row r="95" spans="2:19" s="329" customFormat="1" ht="11.25" customHeight="1">
      <c r="D95" s="372"/>
      <c r="E95" s="334" t="s">
        <v>1865</v>
      </c>
      <c r="H95" s="2646" t="s">
        <v>880</v>
      </c>
      <c r="K95" s="1394" t="s">
        <v>2308</v>
      </c>
      <c r="L95" s="2643">
        <v>300678770</v>
      </c>
      <c r="M95" s="2694"/>
      <c r="O95" s="1389" t="s">
        <v>2054</v>
      </c>
      <c r="Q95" s="2640"/>
      <c r="R95" s="2645"/>
      <c r="S95" s="2641"/>
    </row>
    <row r="96" spans="2:19" s="329" customFormat="1" ht="11.25" customHeight="1">
      <c r="D96" s="372"/>
      <c r="E96" s="334" t="s">
        <v>2060</v>
      </c>
      <c r="H96" s="2640">
        <v>6783034135</v>
      </c>
      <c r="I96" s="2641"/>
      <c r="J96" s="2756"/>
      <c r="K96" s="1403" t="s">
        <v>2059</v>
      </c>
      <c r="L96" s="2647" t="s">
        <v>4241</v>
      </c>
      <c r="M96" s="2648"/>
      <c r="N96" s="2648"/>
      <c r="O96" s="2648"/>
      <c r="P96" s="2648"/>
      <c r="Q96" s="2648"/>
      <c r="R96" s="2648"/>
      <c r="S96" s="2649"/>
    </row>
    <row r="97" spans="2:19" ht="6.6" customHeight="1">
      <c r="H97" s="2757"/>
      <c r="I97" s="2757"/>
      <c r="J97" s="2757"/>
      <c r="K97" s="1403"/>
      <c r="L97" s="2757"/>
      <c r="M97" s="2757"/>
      <c r="N97" s="1391"/>
      <c r="O97" s="1384"/>
      <c r="P97" s="1384"/>
      <c r="Q97" s="1403"/>
      <c r="R97" s="1384"/>
      <c r="S97" s="1384"/>
    </row>
    <row r="98" spans="2:19" s="329" customFormat="1" ht="11.25" customHeight="1">
      <c r="B98" s="331" t="s">
        <v>2193</v>
      </c>
      <c r="C98" s="331" t="s">
        <v>302</v>
      </c>
      <c r="H98" s="2632" t="s">
        <v>4254</v>
      </c>
      <c r="I98" s="2693"/>
      <c r="J98" s="2693"/>
      <c r="K98" s="2693"/>
      <c r="L98" s="2693"/>
      <c r="M98" s="2693"/>
      <c r="N98" s="2694"/>
      <c r="O98" s="1389" t="s">
        <v>2065</v>
      </c>
      <c r="P98" s="1389"/>
      <c r="Q98" s="2632" t="s">
        <v>4253</v>
      </c>
      <c r="R98" s="2693"/>
      <c r="S98" s="2694"/>
    </row>
    <row r="99" spans="2:19" s="329" customFormat="1" ht="11.25" customHeight="1">
      <c r="D99" s="372"/>
      <c r="E99" s="334" t="s">
        <v>1058</v>
      </c>
      <c r="F99" s="342"/>
      <c r="H99" s="2632" t="s">
        <v>4255</v>
      </c>
      <c r="I99" s="2693"/>
      <c r="J99" s="2693"/>
      <c r="K99" s="2693"/>
      <c r="L99" s="2693"/>
      <c r="M99" s="2693"/>
      <c r="N99" s="2694"/>
      <c r="O99" s="1389" t="s">
        <v>1813</v>
      </c>
      <c r="Q99" s="2632" t="s">
        <v>4256</v>
      </c>
      <c r="R99" s="2693"/>
      <c r="S99" s="2694"/>
    </row>
    <row r="100" spans="2:19" s="329" customFormat="1" ht="11.25" customHeight="1">
      <c r="D100" s="372"/>
      <c r="E100" s="334" t="s">
        <v>642</v>
      </c>
      <c r="H100" s="2632" t="s">
        <v>1251</v>
      </c>
      <c r="I100" s="2693"/>
      <c r="J100" s="2694"/>
      <c r="K100" s="1393" t="s">
        <v>2808</v>
      </c>
      <c r="L100" s="2632" t="s">
        <v>4257</v>
      </c>
      <c r="M100" s="2693"/>
      <c r="N100" s="2694"/>
      <c r="O100" s="1389" t="s">
        <v>1869</v>
      </c>
      <c r="Q100" s="2640">
        <v>4048737014</v>
      </c>
      <c r="R100" s="2645"/>
      <c r="S100" s="2641"/>
    </row>
    <row r="101" spans="2:19" s="329" customFormat="1" ht="11.25" customHeight="1">
      <c r="D101" s="372"/>
      <c r="E101" s="334" t="s">
        <v>1865</v>
      </c>
      <c r="H101" s="2646" t="s">
        <v>880</v>
      </c>
      <c r="K101" s="1394" t="s">
        <v>2308</v>
      </c>
      <c r="L101" s="2643">
        <v>303631031</v>
      </c>
      <c r="M101" s="2694"/>
      <c r="O101" s="1389" t="s">
        <v>2054</v>
      </c>
      <c r="Q101" s="2640"/>
      <c r="R101" s="2645"/>
      <c r="S101" s="2641"/>
    </row>
    <row r="102" spans="2:19" ht="11.25" customHeight="1">
      <c r="E102" s="334" t="s">
        <v>2060</v>
      </c>
      <c r="F102" s="329"/>
      <c r="G102" s="329"/>
      <c r="H102" s="2640">
        <v>4048737014</v>
      </c>
      <c r="I102" s="2641"/>
      <c r="J102" s="2756"/>
      <c r="K102" s="1403" t="s">
        <v>2059</v>
      </c>
      <c r="L102" s="2647" t="s">
        <v>4258</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403"/>
      <c r="R103" s="1403"/>
      <c r="S103" s="2759"/>
    </row>
    <row r="104" spans="2:19" ht="0.6" customHeight="1">
      <c r="E104" s="334"/>
      <c r="F104" s="329"/>
      <c r="G104" s="1399"/>
      <c r="H104" s="2758"/>
      <c r="I104" s="2758"/>
      <c r="J104" s="2758"/>
      <c r="K104" s="1391"/>
      <c r="L104" s="2758"/>
      <c r="M104" s="2758"/>
      <c r="N104" s="1391"/>
      <c r="O104" s="1384"/>
      <c r="P104" s="1384"/>
      <c r="Q104" s="1403"/>
      <c r="R104" s="1384"/>
      <c r="S104" s="1384"/>
    </row>
    <row r="105" spans="2:19" s="329" customFormat="1" ht="11.25" customHeight="1">
      <c r="B105" s="331" t="s">
        <v>1801</v>
      </c>
      <c r="C105" s="331" t="s">
        <v>303</v>
      </c>
      <c r="H105" s="2632" t="s">
        <v>4259</v>
      </c>
      <c r="I105" s="2693"/>
      <c r="J105" s="2693"/>
      <c r="K105" s="2693"/>
      <c r="L105" s="2693"/>
      <c r="M105" s="2693"/>
      <c r="N105" s="2694"/>
      <c r="O105" s="1389" t="s">
        <v>2065</v>
      </c>
      <c r="P105" s="1389"/>
      <c r="Q105" s="2632" t="s">
        <v>4268</v>
      </c>
      <c r="R105" s="2693"/>
      <c r="S105" s="2694"/>
    </row>
    <row r="106" spans="2:19" s="329" customFormat="1" ht="11.25" customHeight="1">
      <c r="D106" s="372"/>
      <c r="E106" s="334" t="s">
        <v>1058</v>
      </c>
      <c r="F106" s="342"/>
      <c r="H106" s="2632" t="s">
        <v>4260</v>
      </c>
      <c r="I106" s="2693"/>
      <c r="J106" s="2693"/>
      <c r="K106" s="2693"/>
      <c r="L106" s="2693"/>
      <c r="M106" s="2693"/>
      <c r="N106" s="2694"/>
      <c r="O106" s="1389" t="s">
        <v>1813</v>
      </c>
      <c r="Q106" s="2632" t="s">
        <v>4269</v>
      </c>
      <c r="R106" s="2693"/>
      <c r="S106" s="2694"/>
    </row>
    <row r="107" spans="2:19" s="329" customFormat="1" ht="11.25" customHeight="1">
      <c r="D107" s="372"/>
      <c r="E107" s="334" t="s">
        <v>642</v>
      </c>
      <c r="H107" s="2632" t="s">
        <v>1251</v>
      </c>
      <c r="I107" s="2693"/>
      <c r="J107" s="2694"/>
      <c r="K107" s="1393" t="s">
        <v>2808</v>
      </c>
      <c r="L107" s="2632" t="s">
        <v>4261</v>
      </c>
      <c r="M107" s="2693"/>
      <c r="N107" s="2694"/>
      <c r="O107" s="1389" t="s">
        <v>1869</v>
      </c>
      <c r="Q107" s="2640">
        <v>4048477774</v>
      </c>
      <c r="R107" s="2645"/>
      <c r="S107" s="2641"/>
    </row>
    <row r="108" spans="2:19" s="329" customFormat="1" ht="11.25" customHeight="1">
      <c r="D108" s="372"/>
      <c r="E108" s="334" t="s">
        <v>1865</v>
      </c>
      <c r="H108" s="2646" t="s">
        <v>880</v>
      </c>
      <c r="K108" s="1394" t="s">
        <v>2308</v>
      </c>
      <c r="L108" s="2643">
        <v>303294276</v>
      </c>
      <c r="M108" s="2694"/>
      <c r="O108" s="1389" t="s">
        <v>2054</v>
      </c>
      <c r="Q108" s="2640"/>
      <c r="R108" s="2645"/>
      <c r="S108" s="2641"/>
    </row>
    <row r="109" spans="2:19" ht="11.25" customHeight="1">
      <c r="E109" s="334" t="s">
        <v>2060</v>
      </c>
      <c r="F109" s="329"/>
      <c r="G109" s="329"/>
      <c r="H109" s="2640">
        <v>4048479447</v>
      </c>
      <c r="I109" s="2641"/>
      <c r="J109" s="2756"/>
      <c r="K109" s="1403" t="s">
        <v>2059</v>
      </c>
      <c r="L109" s="2647" t="s">
        <v>4262</v>
      </c>
      <c r="M109" s="2648"/>
      <c r="N109" s="2648"/>
      <c r="O109" s="2648"/>
      <c r="P109" s="2648"/>
      <c r="Q109" s="2648"/>
      <c r="R109" s="2648"/>
      <c r="S109" s="2649"/>
    </row>
    <row r="110" spans="2:19" ht="6.6" customHeight="1">
      <c r="E110" s="334"/>
      <c r="F110" s="329"/>
      <c r="G110" s="1399"/>
      <c r="H110" s="2757"/>
      <c r="I110" s="2757"/>
      <c r="J110" s="2757"/>
      <c r="K110" s="1403"/>
      <c r="L110" s="2757"/>
      <c r="M110" s="2757"/>
      <c r="N110" s="1391"/>
      <c r="O110" s="1384"/>
      <c r="P110" s="1384"/>
      <c r="Q110" s="1403"/>
      <c r="R110" s="1384"/>
      <c r="S110" s="1384"/>
    </row>
    <row r="111" spans="2:19" s="329" customFormat="1" ht="11.25" customHeight="1">
      <c r="B111" s="331" t="s">
        <v>1802</v>
      </c>
      <c r="C111" s="331" t="s">
        <v>304</v>
      </c>
      <c r="H111" s="2632" t="s">
        <v>4263</v>
      </c>
      <c r="I111" s="2693"/>
      <c r="J111" s="2693"/>
      <c r="K111" s="2693"/>
      <c r="L111" s="2693"/>
      <c r="M111" s="2693"/>
      <c r="N111" s="2694"/>
      <c r="O111" s="1389" t="s">
        <v>2065</v>
      </c>
      <c r="P111" s="1389"/>
      <c r="Q111" s="2632" t="s">
        <v>4270</v>
      </c>
      <c r="R111" s="2693"/>
      <c r="S111" s="2694"/>
    </row>
    <row r="112" spans="2:19" s="329" customFormat="1" ht="11.25" customHeight="1">
      <c r="D112" s="372"/>
      <c r="E112" s="334" t="s">
        <v>1058</v>
      </c>
      <c r="F112" s="342"/>
      <c r="H112" s="2632" t="s">
        <v>4264</v>
      </c>
      <c r="I112" s="2693"/>
      <c r="J112" s="2693"/>
      <c r="K112" s="2693"/>
      <c r="L112" s="2693"/>
      <c r="M112" s="2693"/>
      <c r="N112" s="2694"/>
      <c r="O112" s="1389" t="s">
        <v>1813</v>
      </c>
      <c r="Q112" s="2632" t="s">
        <v>1920</v>
      </c>
      <c r="R112" s="2693"/>
      <c r="S112" s="2694"/>
    </row>
    <row r="113" spans="1:19" s="329" customFormat="1" ht="11.25" customHeight="1">
      <c r="D113" s="372"/>
      <c r="E113" s="334" t="s">
        <v>642</v>
      </c>
      <c r="H113" s="2632" t="s">
        <v>4265</v>
      </c>
      <c r="I113" s="2693"/>
      <c r="J113" s="2694"/>
      <c r="K113" s="1393" t="s">
        <v>2808</v>
      </c>
      <c r="L113" s="2632" t="s">
        <v>4266</v>
      </c>
      <c r="M113" s="2693"/>
      <c r="N113" s="2694"/>
      <c r="O113" s="1389" t="s">
        <v>1869</v>
      </c>
      <c r="Q113" s="2640">
        <v>8175140584</v>
      </c>
      <c r="R113" s="2645"/>
      <c r="S113" s="2641"/>
    </row>
    <row r="114" spans="1:19" s="329" customFormat="1" ht="11.25" customHeight="1">
      <c r="D114" s="376"/>
      <c r="E114" s="334" t="s">
        <v>1865</v>
      </c>
      <c r="H114" s="2646" t="s">
        <v>880</v>
      </c>
      <c r="K114" s="1394" t="s">
        <v>2308</v>
      </c>
      <c r="L114" s="2643">
        <v>760215987</v>
      </c>
      <c r="M114" s="2694"/>
      <c r="O114" s="1389" t="s">
        <v>2054</v>
      </c>
      <c r="Q114" s="2640"/>
      <c r="R114" s="2645"/>
      <c r="S114" s="2641"/>
    </row>
    <row r="115" spans="1:19" s="329" customFormat="1" ht="11.25" customHeight="1">
      <c r="D115" s="376"/>
      <c r="E115" s="334" t="s">
        <v>2060</v>
      </c>
      <c r="H115" s="2640">
        <v>8175140584</v>
      </c>
      <c r="I115" s="2641"/>
      <c r="J115" s="2756"/>
      <c r="K115" s="1403" t="s">
        <v>2059</v>
      </c>
      <c r="L115" s="2647" t="s">
        <v>4267</v>
      </c>
      <c r="M115" s="2648"/>
      <c r="N115" s="2648"/>
      <c r="O115" s="2648"/>
      <c r="P115" s="2648"/>
      <c r="Q115" s="2648"/>
      <c r="R115" s="2648"/>
      <c r="S115" s="2649"/>
    </row>
    <row r="116" spans="1:19" ht="4.5" customHeight="1"/>
    <row r="117" spans="1:19" s="329" customFormat="1" ht="13.15" customHeight="1">
      <c r="A117" s="331" t="s">
        <v>1858</v>
      </c>
      <c r="B117" s="331" t="s">
        <v>2691</v>
      </c>
      <c r="F117" s="331"/>
      <c r="G117" s="1403"/>
      <c r="H117" s="1403"/>
      <c r="I117" s="1403"/>
      <c r="J117" s="1403"/>
      <c r="K117" s="1403"/>
      <c r="L117" s="1403"/>
      <c r="M117" s="1403"/>
      <c r="N117" s="1403"/>
      <c r="O117" s="1403"/>
      <c r="P117" s="1403"/>
      <c r="Q117" s="1393"/>
    </row>
    <row r="118" spans="1:19" s="329" customFormat="1" ht="11.25" customHeight="1">
      <c r="B118" s="331" t="s">
        <v>2058</v>
      </c>
      <c r="C118" s="331" t="s">
        <v>3868</v>
      </c>
      <c r="H118" s="2650"/>
      <c r="I118" s="2651"/>
      <c r="J118" s="2652"/>
      <c r="K118" s="1403" t="s">
        <v>2560</v>
      </c>
      <c r="L118" s="2632"/>
      <c r="M118" s="2693"/>
      <c r="N118" s="2694"/>
      <c r="O118" s="334" t="s">
        <v>3869</v>
      </c>
      <c r="Q118" s="2632"/>
      <c r="R118" s="2693"/>
      <c r="S118" s="2694"/>
    </row>
    <row r="119" spans="1:19" s="329" customFormat="1" ht="11.25" customHeight="1">
      <c r="D119" s="372"/>
      <c r="E119" s="334" t="s">
        <v>1058</v>
      </c>
      <c r="F119" s="342"/>
      <c r="H119" s="2632"/>
      <c r="I119" s="2693"/>
      <c r="J119" s="2693"/>
      <c r="K119" s="2693"/>
      <c r="L119" s="2693"/>
      <c r="M119" s="2693"/>
      <c r="N119" s="2694"/>
      <c r="O119" s="334" t="s">
        <v>642</v>
      </c>
      <c r="Q119" s="2632"/>
      <c r="R119" s="2693"/>
      <c r="S119" s="2694"/>
    </row>
    <row r="120" spans="1:19" s="329" customFormat="1" ht="11.25" customHeight="1">
      <c r="D120" s="372"/>
      <c r="E120" s="334" t="s">
        <v>1865</v>
      </c>
      <c r="H120" s="2646"/>
      <c r="I120" s="1394" t="s">
        <v>2308</v>
      </c>
      <c r="J120" s="2643"/>
      <c r="K120" s="2694"/>
      <c r="L120" s="1403" t="s">
        <v>2059</v>
      </c>
      <c r="M120" s="2647"/>
      <c r="N120" s="2648"/>
      <c r="O120" s="2648"/>
      <c r="P120" s="2648"/>
      <c r="Q120" s="2648"/>
      <c r="R120" s="2648"/>
      <c r="S120" s="2649"/>
    </row>
    <row r="121" spans="1:19" ht="12" customHeight="1">
      <c r="B121" s="331" t="s">
        <v>2061</v>
      </c>
      <c r="C121" s="331" t="s">
        <v>2972</v>
      </c>
      <c r="H121" s="1382"/>
      <c r="I121" s="1382"/>
      <c r="J121" s="1382"/>
      <c r="K121" s="1382"/>
      <c r="L121" s="1382"/>
      <c r="M121" s="1382"/>
      <c r="N121" s="1382"/>
      <c r="O121" s="1382"/>
      <c r="P121" s="1382"/>
      <c r="Q121" s="1382"/>
      <c r="R121" s="1382"/>
      <c r="S121" s="1382"/>
    </row>
    <row r="122" spans="1:19" ht="11.25" customHeight="1">
      <c r="A122" s="1473" t="s">
        <v>3684</v>
      </c>
      <c r="B122" s="1473"/>
      <c r="C122" s="1473"/>
      <c r="D122" s="1473"/>
      <c r="E122" s="1474"/>
      <c r="F122" s="2760" t="s">
        <v>2597</v>
      </c>
      <c r="G122" s="2761" t="s">
        <v>3744</v>
      </c>
      <c r="H122" s="2762"/>
      <c r="I122" s="2762"/>
      <c r="J122" s="2762"/>
      <c r="K122" s="2762"/>
      <c r="L122" s="2762"/>
      <c r="M122" s="2762"/>
      <c r="N122" s="2762"/>
      <c r="O122" s="2762"/>
      <c r="P122" s="2762"/>
      <c r="Q122" s="2762"/>
      <c r="R122" s="2762"/>
      <c r="S122" s="2763"/>
    </row>
    <row r="123" spans="1:19" s="329" customFormat="1" ht="31.5" customHeight="1">
      <c r="B123" s="575"/>
      <c r="C123" s="819" t="s">
        <v>2062</v>
      </c>
      <c r="D123" s="1475" t="s">
        <v>2973</v>
      </c>
      <c r="E123" s="1476"/>
      <c r="F123" s="2764" t="s">
        <v>3152</v>
      </c>
      <c r="G123" s="2765" t="s">
        <v>4271</v>
      </c>
      <c r="H123" s="2766"/>
      <c r="I123" s="2766"/>
      <c r="J123" s="2766"/>
      <c r="K123" s="2766"/>
      <c r="L123" s="2766"/>
      <c r="M123" s="2766"/>
      <c r="N123" s="2766"/>
      <c r="O123" s="2766"/>
      <c r="P123" s="2766"/>
      <c r="Q123" s="2766"/>
      <c r="R123" s="2766"/>
      <c r="S123" s="2767"/>
    </row>
    <row r="124" spans="1:19" s="329" customFormat="1" ht="31.5" customHeight="1">
      <c r="B124" s="575"/>
      <c r="C124" s="819" t="s">
        <v>2064</v>
      </c>
      <c r="D124" s="1475" t="s">
        <v>3044</v>
      </c>
      <c r="E124" s="1476"/>
      <c r="F124" s="2768" t="s">
        <v>3152</v>
      </c>
      <c r="G124" s="2769" t="s">
        <v>4272</v>
      </c>
      <c r="H124" s="2770"/>
      <c r="I124" s="2770"/>
      <c r="J124" s="2770"/>
      <c r="K124" s="2770"/>
      <c r="L124" s="2770"/>
      <c r="M124" s="2770"/>
      <c r="N124" s="2770"/>
      <c r="O124" s="2770"/>
      <c r="P124" s="2770"/>
      <c r="Q124" s="2770"/>
      <c r="R124" s="2770"/>
      <c r="S124" s="2771"/>
    </row>
    <row r="125" spans="1:19" s="329" customFormat="1" ht="31.5" customHeight="1">
      <c r="B125" s="575"/>
      <c r="C125" s="819" t="s">
        <v>2622</v>
      </c>
      <c r="D125" s="1475" t="s">
        <v>3016</v>
      </c>
      <c r="E125" s="1476"/>
      <c r="F125" s="2768" t="s">
        <v>3152</v>
      </c>
      <c r="G125" s="2769" t="s">
        <v>4273</v>
      </c>
      <c r="H125" s="2770"/>
      <c r="I125" s="2770"/>
      <c r="J125" s="2770"/>
      <c r="K125" s="2770"/>
      <c r="L125" s="2770"/>
      <c r="M125" s="2770"/>
      <c r="N125" s="2770"/>
      <c r="O125" s="2770"/>
      <c r="P125" s="2770"/>
      <c r="Q125" s="2770"/>
      <c r="R125" s="2770"/>
      <c r="S125" s="2771"/>
    </row>
    <row r="126" spans="1:19" s="329" customFormat="1" ht="31.5" customHeight="1">
      <c r="B126" s="575"/>
      <c r="C126" s="819" t="s">
        <v>1270</v>
      </c>
      <c r="D126" s="1475" t="s">
        <v>2974</v>
      </c>
      <c r="E126" s="1476"/>
      <c r="F126" s="2768" t="s">
        <v>3155</v>
      </c>
      <c r="G126" s="2769"/>
      <c r="H126" s="2770"/>
      <c r="I126" s="2770"/>
      <c r="J126" s="2770"/>
      <c r="K126" s="2770"/>
      <c r="L126" s="2770"/>
      <c r="M126" s="2770"/>
      <c r="N126" s="2770"/>
      <c r="O126" s="2770"/>
      <c r="P126" s="2770"/>
      <c r="Q126" s="2770"/>
      <c r="R126" s="2770"/>
      <c r="S126" s="2771"/>
    </row>
    <row r="127" spans="1:19" s="329" customFormat="1" ht="42" customHeight="1">
      <c r="B127" s="575"/>
      <c r="C127" s="819" t="s">
        <v>1271</v>
      </c>
      <c r="D127" s="1475" t="s">
        <v>3723</v>
      </c>
      <c r="E127" s="1476"/>
      <c r="F127" s="2768" t="s">
        <v>3152</v>
      </c>
      <c r="G127" s="2769" t="s">
        <v>4274</v>
      </c>
      <c r="H127" s="2770"/>
      <c r="I127" s="2770"/>
      <c r="J127" s="2770"/>
      <c r="K127" s="2770"/>
      <c r="L127" s="2770"/>
      <c r="M127" s="2770"/>
      <c r="N127" s="2770"/>
      <c r="O127" s="2770"/>
      <c r="P127" s="2770"/>
      <c r="Q127" s="2770"/>
      <c r="R127" s="2770"/>
      <c r="S127" s="2771"/>
    </row>
    <row r="128" spans="1:19" s="329" customFormat="1" ht="41.25" customHeight="1">
      <c r="B128" s="575"/>
      <c r="C128" s="819" t="s">
        <v>1955</v>
      </c>
      <c r="D128" s="1475" t="s">
        <v>3724</v>
      </c>
      <c r="E128" s="1476"/>
      <c r="F128" s="2768" t="s">
        <v>3152</v>
      </c>
      <c r="G128" s="2769" t="s">
        <v>4275</v>
      </c>
      <c r="H128" s="2770"/>
      <c r="I128" s="2770"/>
      <c r="J128" s="2770"/>
      <c r="K128" s="2770"/>
      <c r="L128" s="2770"/>
      <c r="M128" s="2770"/>
      <c r="N128" s="2770"/>
      <c r="O128" s="2770"/>
      <c r="P128" s="2770"/>
      <c r="Q128" s="2770"/>
      <c r="R128" s="2770"/>
      <c r="S128" s="2771"/>
    </row>
    <row r="129" spans="1:19" s="329" customFormat="1" ht="31.5" customHeight="1">
      <c r="B129" s="575"/>
      <c r="C129" s="819" t="s">
        <v>521</v>
      </c>
      <c r="D129" s="1475" t="s">
        <v>2975</v>
      </c>
      <c r="E129" s="1476"/>
      <c r="F129" s="2768" t="s">
        <v>3155</v>
      </c>
      <c r="G129" s="2769"/>
      <c r="H129" s="2770"/>
      <c r="I129" s="2770"/>
      <c r="J129" s="2770"/>
      <c r="K129" s="2770"/>
      <c r="L129" s="2770"/>
      <c r="M129" s="2770"/>
      <c r="N129" s="2770"/>
      <c r="O129" s="2770"/>
      <c r="P129" s="2770"/>
      <c r="Q129" s="2770"/>
      <c r="R129" s="2770"/>
      <c r="S129" s="2771"/>
    </row>
    <row r="130" spans="1:19" s="329" customFormat="1" ht="31.5" customHeight="1">
      <c r="B130" s="575"/>
      <c r="C130" s="819" t="s">
        <v>522</v>
      </c>
      <c r="D130" s="1475" t="s">
        <v>1659</v>
      </c>
      <c r="E130" s="1476"/>
      <c r="F130" s="2772" t="s">
        <v>3152</v>
      </c>
      <c r="G130" s="2773" t="s">
        <v>4276</v>
      </c>
      <c r="H130" s="2774"/>
      <c r="I130" s="2774"/>
      <c r="J130" s="2774"/>
      <c r="K130" s="2774"/>
      <c r="L130" s="2774"/>
      <c r="M130" s="2774"/>
      <c r="N130" s="2774"/>
      <c r="O130" s="2774"/>
      <c r="P130" s="2774"/>
      <c r="Q130" s="2774"/>
      <c r="R130" s="2774"/>
      <c r="S130" s="2775"/>
    </row>
    <row r="131" spans="1:19" s="329" customFormat="1" ht="13.15" customHeight="1">
      <c r="A131" s="331" t="s">
        <v>1858</v>
      </c>
      <c r="B131" s="331" t="s">
        <v>2985</v>
      </c>
      <c r="F131" s="331"/>
      <c r="G131" s="1403"/>
      <c r="H131" s="1403"/>
      <c r="I131" s="1403"/>
      <c r="J131" s="1403"/>
      <c r="K131" s="1403"/>
      <c r="L131" s="1403"/>
      <c r="M131" s="1403"/>
      <c r="N131" s="1403"/>
      <c r="O131" s="1403"/>
      <c r="P131" s="1403"/>
      <c r="Q131" s="1393"/>
    </row>
    <row r="132" spans="1:19" s="329" customFormat="1" ht="2.25" customHeight="1">
      <c r="A132" s="331"/>
      <c r="B132" s="331"/>
      <c r="F132" s="331"/>
      <c r="G132" s="1403"/>
      <c r="H132" s="1403"/>
      <c r="I132" s="1403"/>
      <c r="J132" s="1403"/>
      <c r="K132" s="1403"/>
      <c r="L132" s="1403"/>
      <c r="M132" s="1403"/>
      <c r="N132" s="1403"/>
      <c r="O132" s="1403"/>
      <c r="P132" s="1403"/>
      <c r="Q132" s="1393"/>
    </row>
    <row r="133" spans="1:19" ht="13.15" customHeight="1">
      <c r="B133" s="331" t="s">
        <v>779</v>
      </c>
      <c r="C133" s="331" t="s">
        <v>2976</v>
      </c>
    </row>
    <row r="134" spans="1:19" s="329" customFormat="1" ht="13.5" customHeight="1">
      <c r="A134" s="1486" t="s">
        <v>664</v>
      </c>
      <c r="B134" s="1487"/>
      <c r="C134" s="1487"/>
      <c r="D134" s="1487"/>
      <c r="E134" s="1507" t="s">
        <v>3690</v>
      </c>
      <c r="F134" s="1508"/>
      <c r="G134" s="1508"/>
      <c r="H134" s="1508"/>
      <c r="I134" s="1509"/>
      <c r="J134" s="1504" t="s">
        <v>3691</v>
      </c>
      <c r="K134" s="1513" t="s">
        <v>3063</v>
      </c>
      <c r="L134" s="1513" t="s">
        <v>3064</v>
      </c>
      <c r="M134" s="1498" t="s">
        <v>3706</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3722</v>
      </c>
      <c r="F137" s="1493"/>
      <c r="G137" s="1493"/>
      <c r="H137" s="1494"/>
      <c r="I137" s="820"/>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4" t="s">
        <v>2597</v>
      </c>
      <c r="J138" s="1506"/>
      <c r="K138" s="1515"/>
      <c r="L138" s="1514"/>
      <c r="M138" s="406" t="s">
        <v>2597</v>
      </c>
      <c r="N138" s="1458" t="s">
        <v>3062</v>
      </c>
      <c r="O138" s="1458"/>
      <c r="P138" s="1458"/>
      <c r="Q138" s="1458"/>
      <c r="R138" s="1458"/>
      <c r="S138" s="1516"/>
    </row>
    <row r="139" spans="1:19" s="329" customFormat="1" ht="24" customHeight="1">
      <c r="A139" s="1483" t="s">
        <v>3685</v>
      </c>
      <c r="B139" s="1484"/>
      <c r="C139" s="1484"/>
      <c r="D139" s="1485"/>
      <c r="E139" s="2765"/>
      <c r="F139" s="2766"/>
      <c r="G139" s="2766"/>
      <c r="H139" s="2766"/>
      <c r="I139" s="2776" t="s">
        <v>3155</v>
      </c>
      <c r="J139" s="2764" t="s">
        <v>3155</v>
      </c>
      <c r="K139" s="2777" t="s">
        <v>4277</v>
      </c>
      <c r="L139" s="2778">
        <v>1E-4</v>
      </c>
      <c r="M139" s="2779" t="s">
        <v>3152</v>
      </c>
      <c r="N139" s="2780"/>
      <c r="O139" s="2766"/>
      <c r="P139" s="2766"/>
      <c r="Q139" s="2766"/>
      <c r="R139" s="2766"/>
      <c r="S139" s="2767"/>
    </row>
    <row r="140" spans="1:19" s="329" customFormat="1" ht="24" customHeight="1">
      <c r="A140" s="1480" t="s">
        <v>3686</v>
      </c>
      <c r="B140" s="1481"/>
      <c r="C140" s="1481"/>
      <c r="D140" s="1482"/>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480" t="s">
        <v>3687</v>
      </c>
      <c r="B141" s="1481"/>
      <c r="C141" s="1481"/>
      <c r="D141" s="1482"/>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480" t="s">
        <v>3688</v>
      </c>
      <c r="B142" s="1481"/>
      <c r="C142" s="1481"/>
      <c r="D142" s="1482"/>
      <c r="E142" s="2769"/>
      <c r="F142" s="2770"/>
      <c r="G142" s="2770"/>
      <c r="H142" s="2770"/>
      <c r="I142" s="2781" t="s">
        <v>3155</v>
      </c>
      <c r="J142" s="2768" t="s">
        <v>3155</v>
      </c>
      <c r="K142" s="2782" t="s">
        <v>4277</v>
      </c>
      <c r="L142" s="2783">
        <v>0.9899</v>
      </c>
      <c r="M142" s="2784" t="s">
        <v>3155</v>
      </c>
      <c r="N142" s="2785"/>
      <c r="O142" s="2770"/>
      <c r="P142" s="2770"/>
      <c r="Q142" s="2770"/>
      <c r="R142" s="2770"/>
      <c r="S142" s="2771"/>
    </row>
    <row r="143" spans="1:19" s="329" customFormat="1" ht="24" customHeight="1">
      <c r="A143" s="1480" t="s">
        <v>3689</v>
      </c>
      <c r="B143" s="1481"/>
      <c r="C143" s="1481"/>
      <c r="D143" s="1482"/>
      <c r="E143" s="2769"/>
      <c r="F143" s="2770"/>
      <c r="G143" s="2770"/>
      <c r="H143" s="2770"/>
      <c r="I143" s="2781" t="s">
        <v>3155</v>
      </c>
      <c r="J143" s="2768" t="s">
        <v>3155</v>
      </c>
      <c r="K143" s="2782" t="s">
        <v>4277</v>
      </c>
      <c r="L143" s="2783">
        <v>0.01</v>
      </c>
      <c r="M143" s="2784" t="s">
        <v>3152</v>
      </c>
      <c r="N143" s="2785"/>
      <c r="O143" s="2770"/>
      <c r="P143" s="2770"/>
      <c r="Q143" s="2770"/>
      <c r="R143" s="2770"/>
      <c r="S143" s="2771"/>
    </row>
    <row r="144" spans="1:19" s="329" customFormat="1" ht="24" customHeight="1">
      <c r="A144" s="1480" t="s">
        <v>3037</v>
      </c>
      <c r="B144" s="1481"/>
      <c r="C144" s="1481"/>
      <c r="D144" s="1482"/>
      <c r="E144" s="2769"/>
      <c r="F144" s="2770"/>
      <c r="G144" s="2770"/>
      <c r="H144" s="2770"/>
      <c r="I144" s="2781" t="s">
        <v>3155</v>
      </c>
      <c r="J144" s="2768" t="s">
        <v>3155</v>
      </c>
      <c r="K144" s="2782" t="s">
        <v>2688</v>
      </c>
      <c r="L144" s="2783">
        <v>0</v>
      </c>
      <c r="M144" s="2784" t="s">
        <v>3152</v>
      </c>
      <c r="N144" s="2785"/>
      <c r="O144" s="2770"/>
      <c r="P144" s="2770"/>
      <c r="Q144" s="2770"/>
      <c r="R144" s="2770"/>
      <c r="S144" s="2771"/>
    </row>
    <row r="145" spans="1:24" s="329" customFormat="1" ht="24" customHeight="1">
      <c r="A145" s="1480" t="s">
        <v>678</v>
      </c>
      <c r="B145" s="1481"/>
      <c r="C145" s="1481"/>
      <c r="D145" s="1482"/>
      <c r="E145" s="2769"/>
      <c r="F145" s="2770"/>
      <c r="G145" s="2770"/>
      <c r="H145" s="2770"/>
      <c r="I145" s="2781" t="s">
        <v>3155</v>
      </c>
      <c r="J145" s="2768" t="s">
        <v>3155</v>
      </c>
      <c r="K145" s="2782" t="s">
        <v>4277</v>
      </c>
      <c r="L145" s="2783">
        <v>0</v>
      </c>
      <c r="M145" s="2784" t="s">
        <v>3155</v>
      </c>
      <c r="N145" s="2785"/>
      <c r="O145" s="2770"/>
      <c r="P145" s="2770"/>
      <c r="Q145" s="2770"/>
      <c r="R145" s="2770"/>
      <c r="S145" s="2771"/>
    </row>
    <row r="146" spans="1:24" s="329" customFormat="1" ht="24" customHeight="1">
      <c r="A146" s="1480" t="s">
        <v>3038</v>
      </c>
      <c r="B146" s="1481"/>
      <c r="C146" s="1481"/>
      <c r="D146" s="1482"/>
      <c r="E146" s="2769"/>
      <c r="F146" s="2770"/>
      <c r="G146" s="2770"/>
      <c r="H146" s="2770"/>
      <c r="I146" s="2781" t="s">
        <v>3155</v>
      </c>
      <c r="J146" s="2768" t="s">
        <v>3155</v>
      </c>
      <c r="K146" s="2782" t="s">
        <v>4277</v>
      </c>
      <c r="L146" s="2783">
        <v>0</v>
      </c>
      <c r="M146" s="2784" t="s">
        <v>3152</v>
      </c>
      <c r="N146" s="2785"/>
      <c r="O146" s="2770"/>
      <c r="P146" s="2770"/>
      <c r="Q146" s="2770"/>
      <c r="R146" s="2770"/>
      <c r="S146" s="2771"/>
    </row>
    <row r="147" spans="1:24" s="329" customFormat="1" ht="24" customHeight="1">
      <c r="A147" s="1480" t="s">
        <v>3039</v>
      </c>
      <c r="B147" s="1481"/>
      <c r="C147" s="1481"/>
      <c r="D147" s="1482"/>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480" t="s">
        <v>3041</v>
      </c>
      <c r="B148" s="1481"/>
      <c r="C148" s="1481"/>
      <c r="D148" s="1482"/>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480" t="s">
        <v>3040</v>
      </c>
      <c r="B149" s="1481"/>
      <c r="C149" s="1481"/>
      <c r="D149" s="1482"/>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480" t="s">
        <v>1586</v>
      </c>
      <c r="B150" s="1481"/>
      <c r="C150" s="1481"/>
      <c r="D150" s="1482"/>
      <c r="E150" s="2769"/>
      <c r="F150" s="2770"/>
      <c r="G150" s="2770"/>
      <c r="H150" s="2770"/>
      <c r="I150" s="2781" t="s">
        <v>3155</v>
      </c>
      <c r="J150" s="2768" t="s">
        <v>3155</v>
      </c>
      <c r="K150" s="2782" t="s">
        <v>4277</v>
      </c>
      <c r="L150" s="2783">
        <v>0</v>
      </c>
      <c r="M150" s="2784" t="s">
        <v>3152</v>
      </c>
      <c r="N150" s="2785"/>
      <c r="O150" s="2770"/>
      <c r="P150" s="2770"/>
      <c r="Q150" s="2770"/>
      <c r="R150" s="2770"/>
      <c r="S150" s="2771"/>
    </row>
    <row r="151" spans="1:24" s="329" customFormat="1" ht="24" customHeight="1">
      <c r="A151" s="1477" t="s">
        <v>3042</v>
      </c>
      <c r="B151" s="1478"/>
      <c r="C151" s="1478"/>
      <c r="D151" s="1479"/>
      <c r="E151" s="2773"/>
      <c r="F151" s="2774"/>
      <c r="G151" s="2774"/>
      <c r="H151" s="2774"/>
      <c r="I151" s="2786" t="s">
        <v>3155</v>
      </c>
      <c r="J151" s="2772" t="s">
        <v>3155</v>
      </c>
      <c r="K151" s="2787" t="s">
        <v>4277</v>
      </c>
      <c r="L151" s="2788">
        <v>0</v>
      </c>
      <c r="M151" s="2789" t="s">
        <v>3152</v>
      </c>
      <c r="N151" s="2790"/>
      <c r="O151" s="2774"/>
      <c r="P151" s="2774"/>
      <c r="Q151" s="2774"/>
      <c r="R151" s="2774"/>
      <c r="S151" s="2775"/>
    </row>
    <row r="152" spans="1:24" s="1399" customFormat="1" ht="12" customHeight="1">
      <c r="G152" s="340"/>
      <c r="H152" s="340"/>
      <c r="I152" s="340"/>
      <c r="J152" s="1403"/>
      <c r="K152" s="355" t="s">
        <v>558</v>
      </c>
      <c r="L152" s="650">
        <f>SUM(L139:S151)</f>
        <v>1</v>
      </c>
      <c r="M152" s="1403"/>
      <c r="P152" s="338"/>
    </row>
    <row r="153" spans="1:24" ht="11.25" customHeight="1">
      <c r="A153" s="357" t="s">
        <v>1860</v>
      </c>
      <c r="B153" s="371"/>
      <c r="C153" s="357" t="s">
        <v>593</v>
      </c>
      <c r="N153" s="357" t="s">
        <v>549</v>
      </c>
      <c r="O153" s="357" t="s">
        <v>81</v>
      </c>
    </row>
    <row r="154" spans="1:24" ht="60" customHeight="1">
      <c r="A154" s="2732" t="s">
        <v>4278</v>
      </c>
      <c r="B154" s="2733"/>
      <c r="C154" s="2733"/>
      <c r="D154" s="2733"/>
      <c r="E154" s="2733"/>
      <c r="F154" s="2733"/>
      <c r="G154" s="2733"/>
      <c r="H154" s="2733"/>
      <c r="I154" s="2733"/>
      <c r="J154" s="2733"/>
      <c r="K154" s="2733"/>
      <c r="L154" s="2733"/>
      <c r="M154" s="2734"/>
      <c r="N154" s="2735"/>
      <c r="O154" s="2736"/>
      <c r="P154" s="2736"/>
      <c r="Q154" s="2736"/>
      <c r="R154" s="2736"/>
      <c r="S154" s="2737"/>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OJhV0B9/m1hPzg3vP/uzKbo/svjvuxOxkzoImT0Ag6fORYjis8q8YUiSO6hlyn/RRAjYU5RFhpsw1BAXjF5NDg==" saltValue="ckcZ4wDJUFa99+PEZQPqY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2016-032 240 Atlanta Street Development Phase 2, Gainesville, Hall County</v>
      </c>
      <c r="B1" s="1518"/>
      <c r="C1" s="1518"/>
      <c r="D1" s="1518"/>
      <c r="E1" s="1518"/>
      <c r="F1" s="1518"/>
      <c r="G1" s="1518"/>
      <c r="H1" s="1518"/>
      <c r="I1" s="1518"/>
      <c r="J1" s="1518"/>
      <c r="K1" s="1518"/>
      <c r="L1" s="1518"/>
      <c r="M1" s="1518"/>
      <c r="N1" s="1518"/>
      <c r="O1" s="1518"/>
      <c r="P1" s="1518"/>
      <c r="Q1" s="1519"/>
      <c r="S1" s="1527" t="str">
        <f>$A$1</f>
        <v>PART THREE - SOURCES OF FUNDS  -  2016-032 240 Atlanta Street Development Phase 2, Gainesville, Hall County</v>
      </c>
      <c r="T1" s="1527"/>
    </row>
    <row r="2" spans="1:20" ht="17.45" customHeight="1" thickBot="1">
      <c r="A2" s="348"/>
      <c r="B2" s="348"/>
      <c r="C2" s="348"/>
      <c r="D2" s="348"/>
      <c r="E2" s="348"/>
      <c r="F2" s="348"/>
      <c r="G2" s="348"/>
      <c r="H2" s="1465" t="s">
        <v>4195</v>
      </c>
      <c r="I2" s="1466"/>
      <c r="J2" s="1467"/>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20" t="s">
        <v>2778</v>
      </c>
      <c r="T4" s="1520"/>
    </row>
    <row r="5" spans="1:20" s="297" customFormat="1" ht="15" customHeight="1">
      <c r="A5" s="543"/>
      <c r="B5" s="2793" t="s">
        <v>3152</v>
      </c>
      <c r="C5" s="1389" t="s">
        <v>2495</v>
      </c>
      <c r="D5" s="329"/>
      <c r="H5" s="2793"/>
      <c r="I5" s="1389" t="s">
        <v>1594</v>
      </c>
      <c r="L5" s="2793"/>
      <c r="M5" s="334" t="s">
        <v>4124</v>
      </c>
      <c r="S5" s="2794"/>
      <c r="T5" s="2795"/>
    </row>
    <row r="6" spans="1:20" s="297" customFormat="1" ht="15" customHeight="1">
      <c r="A6" s="543"/>
      <c r="B6" s="2796"/>
      <c r="C6" s="1389" t="s">
        <v>569</v>
      </c>
      <c r="D6" s="329"/>
      <c r="H6" s="2796"/>
      <c r="I6" s="1389" t="s">
        <v>568</v>
      </c>
      <c r="L6" s="2796"/>
      <c r="M6" s="334" t="s">
        <v>2697</v>
      </c>
      <c r="Q6" s="575"/>
      <c r="S6" s="2797"/>
      <c r="T6" s="2798"/>
    </row>
    <row r="7" spans="1:20" s="297" customFormat="1" ht="15" customHeight="1">
      <c r="A7" s="329"/>
      <c r="B7" s="2796"/>
      <c r="C7" s="1389" t="s">
        <v>4096</v>
      </c>
      <c r="E7" s="2799"/>
      <c r="F7" s="2800"/>
      <c r="H7" s="2796" t="s">
        <v>3152</v>
      </c>
      <c r="I7" s="1389" t="s">
        <v>4123</v>
      </c>
      <c r="L7" s="2796"/>
      <c r="M7" s="334" t="s">
        <v>4131</v>
      </c>
      <c r="S7" s="2797"/>
      <c r="T7" s="2798"/>
    </row>
    <row r="8" spans="1:20" s="297" customFormat="1" ht="15" customHeight="1">
      <c r="A8" s="543"/>
      <c r="B8" s="2796"/>
      <c r="C8" s="1389" t="s">
        <v>1870</v>
      </c>
      <c r="D8" s="329"/>
      <c r="H8" s="2796"/>
      <c r="I8" s="329" t="s">
        <v>2698</v>
      </c>
      <c r="L8" s="2796"/>
      <c r="M8" s="1399" t="s">
        <v>2689</v>
      </c>
      <c r="S8" s="2801"/>
      <c r="T8" s="2802"/>
    </row>
    <row r="9" spans="1:20" s="297" customFormat="1" ht="15" customHeight="1">
      <c r="A9" s="543"/>
      <c r="B9" s="2796"/>
      <c r="C9" s="1389" t="s">
        <v>570</v>
      </c>
      <c r="H9" s="2796"/>
      <c r="I9" s="329" t="s">
        <v>2696</v>
      </c>
      <c r="L9" s="2803"/>
      <c r="M9" s="353" t="s">
        <v>2690</v>
      </c>
      <c r="P9" s="329"/>
      <c r="Q9" s="329"/>
      <c r="S9" s="2794"/>
      <c r="T9" s="2795"/>
    </row>
    <row r="10" spans="1:20" s="297" customFormat="1" ht="15" customHeight="1">
      <c r="A10" s="543"/>
      <c r="B10" s="2796"/>
      <c r="C10" s="1389" t="s">
        <v>4133</v>
      </c>
      <c r="D10" s="329"/>
      <c r="E10" s="2804"/>
      <c r="F10" s="2805"/>
      <c r="G10" s="821"/>
      <c r="H10" s="2803"/>
      <c r="I10" s="1475" t="s">
        <v>2914</v>
      </c>
      <c r="J10" s="1475"/>
      <c r="L10" s="2749"/>
      <c r="M10" s="2806" t="s">
        <v>4135</v>
      </c>
      <c r="N10" s="2807"/>
      <c r="O10" s="2807"/>
      <c r="P10" s="2807"/>
      <c r="Q10" s="2808"/>
      <c r="S10" s="2797"/>
      <c r="T10" s="2798"/>
    </row>
    <row r="11" spans="1:20" s="297" customFormat="1" ht="15" customHeight="1">
      <c r="A11" s="543"/>
      <c r="B11" s="2803"/>
      <c r="C11" s="1389" t="s">
        <v>4129</v>
      </c>
      <c r="I11" s="1475"/>
      <c r="J11" s="1475"/>
      <c r="M11" s="2809" t="s">
        <v>4147</v>
      </c>
      <c r="N11" s="2810"/>
      <c r="O11" s="2810"/>
      <c r="P11" s="2810"/>
      <c r="Q11" s="2811"/>
      <c r="S11" s="2797"/>
      <c r="T11" s="2798"/>
    </row>
    <row r="12" spans="1:20" s="297" customFormat="1" ht="15" customHeight="1">
      <c r="A12" s="543"/>
      <c r="B12" s="543"/>
      <c r="C12" s="297" t="s">
        <v>4130</v>
      </c>
      <c r="E12" s="2809" t="s">
        <v>3692</v>
      </c>
      <c r="F12" s="2810"/>
      <c r="G12" s="2810"/>
      <c r="H12" s="2810"/>
      <c r="I12" s="2811"/>
      <c r="S12" s="2801"/>
      <c r="T12" s="2802"/>
    </row>
    <row r="13" spans="1:20" s="297" customFormat="1" ht="15" customHeight="1">
      <c r="A13" s="543"/>
      <c r="C13" s="297" t="s">
        <v>4132</v>
      </c>
      <c r="E13" s="2804"/>
      <c r="F13" s="2805"/>
      <c r="Q13" s="329"/>
    </row>
    <row r="14" spans="1:20" s="297" customFormat="1" ht="16.899999999999999" customHeight="1">
      <c r="A14" s="543"/>
      <c r="B14" s="297" t="s">
        <v>4134</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50"/>
      <c r="O16" s="1450"/>
      <c r="P16" s="329"/>
      <c r="Q16" s="329"/>
      <c r="S16" s="379" t="str">
        <f>B16</f>
        <v>CONSTRUCTION FINANCING</v>
      </c>
    </row>
    <row r="17" spans="1:20" s="379" customFormat="1" ht="13.9" customHeight="1">
      <c r="A17" s="331"/>
      <c r="B17" s="296"/>
      <c r="C17" s="329"/>
      <c r="K17" s="329"/>
      <c r="L17" s="329"/>
      <c r="M17" s="1399"/>
      <c r="N17" s="1393"/>
      <c r="O17" s="1393"/>
      <c r="P17" s="329"/>
      <c r="Q17" s="329"/>
    </row>
    <row r="18" spans="1:20" s="297" customFormat="1" ht="16.899999999999999" customHeight="1">
      <c r="A18" s="329"/>
      <c r="B18" s="1389" t="s">
        <v>1942</v>
      </c>
      <c r="C18" s="329"/>
      <c r="D18" s="329"/>
      <c r="E18" s="329"/>
      <c r="F18" s="329"/>
      <c r="G18" s="329"/>
      <c r="H18" s="1522" t="s">
        <v>1346</v>
      </c>
      <c r="I18" s="1522"/>
      <c r="J18" s="1522"/>
      <c r="K18" s="1522"/>
      <c r="L18" s="1457" t="s">
        <v>2066</v>
      </c>
      <c r="M18" s="1457"/>
      <c r="N18" s="1457" t="s">
        <v>1564</v>
      </c>
      <c r="O18" s="1457"/>
      <c r="P18" s="1457" t="s">
        <v>1689</v>
      </c>
      <c r="Q18" s="1457"/>
      <c r="S18" s="1520" t="s">
        <v>2778</v>
      </c>
      <c r="T18" s="1520"/>
    </row>
    <row r="19" spans="1:20" s="297" customFormat="1" ht="16.899999999999999" customHeight="1">
      <c r="A19" s="329"/>
      <c r="B19" s="1530" t="s">
        <v>1648</v>
      </c>
      <c r="C19" s="1531"/>
      <c r="D19" s="1531"/>
      <c r="E19" s="1400"/>
      <c r="F19" s="1400"/>
      <c r="G19" s="1400"/>
      <c r="H19" s="2812" t="s">
        <v>4279</v>
      </c>
      <c r="I19" s="2813"/>
      <c r="J19" s="2813"/>
      <c r="K19" s="2814"/>
      <c r="L19" s="2815">
        <v>700000</v>
      </c>
      <c r="M19" s="2816"/>
      <c r="N19" s="2817">
        <v>0</v>
      </c>
      <c r="O19" s="2818"/>
      <c r="P19" s="2819">
        <v>24</v>
      </c>
      <c r="Q19" s="2820"/>
      <c r="S19" s="2794"/>
      <c r="T19" s="2795"/>
    </row>
    <row r="20" spans="1:20" s="297" customFormat="1" ht="16.899999999999999" customHeight="1">
      <c r="A20" s="329"/>
      <c r="B20" s="1528" t="s">
        <v>1649</v>
      </c>
      <c r="C20" s="1529"/>
      <c r="D20" s="1529"/>
      <c r="E20" s="1399"/>
      <c r="F20" s="1399"/>
      <c r="G20" s="1399"/>
      <c r="H20" s="2821"/>
      <c r="I20" s="2822"/>
      <c r="J20" s="2822"/>
      <c r="K20" s="2823"/>
      <c r="L20" s="2824"/>
      <c r="M20" s="2825"/>
      <c r="N20" s="2826"/>
      <c r="O20" s="2827"/>
      <c r="P20" s="2828"/>
      <c r="Q20" s="2829"/>
      <c r="S20" s="2797"/>
      <c r="T20" s="2798"/>
    </row>
    <row r="21" spans="1:20" s="297" customFormat="1" ht="16.899999999999999" customHeight="1">
      <c r="A21" s="329"/>
      <c r="B21" s="1532" t="s">
        <v>1650</v>
      </c>
      <c r="C21" s="1533"/>
      <c r="D21" s="1533"/>
      <c r="E21" s="1405"/>
      <c r="F21" s="1405"/>
      <c r="G21" s="1405"/>
      <c r="H21" s="2830"/>
      <c r="I21" s="2831"/>
      <c r="J21" s="2831"/>
      <c r="K21" s="2832"/>
      <c r="L21" s="2833"/>
      <c r="M21" s="2834"/>
      <c r="N21" s="2835"/>
      <c r="O21" s="2836"/>
      <c r="P21" s="2837"/>
      <c r="Q21" s="2838"/>
      <c r="S21" s="2797"/>
      <c r="T21" s="2798"/>
    </row>
    <row r="22" spans="1:20" s="297" customFormat="1" ht="16.899999999999999" customHeight="1">
      <c r="A22" s="329"/>
      <c r="B22" s="1530" t="s">
        <v>2294</v>
      </c>
      <c r="C22" s="1531"/>
      <c r="D22" s="1531"/>
      <c r="E22" s="1399"/>
      <c r="F22" s="1399"/>
      <c r="G22" s="1399"/>
      <c r="H22" s="2839"/>
      <c r="I22" s="2840"/>
      <c r="J22" s="2840"/>
      <c r="K22" s="2841"/>
      <c r="L22" s="2842"/>
      <c r="M22" s="2843"/>
      <c r="N22" s="1523"/>
      <c r="O22" s="1524"/>
      <c r="P22" s="1521"/>
      <c r="Q22" s="1521"/>
      <c r="S22" s="2797"/>
      <c r="T22" s="2798"/>
    </row>
    <row r="23" spans="1:20" s="297" customFormat="1" ht="16.899999999999999" customHeight="1">
      <c r="A23" s="329"/>
      <c r="B23" s="1528" t="s">
        <v>833</v>
      </c>
      <c r="C23" s="1529"/>
      <c r="D23" s="1529"/>
      <c r="E23" s="1399"/>
      <c r="H23" s="2821"/>
      <c r="I23" s="2822"/>
      <c r="J23" s="2822"/>
      <c r="K23" s="2823"/>
      <c r="L23" s="2824"/>
      <c r="M23" s="2825"/>
      <c r="N23" s="1523"/>
      <c r="O23" s="1524"/>
      <c r="P23" s="1521"/>
      <c r="Q23" s="1521"/>
      <c r="S23" s="2797"/>
      <c r="T23" s="2798"/>
    </row>
    <row r="24" spans="1:20" s="297" customFormat="1" ht="16.899999999999999" customHeight="1">
      <c r="A24" s="329"/>
      <c r="B24" s="1528" t="s">
        <v>665</v>
      </c>
      <c r="C24" s="1529"/>
      <c r="D24" s="1529"/>
      <c r="E24" s="1399"/>
      <c r="H24" s="2844"/>
      <c r="I24" s="2822"/>
      <c r="J24" s="2822"/>
      <c r="K24" s="2823"/>
      <c r="L24" s="2824"/>
      <c r="M24" s="2825"/>
      <c r="N24" s="1523"/>
      <c r="O24" s="1524"/>
      <c r="P24" s="1521"/>
      <c r="Q24" s="1521"/>
      <c r="S24" s="2797"/>
      <c r="T24" s="2798"/>
    </row>
    <row r="25" spans="1:20" s="297" customFormat="1" ht="16.899999999999999" customHeight="1">
      <c r="A25" s="329"/>
      <c r="B25" s="1528" t="s">
        <v>834</v>
      </c>
      <c r="C25" s="1529"/>
      <c r="D25" s="1529"/>
      <c r="E25" s="1399"/>
      <c r="H25" s="2821" t="s">
        <v>4280</v>
      </c>
      <c r="I25" s="2822"/>
      <c r="J25" s="2822"/>
      <c r="K25" s="2823"/>
      <c r="L25" s="2824">
        <v>6067545</v>
      </c>
      <c r="M25" s="2825"/>
      <c r="N25" s="329"/>
      <c r="O25" s="329"/>
      <c r="P25" s="329"/>
      <c r="Q25" s="329"/>
      <c r="S25" s="2801"/>
      <c r="T25" s="2802"/>
    </row>
    <row r="26" spans="1:20" s="297" customFormat="1" ht="16.899999999999999" customHeight="1">
      <c r="A26" s="329"/>
      <c r="B26" s="1528" t="s">
        <v>835</v>
      </c>
      <c r="C26" s="1529"/>
      <c r="D26" s="1529"/>
      <c r="E26" s="1399"/>
      <c r="H26" s="2821" t="s">
        <v>4238</v>
      </c>
      <c r="I26" s="2822"/>
      <c r="J26" s="2822"/>
      <c r="K26" s="2823"/>
      <c r="L26" s="2824">
        <v>4072500</v>
      </c>
      <c r="M26" s="2825"/>
      <c r="N26" s="329"/>
      <c r="Q26" s="329"/>
      <c r="S26" s="2794"/>
      <c r="T26" s="2795"/>
    </row>
    <row r="27" spans="1:20" s="297" customFormat="1" ht="16.899999999999999" customHeight="1">
      <c r="A27" s="329"/>
      <c r="B27" s="1398" t="s">
        <v>253</v>
      </c>
      <c r="C27" s="1399"/>
      <c r="D27" s="2845"/>
      <c r="E27" s="2845"/>
      <c r="F27" s="2845"/>
      <c r="G27" s="2845"/>
      <c r="H27" s="2821"/>
      <c r="I27" s="2822"/>
      <c r="J27" s="2822"/>
      <c r="K27" s="2823"/>
      <c r="L27" s="2824"/>
      <c r="M27" s="2825"/>
      <c r="N27" s="329"/>
      <c r="Q27" s="329"/>
      <c r="S27" s="2797"/>
      <c r="T27" s="2798"/>
    </row>
    <row r="28" spans="1:20" s="297" customFormat="1" ht="16.899999999999999" customHeight="1">
      <c r="A28" s="329"/>
      <c r="B28" s="1398" t="s">
        <v>253</v>
      </c>
      <c r="C28" s="1399"/>
      <c r="D28" s="2846"/>
      <c r="E28" s="2846"/>
      <c r="F28" s="2846"/>
      <c r="G28" s="2846"/>
      <c r="H28" s="2821"/>
      <c r="I28" s="2822"/>
      <c r="J28" s="2822"/>
      <c r="K28" s="2823"/>
      <c r="L28" s="2824"/>
      <c r="M28" s="2825"/>
      <c r="N28" s="329"/>
      <c r="S28" s="2797"/>
      <c r="T28" s="2798"/>
    </row>
    <row r="29" spans="1:20" s="297" customFormat="1" ht="16.899999999999999" customHeight="1">
      <c r="A29" s="329"/>
      <c r="B29" s="1404" t="s">
        <v>253</v>
      </c>
      <c r="C29" s="1405"/>
      <c r="D29" s="2847"/>
      <c r="E29" s="2847"/>
      <c r="F29" s="2847"/>
      <c r="G29" s="2847"/>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25">
        <f>SUM(L19:L29)</f>
        <v>10840045</v>
      </c>
      <c r="M30" s="1526"/>
      <c r="N30" s="348"/>
      <c r="S30" s="2797"/>
      <c r="T30" s="2798"/>
    </row>
    <row r="31" spans="1:20" s="297" customFormat="1" ht="16.899999999999999" customHeight="1">
      <c r="A31" s="329"/>
      <c r="B31" s="1389"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10840045</v>
      </c>
      <c r="M31" s="2849"/>
      <c r="N31" s="1135"/>
      <c r="S31" s="2797"/>
      <c r="T31" s="2798"/>
    </row>
    <row r="32" spans="1:20" s="297" customFormat="1" ht="16.899999999999999" customHeight="1">
      <c r="A32" s="329"/>
      <c r="B32" s="334" t="s">
        <v>2235</v>
      </c>
      <c r="C32" s="329"/>
      <c r="D32" s="329"/>
      <c r="E32" s="329"/>
      <c r="F32" s="329"/>
      <c r="G32" s="329"/>
      <c r="H32" s="329"/>
      <c r="I32" s="329"/>
      <c r="L32" s="1536">
        <f>L30-L31</f>
        <v>0</v>
      </c>
      <c r="M32" s="1537"/>
      <c r="N32" s="1135"/>
      <c r="S32" s="2801"/>
      <c r="T32" s="2802"/>
    </row>
    <row r="33" spans="1:20" ht="9.6" customHeight="1">
      <c r="A33" s="357"/>
      <c r="B33" s="296"/>
      <c r="C33" s="348"/>
      <c r="D33" s="348"/>
      <c r="E33" s="348"/>
      <c r="F33" s="348"/>
      <c r="G33" s="348"/>
      <c r="H33" s="348"/>
      <c r="I33" s="348"/>
      <c r="J33" s="348"/>
      <c r="K33" s="348"/>
      <c r="L33" s="348"/>
      <c r="M33" s="1403"/>
      <c r="N33" s="1403"/>
    </row>
    <row r="34" spans="1:20" ht="9.6" customHeight="1">
      <c r="A34" s="331" t="s">
        <v>772</v>
      </c>
      <c r="B34" s="296" t="s">
        <v>832</v>
      </c>
      <c r="C34" s="348"/>
      <c r="D34" s="348"/>
      <c r="E34" s="348"/>
      <c r="F34" s="348"/>
      <c r="G34" s="348"/>
      <c r="H34" s="348"/>
      <c r="I34" s="348"/>
      <c r="J34" s="348"/>
      <c r="K34" s="348"/>
      <c r="L34" s="348"/>
      <c r="M34" s="1403"/>
      <c r="N34" s="1403"/>
      <c r="O34" s="348"/>
      <c r="S34" s="379" t="str">
        <f>B34</f>
        <v>PERMANENT FINANCING</v>
      </c>
    </row>
    <row r="35" spans="1:20" s="297" customFormat="1" ht="13.15" customHeight="1">
      <c r="A35" s="329"/>
      <c r="B35" s="329"/>
      <c r="C35" s="329"/>
      <c r="D35" s="329"/>
      <c r="E35" s="329"/>
      <c r="F35" s="1403"/>
      <c r="G35" s="1403"/>
      <c r="H35" s="1521"/>
      <c r="I35" s="1521"/>
      <c r="K35" s="406" t="s">
        <v>2177</v>
      </c>
      <c r="L35" s="1403" t="s">
        <v>1344</v>
      </c>
      <c r="M35" s="1403" t="s">
        <v>1349</v>
      </c>
      <c r="N35" s="1545" t="s">
        <v>36</v>
      </c>
      <c r="O35" s="1545"/>
      <c r="P35" s="1403"/>
      <c r="Q35" s="331"/>
      <c r="S35" s="379"/>
    </row>
    <row r="36" spans="1:20" s="297" customFormat="1" ht="13.15" customHeight="1">
      <c r="A36" s="329"/>
      <c r="B36" s="1406" t="s">
        <v>1942</v>
      </c>
      <c r="C36" s="1405"/>
      <c r="D36" s="1405"/>
      <c r="E36" s="1447" t="s">
        <v>1346</v>
      </c>
      <c r="F36" s="1447"/>
      <c r="G36" s="1447"/>
      <c r="H36" s="1447"/>
      <c r="I36" s="1457" t="s">
        <v>506</v>
      </c>
      <c r="J36" s="1457"/>
      <c r="K36" s="1391" t="s">
        <v>1874</v>
      </c>
      <c r="L36" s="1391" t="s">
        <v>2293</v>
      </c>
      <c r="M36" s="1391" t="s">
        <v>2293</v>
      </c>
      <c r="N36" s="2850"/>
      <c r="O36" s="2850"/>
      <c r="P36" s="1457" t="s">
        <v>76</v>
      </c>
      <c r="Q36" s="1457"/>
      <c r="S36" s="1520" t="s">
        <v>2778</v>
      </c>
      <c r="T36" s="1520"/>
    </row>
    <row r="37" spans="1:20" s="297" customFormat="1" ht="16.5" customHeight="1">
      <c r="A37" s="329"/>
      <c r="B37" s="1530" t="s">
        <v>2702</v>
      </c>
      <c r="C37" s="1531"/>
      <c r="D37" s="1531"/>
      <c r="E37" s="2812" t="s">
        <v>4281</v>
      </c>
      <c r="F37" s="2813"/>
      <c r="G37" s="2813"/>
      <c r="H37" s="2814"/>
      <c r="I37" s="2851">
        <v>700000</v>
      </c>
      <c r="J37" s="2852"/>
      <c r="K37" s="2853">
        <v>0</v>
      </c>
      <c r="L37" s="2793">
        <v>18</v>
      </c>
      <c r="M37" s="2793"/>
      <c r="N37" s="2854" t="str">
        <f t="shared" ref="N37:N42" si="0">IF(OR(I37&lt;=0,I37=""),"",IF(P37="Amortizing",-PMT(K37/12,M37*12,I37,0,0)*12,""))</f>
        <v/>
      </c>
      <c r="O37" s="2854"/>
      <c r="P37" s="2855" t="s">
        <v>1207</v>
      </c>
      <c r="Q37" s="2855"/>
      <c r="S37" s="2794"/>
      <c r="T37" s="2795"/>
    </row>
    <row r="38" spans="1:20" s="297" customFormat="1" ht="16.5" customHeight="1">
      <c r="A38" s="329"/>
      <c r="B38" s="1528" t="s">
        <v>2703</v>
      </c>
      <c r="C38" s="1529"/>
      <c r="D38" s="1529"/>
      <c r="E38" s="2821"/>
      <c r="F38" s="2822"/>
      <c r="G38" s="2822"/>
      <c r="H38" s="2823"/>
      <c r="I38" s="2856"/>
      <c r="J38" s="2857"/>
      <c r="K38" s="2858"/>
      <c r="L38" s="2796"/>
      <c r="M38" s="2796"/>
      <c r="N38" s="2859" t="str">
        <f t="shared" si="0"/>
        <v/>
      </c>
      <c r="O38" s="2859"/>
      <c r="P38" s="2860"/>
      <c r="Q38" s="2860"/>
      <c r="S38" s="2797"/>
      <c r="T38" s="2798"/>
    </row>
    <row r="39" spans="1:20" s="297" customFormat="1" ht="16.5" customHeight="1">
      <c r="A39" s="329"/>
      <c r="B39" s="1528" t="s">
        <v>2704</v>
      </c>
      <c r="C39" s="1529"/>
      <c r="D39" s="1529"/>
      <c r="E39" s="2821"/>
      <c r="F39" s="2822"/>
      <c r="G39" s="2822"/>
      <c r="H39" s="2823"/>
      <c r="I39" s="2856"/>
      <c r="J39" s="2857"/>
      <c r="K39" s="2858"/>
      <c r="L39" s="2796"/>
      <c r="M39" s="2796"/>
      <c r="N39" s="2859" t="str">
        <f t="shared" si="0"/>
        <v/>
      </c>
      <c r="O39" s="2859"/>
      <c r="P39" s="2860"/>
      <c r="Q39" s="2860"/>
      <c r="S39" s="2797"/>
      <c r="T39" s="2798"/>
    </row>
    <row r="40" spans="1:20" s="297" customFormat="1" ht="16.5" customHeight="1">
      <c r="A40" s="329"/>
      <c r="B40" s="1398" t="s">
        <v>771</v>
      </c>
      <c r="C40" s="2650"/>
      <c r="D40" s="2652"/>
      <c r="E40" s="2821"/>
      <c r="F40" s="2822"/>
      <c r="G40" s="2822"/>
      <c r="H40" s="2823"/>
      <c r="I40" s="2856"/>
      <c r="J40" s="2857"/>
      <c r="K40" s="2861"/>
      <c r="L40" s="2803"/>
      <c r="M40" s="2803"/>
      <c r="N40" s="2862" t="str">
        <f t="shared" si="0"/>
        <v/>
      </c>
      <c r="O40" s="2862"/>
      <c r="P40" s="2863"/>
      <c r="Q40" s="2863"/>
      <c r="S40" s="2797"/>
      <c r="T40" s="2798"/>
    </row>
    <row r="41" spans="1:20" s="297" customFormat="1" ht="16.5" customHeight="1">
      <c r="A41" s="329"/>
      <c r="B41" s="1398" t="s">
        <v>2864</v>
      </c>
      <c r="C41" s="1399"/>
      <c r="D41" s="1401"/>
      <c r="E41" s="2821"/>
      <c r="F41" s="2822"/>
      <c r="G41" s="2822"/>
      <c r="H41" s="2823"/>
      <c r="I41" s="2856"/>
      <c r="J41" s="2857"/>
      <c r="K41" s="521"/>
      <c r="L41" s="1397"/>
      <c r="M41" s="1397"/>
      <c r="N41" s="1551" t="str">
        <f t="shared" si="0"/>
        <v/>
      </c>
      <c r="O41" s="1551"/>
      <c r="P41" s="1550"/>
      <c r="Q41" s="1550"/>
      <c r="S41" s="2797"/>
      <c r="T41" s="2798"/>
    </row>
    <row r="42" spans="1:20" s="297" customFormat="1" ht="16.5" customHeight="1">
      <c r="A42" s="329"/>
      <c r="B42" s="1404" t="s">
        <v>237</v>
      </c>
      <c r="C42" s="1405"/>
      <c r="D42" s="407">
        <f>IF(OR(I42="",I42=0,'Part IV-Uses of Funds'!$G$117="",'Part IV-Uses of Funds'!$G$117=0),"",I42/'Part IV-Uses of Funds'!$G$117)</f>
        <v>6.0608955223880601E-3</v>
      </c>
      <c r="E42" s="2830" t="s">
        <v>4282</v>
      </c>
      <c r="F42" s="2831"/>
      <c r="G42" s="2831"/>
      <c r="H42" s="2832"/>
      <c r="I42" s="2864">
        <v>10152</v>
      </c>
      <c r="J42" s="2865"/>
      <c r="K42" s="2866">
        <v>0</v>
      </c>
      <c r="L42" s="2749">
        <v>10</v>
      </c>
      <c r="M42" s="2749">
        <v>10</v>
      </c>
      <c r="N42" s="2867">
        <f t="shared" si="0"/>
        <v>1015.1999999999999</v>
      </c>
      <c r="O42" s="2868"/>
      <c r="P42" s="2869" t="s">
        <v>4360</v>
      </c>
      <c r="Q42" s="2870"/>
      <c r="S42" s="2797"/>
      <c r="T42" s="2798"/>
    </row>
    <row r="43" spans="1:20" s="297" customFormat="1" ht="16.5" customHeight="1">
      <c r="A43" s="329"/>
      <c r="B43" s="1530" t="s">
        <v>2294</v>
      </c>
      <c r="C43" s="1531"/>
      <c r="D43" s="1538"/>
      <c r="E43" s="2839"/>
      <c r="F43" s="2840"/>
      <c r="G43" s="2840"/>
      <c r="H43" s="2841"/>
      <c r="I43" s="2871"/>
      <c r="J43" s="2872"/>
      <c r="K43" s="408"/>
      <c r="L43" s="408"/>
      <c r="M43" s="408"/>
      <c r="N43" s="408"/>
      <c r="O43" s="408"/>
      <c r="P43" s="408"/>
      <c r="Q43" s="408"/>
      <c r="S43" s="2794"/>
      <c r="T43" s="2795"/>
    </row>
    <row r="44" spans="1:20" s="297" customFormat="1" ht="16.5" customHeight="1">
      <c r="A44" s="329"/>
      <c r="B44" s="1528" t="s">
        <v>833</v>
      </c>
      <c r="C44" s="1529"/>
      <c r="D44" s="1539"/>
      <c r="E44" s="2821"/>
      <c r="F44" s="2822"/>
      <c r="G44" s="2822"/>
      <c r="H44" s="2823"/>
      <c r="I44" s="2856"/>
      <c r="J44" s="2857"/>
      <c r="L44" s="1544" t="s">
        <v>536</v>
      </c>
      <c r="M44" s="1544"/>
      <c r="N44" s="1543" t="s">
        <v>537</v>
      </c>
      <c r="O44" s="1543"/>
      <c r="P44" s="448" t="s">
        <v>535</v>
      </c>
      <c r="Q44" s="408"/>
      <c r="S44" s="2797"/>
      <c r="T44" s="2798"/>
    </row>
    <row r="45" spans="1:20" s="297" customFormat="1" ht="16.5" customHeight="1">
      <c r="A45" s="329"/>
      <c r="B45" s="1528" t="s">
        <v>834</v>
      </c>
      <c r="C45" s="1529"/>
      <c r="D45" s="1539"/>
      <c r="E45" s="2821" t="s">
        <v>4280</v>
      </c>
      <c r="F45" s="2822"/>
      <c r="G45" s="2822"/>
      <c r="H45" s="2823"/>
      <c r="I45" s="2856">
        <v>8597500</v>
      </c>
      <c r="J45" s="2856"/>
      <c r="L45" s="1535">
        <f>'Part IV-Uses of Funds'!$J$174*10*'Part IV-Uses of Funds'!$N$167</f>
        <v>8597500</v>
      </c>
      <c r="M45" s="1535"/>
      <c r="N45" s="1542">
        <f>I45-L45</f>
        <v>0</v>
      </c>
      <c r="O45" s="1542"/>
      <c r="P45" s="449" t="s">
        <v>2648</v>
      </c>
      <c r="Q45" s="408"/>
      <c r="S45" s="2797"/>
      <c r="T45" s="2798"/>
    </row>
    <row r="46" spans="1:20" s="297" customFormat="1" ht="16.5" customHeight="1">
      <c r="A46" s="329"/>
      <c r="B46" s="1528" t="s">
        <v>835</v>
      </c>
      <c r="C46" s="1529"/>
      <c r="D46" s="1539"/>
      <c r="E46" s="2821" t="s">
        <v>4238</v>
      </c>
      <c r="F46" s="2822"/>
      <c r="G46" s="2822"/>
      <c r="H46" s="2823"/>
      <c r="I46" s="2856">
        <v>4072500</v>
      </c>
      <c r="J46" s="2856"/>
      <c r="L46" s="1535">
        <f>'Part IV-Uses of Funds'!$J$174*10*'Part IV-Uses of Funds'!$Q$167</f>
        <v>4072500</v>
      </c>
      <c r="M46" s="1535"/>
      <c r="N46" s="1542">
        <f>I46-L46</f>
        <v>0</v>
      </c>
      <c r="O46" s="1542"/>
      <c r="P46" s="450">
        <f>I45/I55</f>
        <v>0.64255622806078738</v>
      </c>
      <c r="Q46" s="408"/>
      <c r="S46" s="2797"/>
      <c r="T46" s="2798"/>
    </row>
    <row r="47" spans="1:20" s="297" customFormat="1" ht="16.5" customHeight="1">
      <c r="A47" s="329"/>
      <c r="B47" s="1528" t="s">
        <v>1464</v>
      </c>
      <c r="C47" s="1529"/>
      <c r="D47" s="1539"/>
      <c r="E47" s="2821"/>
      <c r="F47" s="2822"/>
      <c r="G47" s="2822"/>
      <c r="H47" s="2823"/>
      <c r="I47" s="2856"/>
      <c r="J47" s="2856"/>
      <c r="P47" s="450">
        <f>I46/I55</f>
        <v>0.30436873960774136</v>
      </c>
      <c r="Q47" s="408"/>
      <c r="S47" s="2801"/>
      <c r="T47" s="2802"/>
    </row>
    <row r="48" spans="1:20" s="297" customFormat="1" ht="16.5" customHeight="1">
      <c r="A48" s="329"/>
      <c r="B48" s="1398" t="s">
        <v>550</v>
      </c>
      <c r="C48" s="1399"/>
      <c r="D48" s="1401"/>
      <c r="E48" s="2821"/>
      <c r="F48" s="2822"/>
      <c r="G48" s="2822"/>
      <c r="H48" s="2823"/>
      <c r="I48" s="2856"/>
      <c r="J48" s="2856"/>
      <c r="K48" s="329"/>
      <c r="P48" s="451">
        <f>SUM(P46:P47)</f>
        <v>0.94692496766852874</v>
      </c>
      <c r="Q48" s="408"/>
      <c r="S48" s="2797"/>
      <c r="T48" s="2798"/>
    </row>
    <row r="49" spans="1:23" s="297" customFormat="1" ht="16.5" customHeight="1">
      <c r="A49" s="329"/>
      <c r="B49" s="1398" t="s">
        <v>1940</v>
      </c>
      <c r="C49" s="1399"/>
      <c r="D49" s="1401"/>
      <c r="E49" s="2821"/>
      <c r="F49" s="2822"/>
      <c r="G49" s="2822"/>
      <c r="H49" s="2823"/>
      <c r="I49" s="2856"/>
      <c r="J49" s="2856"/>
      <c r="N49" s="409"/>
      <c r="O49" s="409"/>
      <c r="P49" s="409"/>
      <c r="Q49" s="408"/>
      <c r="S49" s="2797"/>
      <c r="T49" s="2798"/>
    </row>
    <row r="50" spans="1:23" s="297" customFormat="1" ht="16.5" customHeight="1">
      <c r="A50" s="329"/>
      <c r="B50" s="1398" t="s">
        <v>1941</v>
      </c>
      <c r="C50" s="1399"/>
      <c r="D50" s="1401"/>
      <c r="E50" s="2821"/>
      <c r="F50" s="2822"/>
      <c r="G50" s="2822"/>
      <c r="H50" s="2823"/>
      <c r="I50" s="2856"/>
      <c r="J50" s="2856"/>
      <c r="M50" s="409"/>
      <c r="N50" s="409"/>
      <c r="O50" s="409"/>
      <c r="P50" s="409"/>
      <c r="Q50" s="408"/>
      <c r="S50" s="2797"/>
      <c r="T50" s="2798"/>
    </row>
    <row r="51" spans="1:23" s="297" customFormat="1" ht="16.5" customHeight="1">
      <c r="A51" s="329"/>
      <c r="B51" s="1398" t="s">
        <v>771</v>
      </c>
      <c r="C51" s="2845"/>
      <c r="D51" s="2845"/>
      <c r="E51" s="2821"/>
      <c r="F51" s="2822"/>
      <c r="G51" s="2822"/>
      <c r="H51" s="2823"/>
      <c r="I51" s="2856"/>
      <c r="J51" s="2856"/>
      <c r="M51" s="409"/>
      <c r="N51" s="409"/>
      <c r="O51" s="409"/>
      <c r="P51" s="409"/>
      <c r="Q51" s="408"/>
      <c r="S51" s="2797"/>
      <c r="T51" s="2798"/>
    </row>
    <row r="52" spans="1:23" s="297" customFormat="1" ht="16.5" customHeight="1">
      <c r="A52" s="329"/>
      <c r="B52" s="1398" t="s">
        <v>771</v>
      </c>
      <c r="C52" s="2846"/>
      <c r="D52" s="2846"/>
      <c r="E52" s="2821"/>
      <c r="F52" s="2822"/>
      <c r="G52" s="2822"/>
      <c r="H52" s="2823"/>
      <c r="I52" s="2856"/>
      <c r="J52" s="2856"/>
      <c r="K52" s="329"/>
      <c r="L52" s="410"/>
      <c r="M52" s="409"/>
      <c r="N52" s="409"/>
      <c r="O52" s="409"/>
      <c r="P52" s="409"/>
      <c r="Q52" s="408"/>
      <c r="S52" s="2797"/>
      <c r="T52" s="2798"/>
    </row>
    <row r="53" spans="1:23" s="297" customFormat="1" ht="16.5" customHeight="1">
      <c r="A53" s="329"/>
      <c r="B53" s="1404" t="s">
        <v>771</v>
      </c>
      <c r="C53" s="2847"/>
      <c r="D53" s="2847"/>
      <c r="E53" s="2830"/>
      <c r="F53" s="2831"/>
      <c r="G53" s="2831"/>
      <c r="H53" s="2832"/>
      <c r="I53" s="2864"/>
      <c r="J53" s="2864"/>
      <c r="K53" s="329"/>
      <c r="L53" s="410"/>
      <c r="M53" s="409"/>
      <c r="N53" s="409"/>
      <c r="O53" s="409"/>
      <c r="P53" s="409"/>
      <c r="Q53" s="408"/>
      <c r="S53" s="2797"/>
      <c r="T53" s="2798"/>
    </row>
    <row r="54" spans="1:23" s="297" customFormat="1" ht="16.5" customHeight="1">
      <c r="A54" s="329"/>
      <c r="B54" s="1389" t="s">
        <v>2295</v>
      </c>
      <c r="C54" s="329"/>
      <c r="D54" s="329"/>
      <c r="E54" s="329"/>
      <c r="F54" s="329"/>
      <c r="G54" s="329"/>
      <c r="I54" s="1548">
        <f>SUM(I37:J53)</f>
        <v>13380152</v>
      </c>
      <c r="J54" s="1549"/>
      <c r="K54" s="329"/>
      <c r="L54" s="410"/>
      <c r="M54" s="409"/>
      <c r="N54" s="409"/>
      <c r="O54" s="409"/>
      <c r="P54" s="409"/>
      <c r="Q54" s="408"/>
      <c r="S54" s="2797"/>
      <c r="T54" s="2798"/>
    </row>
    <row r="55" spans="1:23" s="297" customFormat="1" ht="16.5" customHeight="1" thickBot="1">
      <c r="A55" s="329"/>
      <c r="B55" s="1389" t="s">
        <v>2296</v>
      </c>
      <c r="C55" s="329"/>
      <c r="D55" s="329"/>
      <c r="E55" s="329"/>
      <c r="F55" s="329"/>
      <c r="G55" s="329"/>
      <c r="I55" s="1546">
        <f>'Part IV-Uses of Funds'!$G$131</f>
        <v>13380152</v>
      </c>
      <c r="J55" s="1547"/>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40">
        <f>I54-I55</f>
        <v>0</v>
      </c>
      <c r="J56" s="1541"/>
      <c r="K56" s="329"/>
      <c r="L56" s="410"/>
      <c r="M56" s="409"/>
      <c r="N56" s="409"/>
      <c r="O56" s="409"/>
      <c r="P56" s="409"/>
      <c r="Q56" s="408"/>
      <c r="S56" s="2801"/>
      <c r="T56" s="2802"/>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2" t="s">
        <v>4401</v>
      </c>
      <c r="B61" s="2873"/>
      <c r="C61" s="2873"/>
      <c r="D61" s="2873"/>
      <c r="E61" s="2873"/>
      <c r="F61" s="2873"/>
      <c r="G61" s="2873"/>
      <c r="H61" s="2873"/>
      <c r="I61" s="2873"/>
      <c r="J61" s="2874"/>
      <c r="K61" s="2735"/>
      <c r="L61" s="2873"/>
      <c r="M61" s="2873"/>
      <c r="N61" s="2873"/>
      <c r="O61" s="2873"/>
      <c r="P61" s="2873"/>
      <c r="Q61" s="2874"/>
      <c r="S61" s="1534" t="s">
        <v>2796</v>
      </c>
      <c r="T61" s="153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qJSmXD304mE9xQdF31Mns86nAK752p9+hjXtw6dpAzVmloRDq7bi0jfUgdHUyYpIrz1e694zPUHyt2MP4O5BMw==" saltValue="8SGDQ3fTzD0lyUcKp70mR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0"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2016-032 240 Atlanta Street Development Phase 2, Gainesville, Hall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2566</v>
      </c>
      <c r="B16" s="226" t="s">
        <v>2563</v>
      </c>
      <c r="C16" s="226" t="s">
        <v>2564</v>
      </c>
      <c r="D16" s="1563" t="s">
        <v>2334</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2016-032 240 Atlanta Street Development Phase 2, Gainesville, Hall County</v>
      </c>
      <c r="B58" s="1555"/>
      <c r="C58" s="1555"/>
      <c r="D58" s="1555"/>
      <c r="E58" s="1555"/>
      <c r="F58" s="1555"/>
      <c r="G58" s="1555" t="str">
        <f>CONCATENATE('Part I-Project Information'!$O$4," ",'Part I-Project Information'!$F$24,", ",'Part I-Project Information'!$F$28,", ",'Part I-Project Information'!$J$29," County")</f>
        <v>2016-032 240 Atlanta Street Development Phase 2, Gainesville, Hall County</v>
      </c>
      <c r="H58" s="1555"/>
      <c r="I58" s="1555"/>
      <c r="J58" s="1555"/>
      <c r="K58" s="1555"/>
      <c r="L58" s="1555"/>
    </row>
    <row r="59" spans="1:12" ht="15">
      <c r="A59" s="1552" t="s">
        <v>2557</v>
      </c>
      <c r="B59" s="1552"/>
      <c r="C59" s="1552"/>
      <c r="D59" s="1552"/>
      <c r="E59" s="1552"/>
      <c r="F59" s="1552"/>
      <c r="G59" s="1552" t="s">
        <v>2557</v>
      </c>
      <c r="H59" s="1552"/>
      <c r="I59" s="1552"/>
      <c r="J59" s="1552"/>
      <c r="K59" s="1552"/>
      <c r="L59" s="155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2016-032 240 Atlanta Street Development Phase 2, Gainesville, Hall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2016-032 240 Atlanta Street Development Phase 2, Gainesville, Hall County</v>
      </c>
      <c r="B50" s="1555"/>
      <c r="C50" s="1555"/>
      <c r="D50" s="1555"/>
      <c r="E50" s="1555"/>
      <c r="F50" s="1555"/>
      <c r="G50" s="235"/>
      <c r="H50" s="235"/>
    </row>
    <row r="51" spans="1:10" ht="15">
      <c r="A51" s="1552" t="s">
        <v>2557</v>
      </c>
      <c r="B51" s="1552"/>
      <c r="C51" s="1552"/>
      <c r="D51" s="1552"/>
      <c r="E51" s="1552"/>
      <c r="F51" s="155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4" t="str">
        <f>CONCATENATE("PART FOUR -  USES OF FUNDS","  -  ",'Part I-Project Information'!$O$4," ",'Part I-Project Information'!$F$24,", ",'Part I-Project Information'!F28,", ",'Part I-Project Information'!J29," County")</f>
        <v>PART FOUR -  USES OF FUNDS  -  2016-032 240 Atlanta Street Development Phase 2, Gainesville, Hall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2016-032 240 Atlanta Street Development Phase 2, Gainesville, Hall County</v>
      </c>
      <c r="X1" s="162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4195</v>
      </c>
      <c r="E5" s="1466"/>
      <c r="F5" s="1467"/>
      <c r="G5" s="557"/>
      <c r="H5" s="557"/>
      <c r="I5" s="557"/>
      <c r="J5" s="1569" t="s">
        <v>283</v>
      </c>
      <c r="K5" s="1570"/>
      <c r="L5" s="384"/>
      <c r="M5" s="1573" t="s">
        <v>507</v>
      </c>
      <c r="N5" s="1574"/>
      <c r="P5" s="1569" t="s">
        <v>284</v>
      </c>
      <c r="Q5" s="1570"/>
      <c r="S5" s="1569" t="s">
        <v>285</v>
      </c>
      <c r="T5" s="1570"/>
      <c r="W5" s="474" t="str">
        <f>B5</f>
        <v>DEVELOPMENT BUDGET</v>
      </c>
    </row>
    <row r="6" spans="1:24" s="329" customFormat="1" ht="19.5" customHeight="1" thickBot="1">
      <c r="G6" s="1626" t="s">
        <v>103</v>
      </c>
      <c r="H6" s="1627"/>
      <c r="J6" s="1571"/>
      <c r="K6" s="1572"/>
      <c r="L6" s="384"/>
      <c r="M6" s="1575"/>
      <c r="N6" s="1576"/>
      <c r="P6" s="1571"/>
      <c r="Q6" s="1572"/>
      <c r="S6" s="1571"/>
      <c r="T6" s="1572"/>
      <c r="W6" s="1643" t="s">
        <v>2778</v>
      </c>
      <c r="X6" s="1643"/>
    </row>
    <row r="7" spans="1:24" s="329" customFormat="1" ht="12" customHeight="1">
      <c r="B7" s="331" t="s">
        <v>104</v>
      </c>
      <c r="O7" s="543" t="str">
        <f>B7</f>
        <v>PRE-DEVELOPMENT COSTS</v>
      </c>
      <c r="W7" s="329" t="str">
        <f>B7</f>
        <v>PRE-DEVELOPMENT COSTS</v>
      </c>
    </row>
    <row r="8" spans="1:24" s="329" customFormat="1" ht="12.6" customHeight="1">
      <c r="B8" s="329" t="s">
        <v>2076</v>
      </c>
      <c r="G8" s="2875">
        <v>5500</v>
      </c>
      <c r="H8" s="2876"/>
      <c r="J8" s="2875">
        <v>5500</v>
      </c>
      <c r="K8" s="2876"/>
      <c r="L8" s="1407"/>
      <c r="M8" s="2875"/>
      <c r="N8" s="2876"/>
      <c r="P8" s="2875"/>
      <c r="Q8" s="2876"/>
      <c r="S8" s="2875"/>
      <c r="T8" s="2876"/>
      <c r="V8" s="2877"/>
      <c r="W8" s="2878"/>
      <c r="X8" s="2879"/>
    </row>
    <row r="9" spans="1:24" s="329" customFormat="1" ht="12.6" customHeight="1">
      <c r="B9" s="329" t="s">
        <v>474</v>
      </c>
      <c r="G9" s="2875">
        <v>11000</v>
      </c>
      <c r="H9" s="2876"/>
      <c r="J9" s="2875">
        <v>11000</v>
      </c>
      <c r="K9" s="2876"/>
      <c r="L9" s="1407"/>
      <c r="M9" s="2875"/>
      <c r="N9" s="2876"/>
      <c r="P9" s="2875"/>
      <c r="Q9" s="2876"/>
      <c r="S9" s="2875"/>
      <c r="T9" s="2876"/>
      <c r="V9" s="2877"/>
      <c r="W9" s="2880"/>
      <c r="X9" s="2881"/>
    </row>
    <row r="10" spans="1:24" s="329" customFormat="1" ht="12.6" customHeight="1">
      <c r="B10" s="329" t="s">
        <v>504</v>
      </c>
      <c r="G10" s="2875">
        <v>17000</v>
      </c>
      <c r="H10" s="2876"/>
      <c r="J10" s="2875">
        <v>17000</v>
      </c>
      <c r="K10" s="2876"/>
      <c r="L10" s="1407"/>
      <c r="M10" s="2875"/>
      <c r="N10" s="2876"/>
      <c r="P10" s="2875"/>
      <c r="Q10" s="2876"/>
      <c r="S10" s="2875"/>
      <c r="T10" s="2876"/>
      <c r="V10" s="2877"/>
      <c r="W10" s="2880"/>
      <c r="X10" s="2881"/>
    </row>
    <row r="11" spans="1:24" s="329" customFormat="1" ht="12.6" customHeight="1">
      <c r="B11" s="329" t="s">
        <v>505</v>
      </c>
      <c r="G11" s="2875">
        <v>3500</v>
      </c>
      <c r="H11" s="2876"/>
      <c r="J11" s="2875">
        <v>3500</v>
      </c>
      <c r="K11" s="2876"/>
      <c r="L11" s="1407"/>
      <c r="M11" s="2875"/>
      <c r="N11" s="2876"/>
      <c r="P11" s="2875"/>
      <c r="Q11" s="2876"/>
      <c r="S11" s="2875"/>
      <c r="T11" s="2876"/>
      <c r="V11" s="2877"/>
      <c r="W11" s="2880"/>
      <c r="X11" s="2881"/>
    </row>
    <row r="12" spans="1:24" s="329" customFormat="1" ht="12.6" customHeight="1">
      <c r="B12" s="329" t="s">
        <v>2586</v>
      </c>
      <c r="G12" s="2875">
        <v>10000</v>
      </c>
      <c r="H12" s="2876"/>
      <c r="J12" s="2875">
        <v>10000</v>
      </c>
      <c r="K12" s="2876"/>
      <c r="L12" s="1407"/>
      <c r="M12" s="2875"/>
      <c r="N12" s="2876"/>
      <c r="P12" s="2875"/>
      <c r="Q12" s="2876"/>
      <c r="S12" s="2875"/>
      <c r="T12" s="2876"/>
      <c r="V12" s="2877"/>
      <c r="W12" s="2880"/>
      <c r="X12" s="2881"/>
    </row>
    <row r="13" spans="1:24" s="329" customFormat="1" ht="12.6" customHeight="1">
      <c r="B13" s="329" t="s">
        <v>196</v>
      </c>
      <c r="G13" s="2875"/>
      <c r="H13" s="2876"/>
      <c r="J13" s="2875"/>
      <c r="K13" s="2876"/>
      <c r="L13" s="1407"/>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8" t="s">
        <v>4283</v>
      </c>
      <c r="D14" s="2638"/>
      <c r="E14" s="2638"/>
      <c r="F14" s="2639"/>
      <c r="G14" s="2875">
        <v>4000</v>
      </c>
      <c r="H14" s="2876"/>
      <c r="J14" s="2875">
        <v>4000</v>
      </c>
      <c r="K14" s="2876"/>
      <c r="L14" s="1407"/>
      <c r="M14" s="2875"/>
      <c r="N14" s="2876"/>
      <c r="P14" s="2875"/>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8" t="s">
        <v>4189</v>
      </c>
      <c r="D15" s="2638"/>
      <c r="E15" s="2638"/>
      <c r="F15" s="2639"/>
      <c r="G15" s="2875"/>
      <c r="H15" s="2876"/>
      <c r="J15" s="2875"/>
      <c r="K15" s="2876"/>
      <c r="L15" s="1407"/>
      <c r="M15" s="2875"/>
      <c r="N15" s="2876"/>
      <c r="P15" s="2875"/>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8" t="s">
        <v>4189</v>
      </c>
      <c r="D16" s="2638"/>
      <c r="E16" s="2638"/>
      <c r="F16" s="2639"/>
      <c r="G16" s="2875"/>
      <c r="H16" s="2876"/>
      <c r="J16" s="2883"/>
      <c r="K16" s="2884"/>
      <c r="L16" s="1407"/>
      <c r="M16" s="2875"/>
      <c r="N16" s="2876"/>
      <c r="P16" s="2875"/>
      <c r="Q16" s="2876"/>
      <c r="S16" s="2883"/>
      <c r="T16" s="2884"/>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78">
        <f>SUM(G8:H16)</f>
        <v>51000</v>
      </c>
      <c r="H17" s="1579"/>
      <c r="J17" s="1578">
        <f>SUM(J8:K16)</f>
        <v>51000</v>
      </c>
      <c r="K17" s="1644"/>
      <c r="L17" s="1407"/>
      <c r="M17" s="1578">
        <f>SUM(M8:N16)</f>
        <v>0</v>
      </c>
      <c r="N17" s="1579"/>
      <c r="P17" s="1578">
        <f>SUM(P8:Q16)</f>
        <v>0</v>
      </c>
      <c r="Q17" s="1579"/>
      <c r="S17" s="1578">
        <f>SUM(S8:T16)</f>
        <v>0</v>
      </c>
      <c r="T17" s="1579"/>
      <c r="V17" s="2885">
        <f>SUM(V8:V16)</f>
        <v>0</v>
      </c>
      <c r="W17" s="2886"/>
      <c r="X17" s="288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c r="H19" s="2876"/>
      <c r="J19" s="387"/>
      <c r="K19" s="384"/>
      <c r="L19" s="387"/>
      <c r="M19" s="387"/>
      <c r="N19" s="384"/>
      <c r="P19" s="387"/>
      <c r="Q19" s="384"/>
      <c r="S19" s="2875"/>
      <c r="T19" s="2876"/>
      <c r="V19" s="2877"/>
      <c r="W19" s="2878"/>
      <c r="X19" s="2879"/>
    </row>
    <row r="20" spans="2:24" s="329" customFormat="1" ht="12.6" customHeight="1">
      <c r="B20" s="329" t="s">
        <v>1157</v>
      </c>
      <c r="G20" s="2875"/>
      <c r="H20" s="2876"/>
      <c r="J20" s="387"/>
      <c r="K20" s="384"/>
      <c r="L20" s="387"/>
      <c r="M20" s="387"/>
      <c r="N20" s="384"/>
      <c r="P20" s="387"/>
      <c r="Q20" s="384"/>
      <c r="S20" s="2875"/>
      <c r="T20" s="2876"/>
      <c r="V20" s="2877"/>
      <c r="W20" s="2880"/>
      <c r="X20" s="2881"/>
    </row>
    <row r="21" spans="2:24" s="329" customFormat="1" ht="12.6" customHeight="1">
      <c r="B21" s="329" t="s">
        <v>475</v>
      </c>
      <c r="G21" s="2875"/>
      <c r="H21" s="2876"/>
      <c r="J21" s="387"/>
      <c r="K21" s="384"/>
      <c r="L21" s="387"/>
      <c r="M21" s="2875"/>
      <c r="N21" s="2876"/>
      <c r="P21" s="387"/>
      <c r="Q21" s="384"/>
      <c r="S21" s="2875"/>
      <c r="T21" s="2876"/>
      <c r="V21" s="2877"/>
      <c r="W21" s="2880"/>
      <c r="X21" s="2881"/>
    </row>
    <row r="22" spans="2:24" s="329" customFormat="1" ht="12.6" customHeight="1" thickBot="1">
      <c r="B22" s="329" t="s">
        <v>445</v>
      </c>
      <c r="G22" s="2888"/>
      <c r="H22" s="2889"/>
      <c r="J22" s="387"/>
      <c r="K22" s="384"/>
      <c r="L22" s="387"/>
      <c r="M22" s="2888"/>
      <c r="N22" s="2889"/>
      <c r="P22" s="387"/>
      <c r="Q22" s="384"/>
      <c r="S22" s="2875"/>
      <c r="T22" s="2876"/>
      <c r="V22" s="2877"/>
      <c r="W22" s="2880"/>
      <c r="X22" s="2881"/>
    </row>
    <row r="23" spans="2:24" s="329" customFormat="1" ht="12.6" customHeight="1" thickTop="1">
      <c r="F23" s="385" t="s">
        <v>197</v>
      </c>
      <c r="G23" s="1578">
        <f>SUM(G19:H22)</f>
        <v>0</v>
      </c>
      <c r="H23" s="1579"/>
      <c r="J23" s="387"/>
      <c r="K23" s="384"/>
      <c r="L23" s="387"/>
      <c r="M23" s="1578">
        <f>SUM(M21:N22)</f>
        <v>0</v>
      </c>
      <c r="N23" s="1579"/>
      <c r="P23" s="387"/>
      <c r="Q23" s="384"/>
      <c r="S23" s="1578">
        <f>SUM(S19:T22)</f>
        <v>0</v>
      </c>
      <c r="T23" s="1579"/>
      <c r="V23" s="2885">
        <f>SUM(V19:V22)</f>
        <v>0</v>
      </c>
      <c r="W23" s="2886"/>
      <c r="X23" s="2887"/>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875000</v>
      </c>
      <c r="H25" s="2876"/>
      <c r="J25" s="2883">
        <v>600000</v>
      </c>
      <c r="K25" s="2884"/>
      <c r="L25" s="1407"/>
      <c r="M25" s="2883"/>
      <c r="N25" s="2884"/>
      <c r="P25" s="2883"/>
      <c r="Q25" s="2884"/>
      <c r="S25" s="2875">
        <v>275000</v>
      </c>
      <c r="T25" s="2876"/>
      <c r="V25" s="2877"/>
      <c r="W25" s="2878"/>
      <c r="X25" s="2879"/>
    </row>
    <row r="26" spans="2:24" s="329" customFormat="1" ht="12.6" customHeight="1" thickBot="1">
      <c r="B26" s="329" t="s">
        <v>1160</v>
      </c>
      <c r="G26" s="2875"/>
      <c r="H26" s="2876"/>
      <c r="J26" s="2883"/>
      <c r="K26" s="2884"/>
      <c r="L26" s="388"/>
      <c r="M26" s="1622"/>
      <c r="N26" s="1622"/>
      <c r="P26" s="1622"/>
      <c r="Q26" s="1622"/>
      <c r="S26" s="2875"/>
      <c r="T26" s="2876"/>
      <c r="V26" s="2877"/>
      <c r="W26" s="2880"/>
      <c r="X26" s="2881"/>
    </row>
    <row r="27" spans="2:24" s="329" customFormat="1" ht="12.6" customHeight="1" thickTop="1">
      <c r="F27" s="385" t="s">
        <v>197</v>
      </c>
      <c r="G27" s="1578">
        <f>SUM(G25:H26)</f>
        <v>875000</v>
      </c>
      <c r="H27" s="1579"/>
      <c r="J27" s="1578">
        <f>SUM(J25:K26)</f>
        <v>600000</v>
      </c>
      <c r="K27" s="1579"/>
      <c r="L27" s="387"/>
      <c r="M27" s="1578">
        <f>M25</f>
        <v>0</v>
      </c>
      <c r="N27" s="1579"/>
      <c r="P27" s="1578">
        <f>P25</f>
        <v>0</v>
      </c>
      <c r="Q27" s="1579"/>
      <c r="S27" s="1578">
        <f>SUM(S25:T26)</f>
        <v>275000</v>
      </c>
      <c r="T27" s="1579"/>
      <c r="V27" s="2885">
        <f>SUM(V25:V26)</f>
        <v>0</v>
      </c>
      <c r="W27" s="2886"/>
      <c r="X27" s="2887"/>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v>7350000</v>
      </c>
      <c r="H29" s="2876"/>
      <c r="J29" s="2875">
        <v>7350000</v>
      </c>
      <c r="K29" s="2876"/>
      <c r="L29" s="1407"/>
      <c r="M29" s="2875"/>
      <c r="N29" s="2876"/>
      <c r="P29" s="2875"/>
      <c r="Q29" s="2876"/>
      <c r="S29" s="2875"/>
      <c r="T29" s="2876"/>
      <c r="V29" s="2877"/>
      <c r="W29" s="2878"/>
      <c r="X29" s="2879"/>
    </row>
    <row r="30" spans="2:24" s="329" customFormat="1" ht="12.6" customHeight="1">
      <c r="B30" s="329" t="s">
        <v>1163</v>
      </c>
      <c r="G30" s="2875"/>
      <c r="H30" s="2876"/>
      <c r="J30" s="2875"/>
      <c r="K30" s="2876"/>
      <c r="L30" s="1407"/>
      <c r="M30" s="2875"/>
      <c r="N30" s="2876"/>
      <c r="P30" s="2875"/>
      <c r="Q30" s="2876"/>
      <c r="S30" s="2875"/>
      <c r="T30" s="2876"/>
      <c r="V30" s="2877"/>
      <c r="W30" s="2880"/>
      <c r="X30" s="2881"/>
    </row>
    <row r="31" spans="2:24" s="329" customFormat="1" ht="12.6" customHeight="1">
      <c r="B31" s="329" t="s">
        <v>2897</v>
      </c>
      <c r="G31" s="2875">
        <v>300000</v>
      </c>
      <c r="H31" s="2876"/>
      <c r="J31" s="2875">
        <v>300000</v>
      </c>
      <c r="K31" s="2876"/>
      <c r="L31" s="1407"/>
      <c r="M31" s="2875"/>
      <c r="N31" s="2876"/>
      <c r="P31" s="2875"/>
      <c r="Q31" s="2876"/>
      <c r="S31" s="2875"/>
      <c r="T31" s="2876"/>
      <c r="V31" s="2877"/>
      <c r="W31" s="2880"/>
      <c r="X31" s="2881"/>
    </row>
    <row r="32" spans="2:24" ht="12.6" customHeight="1" thickBot="1">
      <c r="B32" s="329" t="s">
        <v>2896</v>
      </c>
      <c r="G32" s="2875"/>
      <c r="H32" s="2876"/>
      <c r="I32" s="329"/>
      <c r="J32" s="2875"/>
      <c r="K32" s="2876"/>
      <c r="L32" s="1407"/>
      <c r="M32" s="2875"/>
      <c r="N32" s="2876"/>
      <c r="O32" s="329"/>
      <c r="P32" s="2875"/>
      <c r="Q32" s="2876"/>
      <c r="R32" s="329"/>
      <c r="S32" s="2875"/>
      <c r="T32" s="2876"/>
      <c r="V32" s="2877"/>
      <c r="W32" s="2880"/>
      <c r="X32" s="2881"/>
    </row>
    <row r="33" spans="1:24" s="329" customFormat="1" ht="12.6" customHeight="1" thickTop="1">
      <c r="C33" s="1577"/>
      <c r="D33" s="1577"/>
      <c r="E33" s="1411"/>
      <c r="F33" s="385" t="s">
        <v>197</v>
      </c>
      <c r="G33" s="1578">
        <f>SUM(G29:H32)</f>
        <v>7650000</v>
      </c>
      <c r="H33" s="1579"/>
      <c r="J33" s="1578">
        <f>SUM(J29:K32)</f>
        <v>7650000</v>
      </c>
      <c r="K33" s="1579"/>
      <c r="L33" s="1407"/>
      <c r="M33" s="1578">
        <f>SUM(M29:N32)</f>
        <v>0</v>
      </c>
      <c r="N33" s="1579"/>
      <c r="P33" s="1578">
        <f>SUM(P29:Q32)</f>
        <v>0</v>
      </c>
      <c r="Q33" s="1579"/>
      <c r="S33" s="1578">
        <f>SUM(S29:T32)</f>
        <v>0</v>
      </c>
      <c r="T33" s="1579"/>
      <c r="V33" s="2885">
        <f>SUM(V29:V32)</f>
        <v>0</v>
      </c>
      <c r="W33" s="2886"/>
      <c r="X33" s="2887"/>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511500</v>
      </c>
      <c r="G35" s="2875">
        <v>511500</v>
      </c>
      <c r="H35" s="2876"/>
      <c r="I35" s="348"/>
      <c r="J35" s="2875">
        <v>511500</v>
      </c>
      <c r="K35" s="2876"/>
      <c r="L35" s="1407"/>
      <c r="M35" s="2875"/>
      <c r="N35" s="2876"/>
      <c r="P35" s="2875"/>
      <c r="Q35" s="2876"/>
      <c r="S35" s="2875"/>
      <c r="T35" s="2876"/>
      <c r="V35" s="2877"/>
      <c r="W35" s="2878"/>
      <c r="X35" s="2879"/>
    </row>
    <row r="36" spans="1:24" s="329" customFormat="1" ht="12.6" customHeight="1">
      <c r="B36" s="329" t="s">
        <v>2850</v>
      </c>
      <c r="E36" s="443">
        <f>'DCA Underwriting Assumptions'!$R$81</f>
        <v>0.02</v>
      </c>
      <c r="F36" s="444">
        <f>E36*(G27+G33)</f>
        <v>170500</v>
      </c>
      <c r="G36" s="2875">
        <v>170500</v>
      </c>
      <c r="H36" s="2876"/>
      <c r="I36" s="348"/>
      <c r="J36" s="2875">
        <v>170500</v>
      </c>
      <c r="K36" s="2876"/>
      <c r="L36" s="1407"/>
      <c r="M36" s="2875"/>
      <c r="N36" s="2876"/>
      <c r="P36" s="2875"/>
      <c r="Q36" s="2876"/>
      <c r="S36" s="2875"/>
      <c r="T36" s="2876"/>
      <c r="V36" s="2877"/>
      <c r="W36" s="2880"/>
      <c r="X36" s="2881"/>
    </row>
    <row r="37" spans="1:24" s="329" customFormat="1" ht="12.6" customHeight="1" thickBot="1">
      <c r="B37" s="329" t="s">
        <v>2851</v>
      </c>
      <c r="E37" s="443">
        <f>'DCA Underwriting Assumptions'!$R$82</f>
        <v>0.06</v>
      </c>
      <c r="F37" s="444">
        <f>E37*(G27+G33)</f>
        <v>511500</v>
      </c>
      <c r="G37" s="2875">
        <v>511500</v>
      </c>
      <c r="H37" s="2876"/>
      <c r="I37" s="348"/>
      <c r="J37" s="2875">
        <v>511500</v>
      </c>
      <c r="K37" s="2876"/>
      <c r="L37" s="1407"/>
      <c r="M37" s="2875"/>
      <c r="N37" s="2876"/>
      <c r="P37" s="2875"/>
      <c r="Q37" s="2876"/>
      <c r="S37" s="2875"/>
      <c r="T37" s="2876"/>
      <c r="V37" s="2877"/>
      <c r="W37" s="2880"/>
      <c r="X37" s="2881"/>
    </row>
    <row r="38" spans="1:24" s="329" customFormat="1" ht="12.6" customHeight="1" thickTop="1">
      <c r="B38" s="329" t="s">
        <v>2117</v>
      </c>
      <c r="D38" s="392"/>
      <c r="E38" s="1399"/>
      <c r="F38" s="445" t="s">
        <v>197</v>
      </c>
      <c r="G38" s="1578">
        <f>SUM(G35:H37)</f>
        <v>1193500</v>
      </c>
      <c r="H38" s="1579"/>
      <c r="J38" s="1578">
        <f>SUM(J35:K37)</f>
        <v>1193500</v>
      </c>
      <c r="K38" s="1579"/>
      <c r="L38" s="387"/>
      <c r="M38" s="1578">
        <f>SUM(M35:N37)</f>
        <v>0</v>
      </c>
      <c r="N38" s="1579"/>
      <c r="P38" s="1578">
        <f>SUM(P35:Q37)</f>
        <v>0</v>
      </c>
      <c r="Q38" s="1579"/>
      <c r="S38" s="1578">
        <f>SUM(S35:T37)</f>
        <v>0</v>
      </c>
      <c r="T38" s="1579"/>
      <c r="V38" s="2885">
        <f>SUM(V35:V37)</f>
        <v>0</v>
      </c>
      <c r="W38" s="2886"/>
      <c r="X38" s="288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4189</v>
      </c>
      <c r="D41" s="2890"/>
      <c r="E41" s="2890"/>
      <c r="F41" s="2891"/>
      <c r="G41" s="2875"/>
      <c r="H41" s="2876"/>
      <c r="I41" s="329"/>
      <c r="J41" s="2875"/>
      <c r="K41" s="2876"/>
      <c r="L41" s="1407"/>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2860</v>
      </c>
      <c r="C43" s="585"/>
      <c r="E43" s="1632" t="s">
        <v>2859</v>
      </c>
      <c r="F43" s="1408">
        <f>B44/'Part VI-Revenues &amp; Expenses'!$O$60</f>
        <v>107983.33333333333</v>
      </c>
      <c r="G43" s="582" t="s">
        <v>2888</v>
      </c>
      <c r="H43" s="544"/>
      <c r="I43" s="544"/>
      <c r="J43" s="1629">
        <f>B44/'Part VI-Revenues &amp; Expenses'!$O$62</f>
        <v>107983.33333333333</v>
      </c>
      <c r="K43" s="1629"/>
      <c r="L43" s="544"/>
      <c r="M43" s="1631" t="s">
        <v>1454</v>
      </c>
      <c r="N43" s="1631"/>
      <c r="O43" s="544"/>
      <c r="P43" s="1629">
        <f>B44/'Part I-Project Information'!$P$60</f>
        <v>126.41129032258064</v>
      </c>
      <c r="Q43" s="1629"/>
      <c r="R43" s="544"/>
      <c r="S43" s="1641" t="s">
        <v>2895</v>
      </c>
      <c r="T43" s="1642"/>
      <c r="W43" s="2880"/>
      <c r="X43" s="2881"/>
    </row>
    <row r="44" spans="1:24" s="329" customFormat="1" ht="12.6" customHeight="1">
      <c r="B44" s="1635">
        <f>G27+G33+G38+G41</f>
        <v>9718500</v>
      </c>
      <c r="C44" s="1636"/>
      <c r="E44" s="1633"/>
      <c r="F44" s="1409">
        <f>B44/'Part VI-Revenues &amp; Expenses'!$O$117</f>
        <v>132.98440065681444</v>
      </c>
      <c r="G44" s="583" t="s">
        <v>2889</v>
      </c>
      <c r="H44" s="1405"/>
      <c r="I44" s="1405"/>
      <c r="J44" s="1630">
        <f>B44/'Part VI-Revenues &amp; Expenses'!$O$119</f>
        <v>132.98440065681444</v>
      </c>
      <c r="K44" s="1630"/>
      <c r="L44" s="1405"/>
      <c r="M44" s="1628" t="s">
        <v>2894</v>
      </c>
      <c r="N44" s="1628"/>
      <c r="O44" s="1405"/>
      <c r="P44" s="1405"/>
      <c r="Q44" s="1405"/>
      <c r="R44" s="1405"/>
      <c r="S44" s="1405"/>
      <c r="T44" s="377"/>
      <c r="W44" s="2886"/>
      <c r="X44" s="288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4.6303441889180431E-2</v>
      </c>
      <c r="G47" s="2875">
        <v>450000</v>
      </c>
      <c r="H47" s="2876"/>
      <c r="I47" s="329"/>
      <c r="J47" s="2875">
        <v>450000</v>
      </c>
      <c r="K47" s="2876"/>
      <c r="L47" s="1407"/>
      <c r="M47" s="2875"/>
      <c r="N47" s="2876"/>
      <c r="O47" s="329"/>
      <c r="P47" s="2875"/>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9"/>
      <c r="I50" s="1399"/>
      <c r="J50" s="1569" t="s">
        <v>283</v>
      </c>
      <c r="K50" s="1570"/>
      <c r="L50" s="384"/>
      <c r="M50" s="1573" t="s">
        <v>507</v>
      </c>
      <c r="N50" s="1574"/>
      <c r="P50" s="1569" t="s">
        <v>284</v>
      </c>
      <c r="Q50" s="1570"/>
      <c r="S50" s="1569" t="s">
        <v>285</v>
      </c>
      <c r="T50" s="1570"/>
      <c r="W50" s="474" t="str">
        <f>B50</f>
        <v>DEVELOPMENT BUDGET (cont'd)</v>
      </c>
    </row>
    <row r="51" spans="1:24" s="329" customFormat="1" ht="18.75" customHeight="1" thickBot="1">
      <c r="G51" s="1626" t="s">
        <v>103</v>
      </c>
      <c r="H51" s="1627"/>
      <c r="J51" s="1571"/>
      <c r="K51" s="1572"/>
      <c r="L51" s="384"/>
      <c r="M51" s="1575"/>
      <c r="N51" s="1576"/>
      <c r="P51" s="1571"/>
      <c r="Q51" s="1572"/>
      <c r="S51" s="1571"/>
      <c r="T51" s="1572"/>
      <c r="W51" s="1643" t="s">
        <v>2778</v>
      </c>
      <c r="X51" s="164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c r="K53" s="2876"/>
      <c r="L53" s="1407"/>
      <c r="M53" s="2875"/>
      <c r="N53" s="2876"/>
      <c r="P53" s="2875"/>
      <c r="Q53" s="2876"/>
      <c r="S53" s="2875"/>
      <c r="T53" s="2876"/>
      <c r="V53" s="2894"/>
      <c r="W53" s="2895"/>
      <c r="X53" s="2896"/>
    </row>
    <row r="54" spans="1:24" s="329" customFormat="1" ht="12" customHeight="1">
      <c r="B54" s="329" t="s">
        <v>2427</v>
      </c>
      <c r="G54" s="2875"/>
      <c r="H54" s="2876"/>
      <c r="J54" s="2875"/>
      <c r="K54" s="2876"/>
      <c r="L54" s="1407"/>
      <c r="M54" s="2875"/>
      <c r="N54" s="2876"/>
      <c r="P54" s="2875"/>
      <c r="Q54" s="2876"/>
      <c r="S54" s="2875"/>
      <c r="T54" s="2876"/>
      <c r="V54" s="2894"/>
      <c r="W54" s="2897"/>
      <c r="X54" s="2898"/>
    </row>
    <row r="55" spans="1:24" s="329" customFormat="1" ht="12" customHeight="1">
      <c r="B55" s="329" t="s">
        <v>2428</v>
      </c>
      <c r="G55" s="2875"/>
      <c r="H55" s="2876"/>
      <c r="J55" s="2875"/>
      <c r="K55" s="2876"/>
      <c r="L55" s="1407"/>
      <c r="M55" s="2875"/>
      <c r="N55" s="2876"/>
      <c r="P55" s="2875"/>
      <c r="Q55" s="2876"/>
      <c r="S55" s="2875"/>
      <c r="T55" s="2876"/>
      <c r="V55" s="2894"/>
      <c r="W55" s="2897"/>
      <c r="X55" s="2898"/>
    </row>
    <row r="56" spans="1:24" s="329" customFormat="1" ht="12" customHeight="1">
      <c r="B56" s="329" t="s">
        <v>2429</v>
      </c>
      <c r="G56" s="2875"/>
      <c r="H56" s="2876"/>
      <c r="J56" s="2875"/>
      <c r="K56" s="2876"/>
      <c r="L56" s="1407"/>
      <c r="M56" s="2875"/>
      <c r="N56" s="2876"/>
      <c r="P56" s="2875"/>
      <c r="Q56" s="2876"/>
      <c r="S56" s="2875"/>
      <c r="T56" s="2876"/>
      <c r="V56" s="2894"/>
      <c r="W56" s="2897"/>
      <c r="X56" s="2898"/>
    </row>
    <row r="57" spans="1:24" s="329" customFormat="1" ht="12" customHeight="1">
      <c r="B57" s="329" t="s">
        <v>2787</v>
      </c>
      <c r="G57" s="2875">
        <v>12000</v>
      </c>
      <c r="H57" s="2876"/>
      <c r="J57" s="2875">
        <v>4000</v>
      </c>
      <c r="K57" s="2876"/>
      <c r="L57" s="1407"/>
      <c r="M57" s="2875"/>
      <c r="N57" s="2876"/>
      <c r="P57" s="2875"/>
      <c r="Q57" s="2876"/>
      <c r="S57" s="2875">
        <v>8000</v>
      </c>
      <c r="T57" s="2876"/>
      <c r="V57" s="2894"/>
      <c r="W57" s="2897"/>
      <c r="X57" s="2898"/>
    </row>
    <row r="58" spans="1:24" s="329" customFormat="1" ht="12" customHeight="1">
      <c r="B58" s="329" t="s">
        <v>753</v>
      </c>
      <c r="G58" s="2875"/>
      <c r="H58" s="2876"/>
      <c r="J58" s="2875"/>
      <c r="K58" s="2876"/>
      <c r="L58" s="1407"/>
      <c r="M58" s="2875"/>
      <c r="N58" s="2876"/>
      <c r="P58" s="2875"/>
      <c r="Q58" s="2876"/>
      <c r="S58" s="2875"/>
      <c r="T58" s="2876"/>
      <c r="V58" s="2894"/>
      <c r="W58" s="2897"/>
      <c r="X58" s="2898"/>
    </row>
    <row r="59" spans="1:24" s="329" customFormat="1" ht="12" customHeight="1">
      <c r="B59" s="329" t="s">
        <v>2430</v>
      </c>
      <c r="G59" s="2875">
        <v>28500</v>
      </c>
      <c r="H59" s="2876"/>
      <c r="J59" s="2875">
        <v>10000</v>
      </c>
      <c r="K59" s="2876"/>
      <c r="L59" s="1407"/>
      <c r="M59" s="2875"/>
      <c r="N59" s="2876"/>
      <c r="P59" s="2875"/>
      <c r="Q59" s="2876"/>
      <c r="S59" s="2875">
        <v>18500</v>
      </c>
      <c r="T59" s="2876"/>
      <c r="V59" s="2894"/>
      <c r="W59" s="2897"/>
      <c r="X59" s="2898"/>
    </row>
    <row r="60" spans="1:24" s="329" customFormat="1" ht="12" customHeight="1">
      <c r="B60" s="329" t="s">
        <v>1323</v>
      </c>
      <c r="G60" s="2875">
        <v>33000</v>
      </c>
      <c r="H60" s="2876"/>
      <c r="J60" s="2875">
        <v>11000</v>
      </c>
      <c r="K60" s="2876"/>
      <c r="L60" s="1407"/>
      <c r="M60" s="2875"/>
      <c r="N60" s="2876"/>
      <c r="P60" s="2875"/>
      <c r="Q60" s="2876"/>
      <c r="S60" s="2875">
        <v>22000</v>
      </c>
      <c r="T60" s="2876"/>
      <c r="V60" s="2894"/>
      <c r="W60" s="2897"/>
      <c r="X60" s="2898"/>
    </row>
    <row r="61" spans="1:24" s="329" customFormat="1" ht="12" customHeight="1">
      <c r="B61" s="391" t="s">
        <v>1195</v>
      </c>
      <c r="D61" s="389"/>
      <c r="E61" s="389"/>
      <c r="F61" s="390"/>
      <c r="G61" s="2875"/>
      <c r="H61" s="2876"/>
      <c r="I61" s="348"/>
      <c r="J61" s="2875"/>
      <c r="K61" s="2876"/>
      <c r="L61" s="1407"/>
      <c r="M61" s="2875"/>
      <c r="N61" s="2876"/>
      <c r="P61" s="2875"/>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8" t="s">
        <v>4189</v>
      </c>
      <c r="D62" s="2638"/>
      <c r="E62" s="2638"/>
      <c r="F62" s="2639"/>
      <c r="G62" s="2875"/>
      <c r="H62" s="2876"/>
      <c r="J62" s="2875"/>
      <c r="K62" s="2876"/>
      <c r="L62" s="1407"/>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8" t="s">
        <v>4189</v>
      </c>
      <c r="D63" s="2638"/>
      <c r="E63" s="2638"/>
      <c r="F63" s="2639"/>
      <c r="G63" s="2875"/>
      <c r="H63" s="2876"/>
      <c r="J63" s="2875"/>
      <c r="K63" s="2876"/>
      <c r="L63" s="1407"/>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78">
        <f>SUM(G53:H63)</f>
        <v>73500</v>
      </c>
      <c r="H64" s="1579"/>
      <c r="J64" s="1578">
        <f>SUM(J53:K63)</f>
        <v>25000</v>
      </c>
      <c r="K64" s="1579"/>
      <c r="L64" s="387"/>
      <c r="M64" s="1578">
        <f>SUM(M53:N63)</f>
        <v>0</v>
      </c>
      <c r="N64" s="1579"/>
      <c r="P64" s="1578">
        <f>SUM(P53:Q63)</f>
        <v>0</v>
      </c>
      <c r="Q64" s="1579"/>
      <c r="S64" s="1578">
        <f>SUM(S53:T63)</f>
        <v>48500</v>
      </c>
      <c r="T64" s="1579"/>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v>250000</v>
      </c>
      <c r="H66" s="2876"/>
      <c r="J66" s="2875">
        <v>250000</v>
      </c>
      <c r="K66" s="2876"/>
      <c r="L66" s="1407"/>
      <c r="M66" s="2875"/>
      <c r="N66" s="2876"/>
      <c r="P66" s="2875"/>
      <c r="Q66" s="2876"/>
      <c r="S66" s="2875"/>
      <c r="T66" s="2876"/>
      <c r="V66" s="2877"/>
      <c r="W66" s="2878"/>
      <c r="X66" s="2879"/>
    </row>
    <row r="67" spans="1:24" s="329" customFormat="1" ht="12" customHeight="1">
      <c r="B67" s="329" t="s">
        <v>495</v>
      </c>
      <c r="G67" s="2875">
        <v>30000</v>
      </c>
      <c r="H67" s="2876"/>
      <c r="J67" s="2875">
        <v>30000</v>
      </c>
      <c r="K67" s="2876"/>
      <c r="L67" s="1407"/>
      <c r="M67" s="2875"/>
      <c r="N67" s="2876"/>
      <c r="P67" s="2875"/>
      <c r="Q67" s="2876"/>
      <c r="S67" s="2875"/>
      <c r="T67" s="2876"/>
      <c r="V67" s="2877"/>
      <c r="W67" s="2880"/>
      <c r="X67" s="2881"/>
    </row>
    <row r="68" spans="1:24" s="329" customFormat="1" ht="12" customHeight="1">
      <c r="B68" s="329" t="s">
        <v>1166</v>
      </c>
      <c r="F68" s="329" t="s">
        <v>2874</v>
      </c>
      <c r="G68" s="2875">
        <v>20000</v>
      </c>
      <c r="H68" s="2876"/>
      <c r="J68" s="2875">
        <v>20000</v>
      </c>
      <c r="K68" s="2876"/>
      <c r="L68" s="1407"/>
      <c r="M68" s="2875"/>
      <c r="N68" s="2876"/>
      <c r="P68" s="2875"/>
      <c r="Q68" s="2876"/>
      <c r="S68" s="2875"/>
      <c r="T68" s="2876"/>
      <c r="V68" s="2877"/>
      <c r="W68" s="2880"/>
      <c r="X68" s="2881"/>
    </row>
    <row r="69" spans="1:24" s="329" customFormat="1" ht="12" customHeight="1">
      <c r="B69" s="329" t="s">
        <v>1167</v>
      </c>
      <c r="G69" s="2875">
        <v>20450</v>
      </c>
      <c r="H69" s="2876"/>
      <c r="J69" s="2875">
        <v>20450</v>
      </c>
      <c r="K69" s="2876"/>
      <c r="L69" s="1407"/>
      <c r="M69" s="2875"/>
      <c r="N69" s="2876"/>
      <c r="P69" s="2875"/>
      <c r="Q69" s="2876"/>
      <c r="S69" s="2875"/>
      <c r="T69" s="2876"/>
      <c r="V69" s="2877"/>
      <c r="W69" s="2880"/>
      <c r="X69" s="2881"/>
    </row>
    <row r="70" spans="1:24" s="329" customFormat="1" ht="12" customHeight="1">
      <c r="B70" s="329" t="s">
        <v>1168</v>
      </c>
      <c r="G70" s="2875">
        <v>8000</v>
      </c>
      <c r="H70" s="2876"/>
      <c r="J70" s="2875">
        <v>8000</v>
      </c>
      <c r="K70" s="2876"/>
      <c r="L70" s="1407"/>
      <c r="M70" s="2875"/>
      <c r="N70" s="2876"/>
      <c r="P70" s="2875"/>
      <c r="Q70" s="2876"/>
      <c r="S70" s="2875"/>
      <c r="T70" s="2876"/>
      <c r="V70" s="2877"/>
      <c r="W70" s="2880"/>
      <c r="X70" s="2881"/>
    </row>
    <row r="71" spans="1:24" s="329" customFormat="1" ht="12" customHeight="1">
      <c r="B71" s="329" t="s">
        <v>1169</v>
      </c>
      <c r="G71" s="2875">
        <v>8000</v>
      </c>
      <c r="H71" s="2876"/>
      <c r="J71" s="2875">
        <v>8000</v>
      </c>
      <c r="K71" s="2876"/>
      <c r="L71" s="1407"/>
      <c r="M71" s="2875"/>
      <c r="N71" s="2876"/>
      <c r="P71" s="2875"/>
      <c r="Q71" s="2876"/>
      <c r="S71" s="2875"/>
      <c r="T71" s="2876"/>
      <c r="V71" s="2877"/>
      <c r="W71" s="2880"/>
      <c r="X71" s="2881"/>
    </row>
    <row r="72" spans="1:24" s="329" customFormat="1" ht="12" customHeight="1">
      <c r="B72" s="329" t="s">
        <v>496</v>
      </c>
      <c r="G72" s="2875">
        <v>45000</v>
      </c>
      <c r="H72" s="2876"/>
      <c r="J72" s="2875">
        <v>45000</v>
      </c>
      <c r="K72" s="2876"/>
      <c r="L72" s="1407"/>
      <c r="M72" s="2875"/>
      <c r="N72" s="2876"/>
      <c r="P72" s="2875"/>
      <c r="Q72" s="2876"/>
      <c r="S72" s="2875"/>
      <c r="T72" s="2876"/>
      <c r="V72" s="2877"/>
      <c r="W72" s="2880"/>
      <c r="X72" s="2881"/>
    </row>
    <row r="73" spans="1:24" s="329" customFormat="1" ht="12" customHeight="1">
      <c r="B73" s="329" t="s">
        <v>497</v>
      </c>
      <c r="G73" s="2875">
        <v>30000</v>
      </c>
      <c r="H73" s="2876"/>
      <c r="J73" s="2875">
        <v>30000</v>
      </c>
      <c r="K73" s="2876"/>
      <c r="L73" s="1407"/>
      <c r="M73" s="2875"/>
      <c r="N73" s="2876"/>
      <c r="P73" s="2875"/>
      <c r="Q73" s="2876"/>
      <c r="S73" s="2875"/>
      <c r="T73" s="2876"/>
      <c r="V73" s="2877"/>
      <c r="W73" s="2880"/>
      <c r="X73" s="2881"/>
    </row>
    <row r="74" spans="1:24" s="329" customFormat="1" ht="12" customHeight="1">
      <c r="B74" s="329" t="s">
        <v>2127</v>
      </c>
      <c r="G74" s="2875">
        <v>30000</v>
      </c>
      <c r="H74" s="2876"/>
      <c r="J74" s="2875">
        <v>30000</v>
      </c>
      <c r="K74" s="2876"/>
      <c r="L74" s="1407"/>
      <c r="M74" s="2875"/>
      <c r="N74" s="2876"/>
      <c r="P74" s="2875"/>
      <c r="Q74" s="2876"/>
      <c r="S74" s="2875"/>
      <c r="T74" s="2876"/>
      <c r="V74" s="2877"/>
      <c r="W74" s="2880"/>
      <c r="X74" s="2881"/>
    </row>
    <row r="75" spans="1:24" s="329" customFormat="1" ht="12" customHeight="1">
      <c r="B75" s="329" t="s">
        <v>1324</v>
      </c>
      <c r="G75" s="2875">
        <v>12000</v>
      </c>
      <c r="H75" s="2876"/>
      <c r="J75" s="2875">
        <v>12000</v>
      </c>
      <c r="K75" s="2876"/>
      <c r="L75" s="1407"/>
      <c r="M75" s="2875"/>
      <c r="N75" s="2876"/>
      <c r="P75" s="2875"/>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8" t="s">
        <v>4189</v>
      </c>
      <c r="D76" s="2638"/>
      <c r="E76" s="2638"/>
      <c r="F76" s="2639"/>
      <c r="G76" s="2875"/>
      <c r="H76" s="2876"/>
      <c r="J76" s="2875"/>
      <c r="K76" s="2876"/>
      <c r="L76" s="1407"/>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78">
        <f>SUM(G66:H76)</f>
        <v>453450</v>
      </c>
      <c r="H77" s="1579"/>
      <c r="J77" s="1578">
        <f>SUM(J66:K76)</f>
        <v>453450</v>
      </c>
      <c r="K77" s="1579"/>
      <c r="L77" s="387"/>
      <c r="M77" s="1578">
        <f>SUM(M66:N76)</f>
        <v>0</v>
      </c>
      <c r="N77" s="1579"/>
      <c r="P77" s="1578">
        <f>SUM(P66:Q76)</f>
        <v>0</v>
      </c>
      <c r="Q77" s="1579"/>
      <c r="S77" s="1578">
        <f>SUM(S66:T76)</f>
        <v>0</v>
      </c>
      <c r="T77" s="1579"/>
      <c r="V77" s="2885">
        <f>SUM(V66:V76)</f>
        <v>0</v>
      </c>
      <c r="W77" s="2886"/>
      <c r="X77" s="2887"/>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c r="H79" s="2876"/>
      <c r="J79" s="2875"/>
      <c r="K79" s="2876"/>
      <c r="L79" s="1407"/>
      <c r="M79" s="2875"/>
      <c r="N79" s="2876"/>
      <c r="P79" s="2875"/>
      <c r="Q79" s="2876"/>
      <c r="S79" s="2875"/>
      <c r="T79" s="2876"/>
      <c r="V79" s="2877"/>
      <c r="W79" s="2902"/>
      <c r="X79" s="2903"/>
    </row>
    <row r="80" spans="1:24" s="329" customFormat="1" ht="12" customHeight="1">
      <c r="B80" s="329" t="s">
        <v>1318</v>
      </c>
      <c r="G80" s="2875">
        <v>69295</v>
      </c>
      <c r="H80" s="2876"/>
      <c r="J80" s="2875">
        <v>69295</v>
      </c>
      <c r="K80" s="2876"/>
      <c r="L80" s="1407"/>
      <c r="M80" s="2875"/>
      <c r="N80" s="2876"/>
      <c r="P80" s="2875"/>
      <c r="Q80" s="2876"/>
      <c r="S80" s="2875"/>
      <c r="T80" s="2876"/>
      <c r="V80" s="2877"/>
      <c r="W80" s="2904"/>
      <c r="X80" s="2905"/>
    </row>
    <row r="81" spans="1:24" s="329" customFormat="1" ht="12" customHeight="1">
      <c r="B81" s="329" t="s">
        <v>1319</v>
      </c>
      <c r="D81" s="394" t="s">
        <v>1455</v>
      </c>
      <c r="E81" s="2906" t="s">
        <v>3155</v>
      </c>
      <c r="G81" s="2875">
        <v>5000</v>
      </c>
      <c r="H81" s="2876"/>
      <c r="I81" s="348"/>
      <c r="J81" s="2875">
        <v>5000</v>
      </c>
      <c r="K81" s="2876"/>
      <c r="L81" s="1407"/>
      <c r="M81" s="2875"/>
      <c r="N81" s="2876"/>
      <c r="P81" s="2875"/>
      <c r="Q81" s="2876"/>
      <c r="S81" s="2875"/>
      <c r="T81" s="2876"/>
      <c r="V81" s="2877"/>
      <c r="W81" s="2904"/>
      <c r="X81" s="2905"/>
    </row>
    <row r="82" spans="1:24" s="329" customFormat="1" ht="12" customHeight="1" thickBot="1">
      <c r="B82" s="329" t="s">
        <v>1320</v>
      </c>
      <c r="D82" s="394" t="s">
        <v>1455</v>
      </c>
      <c r="E82" s="2906" t="s">
        <v>3155</v>
      </c>
      <c r="G82" s="2875">
        <v>900</v>
      </c>
      <c r="H82" s="2876"/>
      <c r="I82" s="348"/>
      <c r="J82" s="2875">
        <v>900</v>
      </c>
      <c r="K82" s="2876"/>
      <c r="L82" s="1407"/>
      <c r="M82" s="2875"/>
      <c r="N82" s="2876"/>
      <c r="P82" s="2875"/>
      <c r="Q82" s="2876"/>
      <c r="S82" s="2875"/>
      <c r="T82" s="2876"/>
      <c r="V82" s="2877"/>
      <c r="W82" s="2904"/>
      <c r="X82" s="2905"/>
    </row>
    <row r="83" spans="1:24" s="329" customFormat="1" ht="12" customHeight="1" thickTop="1">
      <c r="F83" s="385" t="s">
        <v>197</v>
      </c>
      <c r="G83" s="1578">
        <f>SUM(G79:H82)</f>
        <v>75195</v>
      </c>
      <c r="H83" s="1579"/>
      <c r="J83" s="1578">
        <f>SUM(J79:K82)</f>
        <v>75195</v>
      </c>
      <c r="K83" s="1579"/>
      <c r="L83" s="387"/>
      <c r="M83" s="1578">
        <f>SUM(M79:N82)</f>
        <v>0</v>
      </c>
      <c r="N83" s="1579"/>
      <c r="P83" s="1578">
        <f>SUM(P79:Q82)</f>
        <v>0</v>
      </c>
      <c r="Q83" s="1579"/>
      <c r="S83" s="1578">
        <f>SUM(S79:T82)</f>
        <v>0</v>
      </c>
      <c r="T83" s="1579"/>
      <c r="V83" s="2885">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c r="H85" s="2876"/>
      <c r="J85" s="1568"/>
      <c r="K85" s="1568"/>
      <c r="L85" s="1407"/>
      <c r="M85" s="1568"/>
      <c r="N85" s="1568"/>
      <c r="P85" s="1568"/>
      <c r="Q85" s="1568"/>
      <c r="S85" s="2875"/>
      <c r="T85" s="2876"/>
      <c r="V85" s="2877"/>
      <c r="W85" s="2902"/>
      <c r="X85" s="2903"/>
    </row>
    <row r="86" spans="1:24" s="329" customFormat="1" ht="12" customHeight="1">
      <c r="B86" s="329" t="s">
        <v>1322</v>
      </c>
      <c r="G86" s="2875"/>
      <c r="H86" s="2876"/>
      <c r="J86" s="1568"/>
      <c r="K86" s="1568"/>
      <c r="L86" s="1407"/>
      <c r="M86" s="1568"/>
      <c r="N86" s="1568"/>
      <c r="P86" s="1568"/>
      <c r="Q86" s="1568"/>
      <c r="S86" s="2875"/>
      <c r="T86" s="2876"/>
      <c r="V86" s="2877"/>
      <c r="W86" s="2904"/>
      <c r="X86" s="2905"/>
    </row>
    <row r="87" spans="1:24" s="329" customFormat="1" ht="12" customHeight="1">
      <c r="B87" s="329" t="s">
        <v>1323</v>
      </c>
      <c r="G87" s="2875"/>
      <c r="H87" s="2876"/>
      <c r="J87" s="1568"/>
      <c r="K87" s="1568"/>
      <c r="L87" s="1407"/>
      <c r="M87" s="1568"/>
      <c r="N87" s="1568"/>
      <c r="P87" s="1568"/>
      <c r="Q87" s="1568"/>
      <c r="S87" s="2875"/>
      <c r="T87" s="2876"/>
      <c r="V87" s="2877"/>
      <c r="W87" s="2904"/>
      <c r="X87" s="2905"/>
    </row>
    <row r="88" spans="1:24" s="329" customFormat="1" ht="12" customHeight="1">
      <c r="B88" s="329" t="s">
        <v>1325</v>
      </c>
      <c r="G88" s="2875"/>
      <c r="H88" s="2876"/>
      <c r="J88" s="1568"/>
      <c r="K88" s="1568"/>
      <c r="L88" s="1407"/>
      <c r="M88" s="1568"/>
      <c r="N88" s="1568"/>
      <c r="P88" s="1568"/>
      <c r="Q88" s="1568"/>
      <c r="S88" s="2875"/>
      <c r="T88" s="2876"/>
      <c r="V88" s="2877"/>
      <c r="W88" s="2904"/>
      <c r="X88" s="2905"/>
    </row>
    <row r="89" spans="1:24" s="329" customFormat="1" ht="12" customHeight="1">
      <c r="B89" s="329" t="s">
        <v>2378</v>
      </c>
      <c r="G89" s="2875"/>
      <c r="H89" s="2876"/>
      <c r="J89" s="1568"/>
      <c r="K89" s="1568"/>
      <c r="L89" s="1407"/>
      <c r="M89" s="1568"/>
      <c r="N89" s="1568"/>
      <c r="P89" s="1568"/>
      <c r="Q89" s="1568"/>
      <c r="S89" s="2875"/>
      <c r="T89" s="2876"/>
      <c r="V89" s="2877"/>
      <c r="W89" s="2904"/>
      <c r="X89" s="2905"/>
    </row>
    <row r="90" spans="1:24" s="329" customFormat="1" ht="12" customHeight="1" thickBot="1">
      <c r="A90" s="412" t="str">
        <f>IF(AND(G90&gt;0,OR(C90="",C90="&lt;Enter detailed description here; use Comments section if needed&gt;")),"X","")</f>
        <v/>
      </c>
      <c r="B90" s="329" t="s">
        <v>771</v>
      </c>
      <c r="C90" s="2638" t="s">
        <v>4189</v>
      </c>
      <c r="D90" s="2638"/>
      <c r="E90" s="2638"/>
      <c r="F90" s="2639"/>
      <c r="G90" s="2875"/>
      <c r="H90" s="2876"/>
      <c r="J90" s="1568"/>
      <c r="K90" s="1568"/>
      <c r="L90" s="1407"/>
      <c r="M90" s="1568"/>
      <c r="N90" s="1568"/>
      <c r="P90" s="1568"/>
      <c r="Q90" s="1568"/>
      <c r="S90" s="2875"/>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78">
        <f>SUM(G85:H90)</f>
        <v>0</v>
      </c>
      <c r="H91" s="1579"/>
      <c r="J91" s="1568"/>
      <c r="K91" s="1568"/>
      <c r="L91" s="387"/>
      <c r="M91" s="1568"/>
      <c r="N91" s="1568"/>
      <c r="P91" s="1568"/>
      <c r="Q91" s="1568"/>
      <c r="S91" s="1578">
        <f>SUM(S85:T90)</f>
        <v>0</v>
      </c>
      <c r="T91" s="1579"/>
      <c r="V91" s="2885">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9"/>
      <c r="I93" s="1399"/>
      <c r="J93" s="1569" t="s">
        <v>283</v>
      </c>
      <c r="K93" s="1570"/>
      <c r="L93" s="384"/>
      <c r="M93" s="1573" t="s">
        <v>507</v>
      </c>
      <c r="N93" s="1574"/>
      <c r="P93" s="1569" t="s">
        <v>284</v>
      </c>
      <c r="Q93" s="1570"/>
      <c r="S93" s="1569" t="s">
        <v>285</v>
      </c>
      <c r="T93" s="1570"/>
      <c r="W93" s="474" t="str">
        <f>B93</f>
        <v>DEVELOPMENT BUDGET  (cont'd)</v>
      </c>
    </row>
    <row r="94" spans="1:24" s="329" customFormat="1" ht="18" customHeight="1" thickBot="1">
      <c r="G94" s="1626" t="s">
        <v>103</v>
      </c>
      <c r="H94" s="1627"/>
      <c r="J94" s="1571"/>
      <c r="K94" s="1572"/>
      <c r="L94" s="384"/>
      <c r="M94" s="1575"/>
      <c r="N94" s="1576"/>
      <c r="P94" s="1571"/>
      <c r="Q94" s="1572"/>
      <c r="S94" s="1571"/>
      <c r="T94" s="1572"/>
      <c r="W94" s="1643" t="s">
        <v>2778</v>
      </c>
      <c r="X94" s="164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7"/>
      <c r="M96" s="387"/>
      <c r="N96" s="387"/>
      <c r="P96" s="387"/>
      <c r="Q96" s="387"/>
      <c r="S96" s="2875"/>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6500</v>
      </c>
      <c r="H97" s="2876"/>
      <c r="J97" s="387"/>
      <c r="K97" s="387"/>
      <c r="L97" s="395"/>
      <c r="M97" s="387"/>
      <c r="N97" s="387"/>
      <c r="P97" s="387"/>
      <c r="Q97" s="387"/>
      <c r="S97" s="2875">
        <v>6500</v>
      </c>
      <c r="T97" s="2876"/>
      <c r="V97" s="2877"/>
      <c r="W97" s="2904"/>
      <c r="X97" s="2905"/>
    </row>
    <row r="98" spans="1:24" s="329" customFormat="1" ht="12.6" customHeight="1">
      <c r="B98" s="329" t="s">
        <v>2790</v>
      </c>
      <c r="G98" s="2875">
        <v>1500</v>
      </c>
      <c r="H98" s="2876"/>
      <c r="J98" s="387"/>
      <c r="K98" s="387"/>
      <c r="L98" s="395"/>
      <c r="M98" s="387"/>
      <c r="N98" s="387"/>
      <c r="O98" s="1399"/>
      <c r="P98" s="387"/>
      <c r="Q98" s="387"/>
      <c r="S98" s="2875">
        <v>1500</v>
      </c>
      <c r="T98" s="2876"/>
      <c r="V98" s="2877"/>
      <c r="W98" s="2904"/>
      <c r="X98" s="2905"/>
    </row>
    <row r="99" spans="1:24" s="329" customFormat="1" ht="12.6" customHeight="1">
      <c r="B99" s="329" t="s">
        <v>538</v>
      </c>
      <c r="E99" s="1637">
        <f>'DCA Underwriting Assumptions'!$Q$83*J174</f>
        <v>72400</v>
      </c>
      <c r="F99" s="1638"/>
      <c r="G99" s="2875">
        <v>72400</v>
      </c>
      <c r="H99" s="2876"/>
      <c r="J99" s="387"/>
      <c r="K99" s="387"/>
      <c r="L99" s="1407"/>
      <c r="M99" s="387"/>
      <c r="N99" s="387"/>
      <c r="O99" s="1399"/>
      <c r="P99" s="387"/>
      <c r="Q99" s="387"/>
      <c r="S99" s="2875">
        <v>72400</v>
      </c>
      <c r="T99" s="2876"/>
      <c r="V99" s="2877"/>
      <c r="W99" s="2904"/>
      <c r="X99" s="2905"/>
    </row>
    <row r="100" spans="1:24" s="329" customFormat="1" ht="12.6" customHeight="1">
      <c r="B100" s="329"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36000</v>
      </c>
      <c r="F100" s="1638"/>
      <c r="G100" s="2875">
        <v>72000</v>
      </c>
      <c r="H100" s="2876"/>
      <c r="J100" s="299"/>
      <c r="K100" s="299"/>
      <c r="L100" s="299"/>
      <c r="M100" s="299"/>
      <c r="N100" s="299"/>
      <c r="O100" s="299"/>
      <c r="P100" s="299"/>
      <c r="Q100" s="299"/>
      <c r="S100" s="2875">
        <v>72000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v>3000</v>
      </c>
      <c r="T102" s="2876"/>
      <c r="V102" s="2877"/>
      <c r="W102" s="2904"/>
      <c r="X102" s="2905"/>
    </row>
    <row r="103" spans="1:24" s="329" customFormat="1" ht="12.6" customHeight="1">
      <c r="A103" s="412" t="str">
        <f>IF(AND(G103&gt;0,OR(C103="",C103="&lt;Enter detailed description here; use Comments section if needed&gt;")),"X","")</f>
        <v/>
      </c>
      <c r="B103" s="329" t="s">
        <v>771</v>
      </c>
      <c r="C103" s="2638" t="s">
        <v>4189</v>
      </c>
      <c r="D103" s="2638"/>
      <c r="E103" s="2638"/>
      <c r="F103" s="2639"/>
      <c r="G103" s="2875"/>
      <c r="H103" s="2876"/>
      <c r="J103" s="299"/>
      <c r="K103" s="299"/>
      <c r="L103" s="299"/>
      <c r="M103" s="299"/>
      <c r="N103" s="299"/>
      <c r="O103" s="299"/>
      <c r="P103" s="299"/>
      <c r="Q103" s="299"/>
      <c r="S103" s="2875"/>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8" t="s">
        <v>4189</v>
      </c>
      <c r="D104" s="2638"/>
      <c r="E104" s="2638"/>
      <c r="F104" s="2639"/>
      <c r="G104" s="2875"/>
      <c r="H104" s="2876"/>
      <c r="J104" s="299"/>
      <c r="K104" s="299"/>
      <c r="L104" s="299"/>
      <c r="M104" s="299"/>
      <c r="N104" s="299"/>
      <c r="O104" s="299"/>
      <c r="P104" s="299"/>
      <c r="Q104" s="299"/>
      <c r="S104" s="2875"/>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78">
        <f>SUM(G96:H104)</f>
        <v>155400</v>
      </c>
      <c r="H105" s="1579"/>
      <c r="J105" s="387"/>
      <c r="K105" s="387"/>
      <c r="L105" s="1407"/>
      <c r="M105" s="387"/>
      <c r="N105" s="387"/>
      <c r="P105" s="387"/>
      <c r="Q105" s="387"/>
      <c r="S105" s="1578">
        <f>SUM(S96:T104)</f>
        <v>155400</v>
      </c>
      <c r="T105" s="1579"/>
      <c r="V105" s="2885">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117500</v>
      </c>
      <c r="H107" s="2876"/>
      <c r="J107" s="1568"/>
      <c r="K107" s="1568"/>
      <c r="L107" s="1407"/>
      <c r="M107" s="1568"/>
      <c r="N107" s="1568"/>
      <c r="O107" s="1399"/>
      <c r="P107" s="1568"/>
      <c r="Q107" s="1568"/>
      <c r="S107" s="2875">
        <v>117500</v>
      </c>
      <c r="T107" s="2876"/>
      <c r="V107" s="2877"/>
      <c r="W107" s="2902"/>
      <c r="X107" s="2903"/>
    </row>
    <row r="108" spans="1:24" s="329" customFormat="1" ht="12.6" customHeight="1">
      <c r="B108" s="329" t="s">
        <v>293</v>
      </c>
      <c r="G108" s="2875">
        <v>7500</v>
      </c>
      <c r="H108" s="2876"/>
      <c r="J108" s="1568"/>
      <c r="K108" s="1568"/>
      <c r="L108" s="1407"/>
      <c r="M108" s="1568"/>
      <c r="N108" s="1568"/>
      <c r="O108" s="1399"/>
      <c r="P108" s="1568"/>
      <c r="Q108" s="1568"/>
      <c r="S108" s="2875">
        <v>7500</v>
      </c>
      <c r="T108" s="2876"/>
      <c r="V108" s="2877"/>
      <c r="W108" s="2904"/>
      <c r="X108" s="2905"/>
    </row>
    <row r="109" spans="1:24" s="329" customFormat="1" ht="12.6" customHeight="1">
      <c r="B109" s="329" t="s">
        <v>2471</v>
      </c>
      <c r="G109" s="2875">
        <v>65000</v>
      </c>
      <c r="H109" s="2876"/>
      <c r="J109" s="1568"/>
      <c r="K109" s="1568"/>
      <c r="L109" s="1407"/>
      <c r="M109" s="1568"/>
      <c r="N109" s="1568"/>
      <c r="O109" s="1399"/>
      <c r="P109" s="1568"/>
      <c r="Q109" s="1568"/>
      <c r="S109" s="2875">
        <v>65000</v>
      </c>
      <c r="T109" s="2876"/>
      <c r="V109" s="2877"/>
      <c r="W109" s="2904"/>
      <c r="X109" s="2905"/>
    </row>
    <row r="110" spans="1:24" s="329" customFormat="1" ht="12.6" customHeight="1" thickBot="1">
      <c r="A110" s="412" t="str">
        <f>IF(AND(G110&gt;0,OR(C110="",C110="&lt;Enter detailed description here; use Comments section if needed&gt;")),"X","")</f>
        <v/>
      </c>
      <c r="B110" s="329" t="s">
        <v>771</v>
      </c>
      <c r="C110" s="2638" t="s">
        <v>4189</v>
      </c>
      <c r="D110" s="2638"/>
      <c r="E110" s="2638"/>
      <c r="F110" s="2639"/>
      <c r="G110" s="2875"/>
      <c r="H110" s="2876"/>
      <c r="J110" s="1568"/>
      <c r="K110" s="1568"/>
      <c r="L110" s="1407"/>
      <c r="M110" s="1568"/>
      <c r="N110" s="1568"/>
      <c r="O110" s="1399"/>
      <c r="P110" s="1568"/>
      <c r="Q110" s="1568"/>
      <c r="S110" s="2875"/>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78">
        <f>SUM(G107:H110)</f>
        <v>190000</v>
      </c>
      <c r="H111" s="1579"/>
      <c r="J111" s="1568"/>
      <c r="K111" s="1568"/>
      <c r="L111" s="1407"/>
      <c r="M111" s="1568"/>
      <c r="N111" s="1568"/>
      <c r="O111" s="1399"/>
      <c r="P111" s="1568"/>
      <c r="Q111" s="1568"/>
      <c r="S111" s="1578">
        <f>SUM(S107:T110)</f>
        <v>190000</v>
      </c>
      <c r="T111" s="1579"/>
      <c r="V111" s="2885">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5">
        <v>335000</v>
      </c>
      <c r="H113" s="2876"/>
      <c r="J113" s="2875">
        <v>335000</v>
      </c>
      <c r="K113" s="2876"/>
      <c r="L113" s="386"/>
      <c r="M113" s="2875"/>
      <c r="N113" s="2876"/>
      <c r="P113" s="2875"/>
      <c r="Q113" s="2876"/>
      <c r="S113" s="2875"/>
      <c r="T113" s="2876"/>
      <c r="V113" s="2877"/>
      <c r="W113" s="2902"/>
      <c r="X113" s="2903"/>
    </row>
    <row r="114" spans="1:24" s="329" customFormat="1" ht="12.6" customHeight="1">
      <c r="B114" s="329" t="s">
        <v>1931</v>
      </c>
      <c r="F114" s="447">
        <f>IF($G$117=0,0,G114/$G$117)</f>
        <v>0</v>
      </c>
      <c r="G114" s="2875"/>
      <c r="H114" s="2876"/>
      <c r="J114" s="2875"/>
      <c r="K114" s="2876"/>
      <c r="L114" s="1407"/>
      <c r="M114" s="2875"/>
      <c r="N114" s="2876"/>
      <c r="P114" s="2875"/>
      <c r="Q114" s="2876"/>
      <c r="S114" s="2875"/>
      <c r="T114" s="2876"/>
      <c r="V114" s="2877"/>
      <c r="W114" s="2904"/>
      <c r="X114" s="2905"/>
    </row>
    <row r="115" spans="1:24" s="329" customFormat="1" ht="12.6" customHeight="1">
      <c r="B115" s="329" t="s">
        <v>4042</v>
      </c>
      <c r="F115" s="447">
        <f>IF($G$117=0,0,G115/$G$117)</f>
        <v>0</v>
      </c>
      <c r="G115" s="2875"/>
      <c r="H115" s="2876"/>
      <c r="J115" s="2875"/>
      <c r="K115" s="2876"/>
      <c r="L115" s="1407"/>
      <c r="M115" s="2875"/>
      <c r="N115" s="2876"/>
      <c r="P115" s="2875"/>
      <c r="Q115" s="2876"/>
      <c r="S115" s="2875"/>
      <c r="T115" s="2876"/>
      <c r="V115" s="2877"/>
      <c r="W115" s="2904"/>
      <c r="X115" s="2905"/>
    </row>
    <row r="116" spans="1:24" s="329" customFormat="1" ht="12.6" customHeight="1" thickBot="1">
      <c r="B116" s="329" t="s">
        <v>1923</v>
      </c>
      <c r="F116" s="447">
        <f>IF($G$117=0,0,G116/$G$117)</f>
        <v>0.8</v>
      </c>
      <c r="G116" s="2875">
        <v>1340000</v>
      </c>
      <c r="H116" s="2876"/>
      <c r="J116" s="2875">
        <v>1340000</v>
      </c>
      <c r="K116" s="2876"/>
      <c r="L116" s="1407"/>
      <c r="M116" s="2875"/>
      <c r="N116" s="2876"/>
      <c r="P116" s="2875"/>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78">
        <f>SUM(G113:H116)</f>
        <v>1675000</v>
      </c>
      <c r="H117" s="1579"/>
      <c r="J117" s="1578">
        <f>SUM(J113:K116)</f>
        <v>1675000</v>
      </c>
      <c r="K117" s="1579"/>
      <c r="L117" s="1407"/>
      <c r="M117" s="1578">
        <f>SUM(M113:N116)</f>
        <v>0</v>
      </c>
      <c r="N117" s="1579"/>
      <c r="P117" s="1578">
        <f>SUM(P113:Q116)</f>
        <v>0</v>
      </c>
      <c r="Q117" s="1579"/>
      <c r="S117" s="1578">
        <f>SUM(S113:T116)</f>
        <v>0</v>
      </c>
      <c r="T117" s="1579"/>
      <c r="V117" s="2885">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50000</v>
      </c>
      <c r="H119" s="2876"/>
      <c r="J119" s="396"/>
      <c r="K119" s="396"/>
      <c r="L119" s="396"/>
      <c r="M119" s="396"/>
      <c r="N119" s="396"/>
      <c r="P119" s="396"/>
      <c r="Q119" s="396"/>
      <c r="S119" s="2875">
        <v>50000</v>
      </c>
      <c r="T119" s="2876"/>
      <c r="V119" s="2877"/>
      <c r="W119" s="2902"/>
      <c r="X119" s="2903"/>
    </row>
    <row r="120" spans="1:24" s="329" customFormat="1" ht="12.6" customHeight="1">
      <c r="B120" s="329" t="s">
        <v>1593</v>
      </c>
      <c r="F120" s="567">
        <f>+'Part VI-Revenues &amp; Expenses'!$P$176*('DCA Underwriting Assumptions'!$Q$105/12)</f>
        <v>102702.25</v>
      </c>
      <c r="G120" s="2875">
        <v>102702</v>
      </c>
      <c r="H120" s="2876"/>
      <c r="J120" s="1568"/>
      <c r="K120" s="1568"/>
      <c r="L120" s="1407"/>
      <c r="M120" s="1568"/>
      <c r="N120" s="1568"/>
      <c r="O120" s="1399"/>
      <c r="P120" s="1568"/>
      <c r="Q120" s="1568"/>
      <c r="R120" s="1399"/>
      <c r="S120" s="2875">
        <v>102702</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205404.5</v>
      </c>
      <c r="G121" s="2875">
        <v>205405</v>
      </c>
      <c r="H121" s="2876"/>
      <c r="J121" s="395"/>
      <c r="K121" s="395"/>
      <c r="L121" s="395"/>
      <c r="M121" s="395"/>
      <c r="N121" s="395"/>
      <c r="O121" s="1399"/>
      <c r="P121" s="395"/>
      <c r="Q121" s="395"/>
      <c r="R121" s="1399"/>
      <c r="S121" s="2875">
        <v>205405</v>
      </c>
      <c r="T121" s="2876"/>
      <c r="V121" s="2877"/>
      <c r="W121" s="2904"/>
      <c r="X121" s="2905"/>
    </row>
    <row r="122" spans="1:24" s="329" customFormat="1" ht="12.6" customHeight="1">
      <c r="B122" s="329" t="s">
        <v>1291</v>
      </c>
      <c r="G122" s="2875"/>
      <c r="H122" s="2876"/>
      <c r="J122" s="396"/>
      <c r="K122" s="396"/>
      <c r="L122" s="396"/>
      <c r="M122" s="396"/>
      <c r="N122" s="396"/>
      <c r="P122" s="396"/>
      <c r="Q122" s="396"/>
      <c r="S122" s="2875"/>
      <c r="T122" s="2876"/>
      <c r="V122" s="2877"/>
      <c r="W122" s="2904"/>
      <c r="X122" s="2905"/>
    </row>
    <row r="123" spans="1:24" s="329" customFormat="1" ht="12.6" customHeight="1">
      <c r="B123" s="329" t="s">
        <v>1292</v>
      </c>
      <c r="E123" s="1136" t="s">
        <v>3850</v>
      </c>
      <c r="F123" s="522">
        <f>IF('Part VI-Revenues &amp; Expenses'!$O$62=0,0,G123/'Part VI-Revenues &amp; Expenses'!$O$62)</f>
        <v>2000</v>
      </c>
      <c r="G123" s="2875">
        <v>180000</v>
      </c>
      <c r="H123" s="2876"/>
      <c r="J123" s="2875">
        <v>180000</v>
      </c>
      <c r="K123" s="2876"/>
      <c r="L123" s="1407"/>
      <c r="M123" s="2875"/>
      <c r="N123" s="2876"/>
      <c r="P123" s="2875"/>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8" t="s">
        <v>4189</v>
      </c>
      <c r="D124" s="2638"/>
      <c r="E124" s="2638"/>
      <c r="F124" s="2639"/>
      <c r="G124" s="2875"/>
      <c r="H124" s="2876"/>
      <c r="J124" s="2875"/>
      <c r="K124" s="2876"/>
      <c r="L124" s="1407"/>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78">
        <f>SUM(G119:H124)</f>
        <v>538107</v>
      </c>
      <c r="H125" s="1579"/>
      <c r="J125" s="1578">
        <f>SUM(J123:K124)</f>
        <v>180000</v>
      </c>
      <c r="K125" s="1579"/>
      <c r="L125" s="1407"/>
      <c r="M125" s="1578">
        <f>SUM(M123:N124)</f>
        <v>0</v>
      </c>
      <c r="N125" s="1579"/>
      <c r="P125" s="1578">
        <f>SUM(P123:Q124)</f>
        <v>0</v>
      </c>
      <c r="Q125" s="1579"/>
      <c r="S125" s="1578">
        <f>SUM(S119:T124)</f>
        <v>358107</v>
      </c>
      <c r="T125" s="1579"/>
      <c r="V125" s="2885">
        <f>SUM(V119:V124)</f>
        <v>0</v>
      </c>
      <c r="W125" s="2907"/>
      <c r="X125" s="2908"/>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5"/>
      <c r="H127" s="2876"/>
      <c r="J127" s="2875"/>
      <c r="K127" s="2876"/>
      <c r="L127" s="386"/>
      <c r="M127" s="2875"/>
      <c r="N127" s="2876"/>
      <c r="P127" s="2875"/>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8" t="s">
        <v>4189</v>
      </c>
      <c r="D128" s="2638"/>
      <c r="E128" s="2638"/>
      <c r="F128" s="2639"/>
      <c r="G128" s="2875"/>
      <c r="H128" s="2876"/>
      <c r="J128" s="2875"/>
      <c r="K128" s="2876"/>
      <c r="L128" s="1407"/>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89"/>
      <c r="F129" s="385" t="s">
        <v>197</v>
      </c>
      <c r="G129" s="1578">
        <f>SUM(G127:H128)</f>
        <v>0</v>
      </c>
      <c r="H129" s="1579"/>
      <c r="J129" s="1578">
        <f>SUM(J127:K128)</f>
        <v>0</v>
      </c>
      <c r="K129" s="1579"/>
      <c r="L129" s="1407"/>
      <c r="M129" s="1578">
        <f>SUM(M127:N128)</f>
        <v>0</v>
      </c>
      <c r="N129" s="1579"/>
      <c r="P129" s="1578">
        <f>SUM(P127:Q128)</f>
        <v>0</v>
      </c>
      <c r="Q129" s="1579"/>
      <c r="S129" s="1578">
        <f>SUM(S127:T128)</f>
        <v>0</v>
      </c>
      <c r="T129" s="1579"/>
      <c r="V129" s="2885">
        <f>SUM(V127:V128)</f>
        <v>0</v>
      </c>
      <c r="W129" s="2904"/>
      <c r="X129" s="2905"/>
    </row>
    <row r="130" spans="1:24" s="329" customFormat="1" ht="3" customHeight="1" thickBot="1">
      <c r="C130" s="1389"/>
      <c r="H130" s="393"/>
      <c r="I130" s="393"/>
      <c r="L130" s="1399"/>
      <c r="W130" s="2904"/>
      <c r="X130" s="2905"/>
    </row>
    <row r="131" spans="1:24" s="329" customFormat="1" ht="13.9" customHeight="1" thickBot="1">
      <c r="B131" s="335" t="s">
        <v>2885</v>
      </c>
      <c r="G131" s="1619">
        <f>G17+G23+G27+G33+G38+G41+G47+G64+G77+G83+G91+G105+G111+G117+G125+G129</f>
        <v>13380152</v>
      </c>
      <c r="H131" s="1620"/>
      <c r="J131" s="1619">
        <f>J17+J23+J27+J33+J38+J41+J47+J64+J77+J83+J91+J105+J111+J117+J125+J129</f>
        <v>12353145</v>
      </c>
      <c r="K131" s="1620"/>
      <c r="M131" s="1619">
        <f>M17+M23+M27+M33+M38+M41+M47+M64+M77+M83+M91+M105+M111+M117+M125+M129</f>
        <v>0</v>
      </c>
      <c r="N131" s="1620"/>
      <c r="P131" s="1619">
        <f>P17+P23+P27+P33+P38+P41+P47+P64+P77+P83+P91+P105+P111+P117+P125+P129</f>
        <v>0</v>
      </c>
      <c r="Q131" s="1620"/>
      <c r="S131" s="1619">
        <f>S17+S23+S27+S33+S38+S41+S47+S64+S77+S83+S91+S105+S111+S117+S125+S129</f>
        <v>1027007</v>
      </c>
      <c r="T131" s="1620"/>
      <c r="V131" s="2909">
        <f>V17+V23+V27+V33+V38+V41+V47+V64+V77+V83+V91+V105+V111+V117+V125+V129</f>
        <v>0</v>
      </c>
      <c r="W131" s="2910"/>
      <c r="X131" s="2908"/>
    </row>
    <row r="132" spans="1:24" s="329" customFormat="1" ht="3" customHeight="1">
      <c r="C132" s="1389"/>
      <c r="H132" s="393"/>
      <c r="I132" s="393"/>
      <c r="L132" s="1399"/>
    </row>
    <row r="133" spans="1:24" s="329" customFormat="1" ht="13.9" customHeight="1">
      <c r="B133" s="578" t="s">
        <v>2880</v>
      </c>
      <c r="C133" s="576"/>
      <c r="D133" s="1621">
        <f>IF('Part VI-Revenues &amp; Expenses'!$O$62=0,0,G131/'Part VI-Revenues &amp; Expenses'!$O$62)</f>
        <v>148668.35555555555</v>
      </c>
      <c r="E133" s="1621"/>
      <c r="F133" s="577" t="s">
        <v>2879</v>
      </c>
      <c r="G133" s="1639">
        <f>IF('Part I-Project Information'!$P$60=0,0,G131/'Part I-Project Information'!$P$60)</f>
        <v>174.03943808532779</v>
      </c>
      <c r="H133" s="1640"/>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7"/>
      <c r="E136" s="1407"/>
      <c r="F136" s="1407"/>
      <c r="G136" s="1399"/>
      <c r="H136" s="1399"/>
      <c r="I136" s="400"/>
      <c r="J136" s="1569" t="s">
        <v>283</v>
      </c>
      <c r="K136" s="1570"/>
      <c r="M136" s="1569" t="s">
        <v>102</v>
      </c>
      <c r="N136" s="1570"/>
      <c r="P136" s="1569" t="s">
        <v>284</v>
      </c>
      <c r="Q136" s="1570"/>
      <c r="W136" s="474" t="str">
        <f>B136</f>
        <v>TAX CREDIT CALCULATION - BASIS METHOD</v>
      </c>
    </row>
    <row r="137" spans="1:24" s="329" customFormat="1" ht="15" customHeight="1" thickBot="1">
      <c r="B137" s="335" t="s">
        <v>2122</v>
      </c>
      <c r="D137" s="1407"/>
      <c r="E137" s="1407"/>
      <c r="I137" s="400"/>
      <c r="J137" s="1571"/>
      <c r="K137" s="1572"/>
      <c r="L137" s="1176"/>
      <c r="M137" s="1571"/>
      <c r="N137" s="1572"/>
      <c r="P137" s="1571"/>
      <c r="Q137" s="1572"/>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1"/>
      <c r="K139" s="2912"/>
      <c r="P139" s="2911"/>
      <c r="Q139" s="2912"/>
      <c r="V139" s="2877"/>
      <c r="W139" s="2902"/>
      <c r="X139" s="2903"/>
    </row>
    <row r="140" spans="1:24" s="329" customFormat="1" ht="13.9" customHeight="1">
      <c r="B140" s="1399" t="s">
        <v>2230</v>
      </c>
      <c r="D140" s="1399"/>
      <c r="E140" s="1399"/>
      <c r="F140" s="1399"/>
      <c r="G140" s="1399"/>
      <c r="H140" s="1399"/>
      <c r="I140" s="400"/>
      <c r="J140" s="2911"/>
      <c r="K140" s="2912"/>
      <c r="P140" s="2911"/>
      <c r="Q140" s="2912"/>
      <c r="V140" s="2877"/>
      <c r="W140" s="2904"/>
      <c r="X140" s="2905"/>
    </row>
    <row r="141" spans="1:24" s="329" customFormat="1" ht="13.9" customHeight="1">
      <c r="B141" s="1399" t="s">
        <v>1933</v>
      </c>
      <c r="D141" s="1399"/>
      <c r="E141" s="1399"/>
      <c r="I141" s="400"/>
      <c r="J141" s="2911"/>
      <c r="K141" s="2912"/>
      <c r="P141" s="2911"/>
      <c r="Q141" s="2912"/>
      <c r="V141" s="2877"/>
      <c r="W141" s="2904"/>
      <c r="X141" s="2905"/>
    </row>
    <row r="142" spans="1:24" s="329" customFormat="1" ht="13.9" customHeight="1">
      <c r="B142" s="1399" t="s">
        <v>1934</v>
      </c>
      <c r="D142" s="1399"/>
      <c r="E142" s="1399"/>
      <c r="I142" s="400"/>
      <c r="J142" s="2911"/>
      <c r="K142" s="2912"/>
      <c r="P142" s="2911"/>
      <c r="Q142" s="2912"/>
      <c r="V142" s="2877"/>
      <c r="W142" s="2904"/>
      <c r="X142" s="2905"/>
    </row>
    <row r="143" spans="1:24" s="329" customFormat="1" ht="13.9" customHeight="1">
      <c r="B143" s="1399" t="s">
        <v>265</v>
      </c>
      <c r="D143" s="1399"/>
      <c r="E143" s="1399"/>
      <c r="I143" s="400"/>
      <c r="J143" s="2911"/>
      <c r="K143" s="2912"/>
      <c r="P143" s="2911"/>
      <c r="Q143" s="2912"/>
      <c r="V143" s="2877"/>
      <c r="W143" s="2904"/>
      <c r="X143" s="2905"/>
    </row>
    <row r="144" spans="1:24" s="329" customFormat="1" ht="13.9" customHeight="1" thickBot="1">
      <c r="B144" s="1399" t="s">
        <v>1659</v>
      </c>
      <c r="C144" s="2638" t="s">
        <v>2500</v>
      </c>
      <c r="D144" s="2638"/>
      <c r="E144" s="2638"/>
      <c r="F144" s="2638"/>
      <c r="G144" s="2638"/>
      <c r="H144" s="2638"/>
      <c r="I144" s="2639"/>
      <c r="J144" s="2911"/>
      <c r="K144" s="2912"/>
      <c r="P144" s="2911"/>
      <c r="Q144" s="2912"/>
      <c r="V144" s="2877"/>
      <c r="W144" s="2904"/>
      <c r="X144" s="2905"/>
    </row>
    <row r="145" spans="1:24" s="329" customFormat="1" ht="13.9" customHeight="1" thickBot="1">
      <c r="B145" s="340" t="s">
        <v>1935</v>
      </c>
      <c r="C145" s="343"/>
      <c r="J145" s="1540">
        <f>SUM(J139:K144)</f>
        <v>0</v>
      </c>
      <c r="K145" s="1541"/>
      <c r="P145" s="1540">
        <f>SUM(P139:Q144)</f>
        <v>0</v>
      </c>
      <c r="Q145" s="1541"/>
      <c r="V145" s="2885">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5">
        <f>J131</f>
        <v>12353145</v>
      </c>
      <c r="K148" s="1596"/>
      <c r="M148" s="1597">
        <f>M131</f>
        <v>0</v>
      </c>
      <c r="N148" s="1598"/>
      <c r="P148" s="1595">
        <f>P131</f>
        <v>0</v>
      </c>
      <c r="Q148" s="1596"/>
      <c r="V148" s="2877"/>
      <c r="W148" s="2902"/>
      <c r="X148" s="2903"/>
    </row>
    <row r="149" spans="1:24" s="329" customFormat="1" ht="13.9" customHeight="1">
      <c r="B149" s="329" t="s">
        <v>2299</v>
      </c>
      <c r="J149" s="1580">
        <f>J145</f>
        <v>0</v>
      </c>
      <c r="K149" s="1587"/>
      <c r="M149" s="1581"/>
      <c r="N149" s="1581"/>
      <c r="P149" s="1580">
        <f>P145</f>
        <v>0</v>
      </c>
      <c r="Q149" s="1587"/>
      <c r="V149" s="2877"/>
      <c r="W149" s="2904"/>
      <c r="X149" s="2905"/>
    </row>
    <row r="150" spans="1:24" s="329" customFormat="1" ht="13.9" customHeight="1">
      <c r="B150" s="329" t="s">
        <v>2300</v>
      </c>
      <c r="J150" s="1580">
        <f>J148-J149</f>
        <v>12353145</v>
      </c>
      <c r="K150" s="1587"/>
      <c r="M150" s="1580">
        <f>M148</f>
        <v>0</v>
      </c>
      <c r="N150" s="1587"/>
      <c r="P150" s="1580">
        <f>P148-P149</f>
        <v>0</v>
      </c>
      <c r="Q150" s="1587"/>
      <c r="V150" s="2877"/>
      <c r="W150" s="2904"/>
      <c r="X150" s="2905"/>
    </row>
    <row r="151" spans="1:24" s="329" customFormat="1" ht="13.9" customHeight="1">
      <c r="B151" s="329" t="s">
        <v>1542</v>
      </c>
      <c r="G151" s="1393" t="s">
        <v>1778</v>
      </c>
      <c r="H151" s="2628" t="s">
        <v>4284</v>
      </c>
      <c r="I151" s="2629"/>
      <c r="J151" s="2913">
        <v>1.3</v>
      </c>
      <c r="K151" s="2914"/>
      <c r="M151" s="1594"/>
      <c r="N151" s="1594"/>
      <c r="P151" s="2913"/>
      <c r="Q151" s="2914"/>
      <c r="V151" s="2877"/>
      <c r="W151" s="2904"/>
      <c r="X151" s="2905"/>
    </row>
    <row r="152" spans="1:24" s="329" customFormat="1" ht="13.9" customHeight="1">
      <c r="B152" s="329" t="s">
        <v>2132</v>
      </c>
      <c r="J152" s="1580">
        <f>J150*J151</f>
        <v>16059088.5</v>
      </c>
      <c r="K152" s="1587"/>
      <c r="M152" s="1580">
        <f>+M150</f>
        <v>0</v>
      </c>
      <c r="N152" s="1587"/>
      <c r="P152" s="1580">
        <f>P150*P151</f>
        <v>0</v>
      </c>
      <c r="Q152" s="1587"/>
      <c r="V152" s="2877"/>
      <c r="W152" s="2904"/>
      <c r="X152" s="2905"/>
    </row>
    <row r="153" spans="1:24" s="329" customFormat="1" ht="13.9" customHeight="1">
      <c r="B153" s="329" t="s">
        <v>2629</v>
      </c>
      <c r="J153" s="1592">
        <f>MIN('Part VI-Revenues &amp; Expenses'!$O$58/'Part VI-Revenues &amp; Expenses'!$O$60,'Part VI-Revenues &amp; Expenses'!$O$115/'Part VI-Revenues &amp; Expenses'!$O$117)</f>
        <v>0.73180076628352486</v>
      </c>
      <c r="K153" s="1593"/>
      <c r="M153" s="1592">
        <f>MIN('Part VI-Revenues &amp; Expenses'!$O$58/'Part VI-Revenues &amp; Expenses'!$O$60,'Part VI-Revenues &amp; Expenses'!$O$115/'Part VI-Revenues &amp; Expenses'!$O$117)</f>
        <v>0.73180076628352486</v>
      </c>
      <c r="N153" s="1593"/>
      <c r="P153" s="1592">
        <f>MIN('Part VI-Revenues &amp; Expenses'!$O$58/'Part VI-Revenues &amp; Expenses'!$O$60,'Part VI-Revenues &amp; Expenses'!$O$115/'Part VI-Revenues &amp; Expenses'!$O$117)</f>
        <v>0.73180076628352486</v>
      </c>
      <c r="Q153" s="1593"/>
      <c r="V153" s="2877"/>
      <c r="W153" s="2904"/>
      <c r="X153" s="2905"/>
    </row>
    <row r="154" spans="1:24" s="329" customFormat="1" ht="13.9" customHeight="1">
      <c r="B154" s="329" t="s">
        <v>2123</v>
      </c>
      <c r="J154" s="1580">
        <f>J152*J153</f>
        <v>11752053.270114942</v>
      </c>
      <c r="K154" s="1587"/>
      <c r="M154" s="1580">
        <f>M152*M153</f>
        <v>0</v>
      </c>
      <c r="N154" s="1587"/>
      <c r="P154" s="1580">
        <f>P152*P153</f>
        <v>0</v>
      </c>
      <c r="Q154" s="1587"/>
      <c r="V154" s="2877"/>
      <c r="W154" s="2904"/>
      <c r="X154" s="2905"/>
    </row>
    <row r="155" spans="1:24" s="329" customFormat="1" ht="13.9" customHeight="1">
      <c r="B155" s="329" t="s">
        <v>2124</v>
      </c>
      <c r="J155" s="2913">
        <v>0.09</v>
      </c>
      <c r="K155" s="2914"/>
      <c r="M155" s="2913"/>
      <c r="N155" s="2914"/>
      <c r="P155" s="2913"/>
      <c r="Q155" s="2914"/>
      <c r="V155" s="2877"/>
      <c r="W155" s="2904"/>
      <c r="X155" s="2905"/>
    </row>
    <row r="156" spans="1:24" s="329" customFormat="1" ht="13.9" customHeight="1" thickBot="1">
      <c r="B156" s="329" t="s">
        <v>2630</v>
      </c>
      <c r="J156" s="1590">
        <f>J154*J155</f>
        <v>1057684.7943103446</v>
      </c>
      <c r="K156" s="1591"/>
      <c r="M156" s="1590">
        <f>M154*M155</f>
        <v>0</v>
      </c>
      <c r="N156" s="1591"/>
      <c r="P156" s="1590">
        <f>P154*P155</f>
        <v>0</v>
      </c>
      <c r="Q156" s="1591"/>
      <c r="V156" s="2915"/>
      <c r="W156" s="2904"/>
      <c r="X156" s="2905"/>
    </row>
    <row r="157" spans="1:24" s="329" customFormat="1" ht="13.9" customHeight="1" thickBot="1">
      <c r="B157" s="331" t="s">
        <v>1478</v>
      </c>
      <c r="J157" s="1540">
        <f>J156+M156+P156</f>
        <v>1057684.7943103446</v>
      </c>
      <c r="K157" s="1613"/>
      <c r="L157" s="1613"/>
      <c r="M157" s="1613"/>
      <c r="N157" s="1613"/>
      <c r="O157" s="1613"/>
      <c r="P157" s="1613"/>
      <c r="Q157" s="1541"/>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08" t="str">
        <f>IF(J162&gt;J161,"TDC exceeds QAP PUCL!","")</f>
        <v/>
      </c>
      <c r="H161" s="1608"/>
      <c r="I161" s="1609"/>
      <c r="J161" s="1610">
        <f>'Part VIII-Threshold Criteria'!$P$65</f>
        <v>13458618</v>
      </c>
      <c r="K161" s="1611"/>
      <c r="L161" s="1612"/>
      <c r="M161" s="1602" t="s">
        <v>2861</v>
      </c>
      <c r="N161" s="1603"/>
      <c r="O161" s="1603"/>
      <c r="P161" s="1603"/>
      <c r="Q161" s="1603"/>
      <c r="R161" s="1604"/>
      <c r="S161" s="1602" t="s">
        <v>4109</v>
      </c>
      <c r="T161" s="1604"/>
      <c r="V161" s="2877"/>
      <c r="W161" s="2902"/>
      <c r="X161" s="2903"/>
    </row>
    <row r="162" spans="1:24" s="329" customFormat="1" ht="13.9" customHeight="1">
      <c r="B162" s="329" t="s">
        <v>2863</v>
      </c>
      <c r="J162" s="2916">
        <f>MIN(G131,J161,(G131-O164))</f>
        <v>13380152</v>
      </c>
      <c r="K162" s="2917"/>
      <c r="L162" s="2918"/>
      <c r="M162" s="1605"/>
      <c r="N162" s="1606"/>
      <c r="O162" s="1606"/>
      <c r="P162" s="1606"/>
      <c r="Q162" s="1606"/>
      <c r="R162" s="1607"/>
      <c r="S162" s="1605"/>
      <c r="T162" s="1607"/>
      <c r="V162" s="2877"/>
      <c r="W162" s="2904"/>
      <c r="X162" s="2905"/>
    </row>
    <row r="163" spans="1:24" s="329" customFormat="1" ht="13.9" customHeight="1">
      <c r="B163" s="329" t="s">
        <v>275</v>
      </c>
      <c r="J163" s="1580">
        <f>'Part III-Sources of Funds'!$I$54-'Part III-Sources of Funds'!$I$41-'Part III-Sources of Funds'!$I$42-'Part III-Sources of Funds'!$I$45-'Part III-Sources of Funds'!$I$46</f>
        <v>700000</v>
      </c>
      <c r="K163" s="1581"/>
      <c r="L163" s="1582"/>
      <c r="M163" s="1605"/>
      <c r="N163" s="1606"/>
      <c r="O163" s="1606"/>
      <c r="P163" s="1606"/>
      <c r="Q163" s="1606"/>
      <c r="R163" s="1607"/>
      <c r="S163" s="1605"/>
      <c r="T163" s="1607"/>
      <c r="V163" s="2877"/>
      <c r="W163" s="2904"/>
      <c r="X163" s="2905"/>
    </row>
    <row r="164" spans="1:24" s="329" customFormat="1" ht="13.9" customHeight="1" thickBot="1">
      <c r="B164" s="329" t="s">
        <v>2311</v>
      </c>
      <c r="J164" s="1580">
        <f>+J162-J163</f>
        <v>12680152</v>
      </c>
      <c r="K164" s="1581"/>
      <c r="L164" s="1582"/>
      <c r="M164" s="1588" t="s">
        <v>2862</v>
      </c>
      <c r="N164" s="1589"/>
      <c r="O164" s="1614">
        <f>'Part III-Sources of Funds'!$I$41</f>
        <v>0</v>
      </c>
      <c r="P164" s="1614"/>
      <c r="Q164" s="1614"/>
      <c r="R164" s="1615"/>
      <c r="S164" s="459" t="s">
        <v>1721</v>
      </c>
      <c r="T164" s="2919"/>
      <c r="V164" s="2877"/>
      <c r="W164" s="2904"/>
      <c r="X164" s="2905"/>
    </row>
    <row r="165" spans="1:24" s="329" customFormat="1" ht="13.9" customHeight="1">
      <c r="B165" s="329" t="s">
        <v>1335</v>
      </c>
      <c r="J165" s="1583" t="str">
        <f>"/ 10"</f>
        <v>/ 10</v>
      </c>
      <c r="K165" s="1583"/>
      <c r="L165" s="1583"/>
      <c r="M165" s="1399"/>
      <c r="N165" s="536"/>
      <c r="O165" s="536"/>
      <c r="P165" s="536"/>
      <c r="Q165" s="536"/>
      <c r="R165" s="536"/>
      <c r="W165" s="2904"/>
      <c r="X165" s="2905"/>
    </row>
    <row r="166" spans="1:24" s="329" customFormat="1" ht="13.9" customHeight="1">
      <c r="B166" s="329" t="s">
        <v>1336</v>
      </c>
      <c r="J166" s="1580">
        <f>J164/10</f>
        <v>1268015.2</v>
      </c>
      <c r="K166" s="1581"/>
      <c r="L166" s="1587"/>
      <c r="M166" s="348"/>
      <c r="N166" s="1457" t="s">
        <v>1337</v>
      </c>
      <c r="O166" s="1457"/>
      <c r="Q166" s="1457" t="s">
        <v>1865</v>
      </c>
      <c r="R166" s="1457"/>
      <c r="V166" s="2877"/>
      <c r="W166" s="2904"/>
      <c r="X166" s="2905"/>
    </row>
    <row r="167" spans="1:24" s="329" customFormat="1" ht="13.9" customHeight="1" thickBot="1">
      <c r="B167" s="329" t="s">
        <v>1541</v>
      </c>
      <c r="J167" s="1616">
        <f>N167+Q167</f>
        <v>1.4</v>
      </c>
      <c r="K167" s="1617"/>
      <c r="L167" s="1618"/>
      <c r="M167" s="1393" t="s">
        <v>1338</v>
      </c>
      <c r="N167" s="2920">
        <v>0.95</v>
      </c>
      <c r="O167" s="2921"/>
      <c r="P167" s="1393" t="s">
        <v>636</v>
      </c>
      <c r="Q167" s="2920">
        <v>0.45</v>
      </c>
      <c r="R167" s="2921"/>
      <c r="V167" s="2877"/>
      <c r="W167" s="2904"/>
      <c r="X167" s="2905"/>
    </row>
    <row r="168" spans="1:24" s="329" customFormat="1" ht="13.9" customHeight="1" thickBot="1">
      <c r="B168" s="331" t="s">
        <v>1479</v>
      </c>
      <c r="J168" s="1540">
        <f>IF(J167=0,"",J166/J167)</f>
        <v>905725.14285714284</v>
      </c>
      <c r="K168" s="1613"/>
      <c r="L168" s="1541"/>
      <c r="M168" s="348"/>
      <c r="N168" s="1399"/>
      <c r="O168" s="1399"/>
      <c r="V168" s="2877"/>
      <c r="W168" s="2904"/>
      <c r="X168" s="2905"/>
    </row>
    <row r="169" spans="1:24" s="329" customFormat="1" ht="6" customHeight="1">
      <c r="J169" s="403"/>
      <c r="K169" s="403"/>
      <c r="L169" s="403"/>
      <c r="M169" s="348"/>
      <c r="N169" s="1403"/>
      <c r="O169" s="1403"/>
      <c r="W169" s="2904"/>
      <c r="X169" s="2905"/>
    </row>
    <row r="170" spans="1:24" s="329" customFormat="1" ht="16.149999999999999" customHeight="1">
      <c r="B170" s="331" t="s">
        <v>3043</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905725.14285714284</v>
      </c>
      <c r="K170" s="1585"/>
      <c r="L170" s="1586"/>
      <c r="M170" s="348"/>
      <c r="N170" s="1403"/>
      <c r="O170" s="1403"/>
      <c r="V170" s="2877"/>
      <c r="W170" s="2904"/>
      <c r="X170" s="2905"/>
    </row>
    <row r="171" spans="1:24" s="329" customFormat="1" ht="3" customHeight="1">
      <c r="J171" s="403"/>
      <c r="K171" s="403"/>
      <c r="L171" s="403"/>
      <c r="M171" s="348"/>
      <c r="N171" s="1403"/>
      <c r="O171" s="1403"/>
      <c r="W171" s="2904"/>
      <c r="X171" s="2905"/>
    </row>
    <row r="172" spans="1:24" s="329" customFormat="1" ht="16.149999999999999" customHeight="1">
      <c r="B172" s="331" t="s">
        <v>362</v>
      </c>
      <c r="J172" s="2922">
        <v>905000</v>
      </c>
      <c r="K172" s="2923"/>
      <c r="L172" s="2924"/>
      <c r="M172" s="404" t="str">
        <f>IF(J170=0,"",IF(J172&gt;J170,"ALLOCATION CANNOT EXCEED MAXIMUM - REVISE REQUEST!",""))</f>
        <v/>
      </c>
      <c r="N172" s="1403"/>
      <c r="O172" s="1403"/>
      <c r="V172" s="2877"/>
      <c r="W172" s="2904"/>
      <c r="X172" s="2905"/>
    </row>
    <row r="173" spans="1:24" s="329" customFormat="1" ht="3" customHeight="1">
      <c r="J173" s="403"/>
      <c r="K173" s="403"/>
      <c r="L173" s="403"/>
      <c r="M173" s="348"/>
      <c r="N173" s="1403"/>
      <c r="O173" s="1403"/>
      <c r="W173" s="2904"/>
      <c r="X173" s="2905"/>
    </row>
    <row r="174" spans="1:24" s="329" customFormat="1" ht="16.149999999999999" customHeight="1">
      <c r="A174" s="474" t="s">
        <v>1858</v>
      </c>
      <c r="B174" s="474" t="s">
        <v>2708</v>
      </c>
      <c r="D174" s="348"/>
      <c r="E174" s="348"/>
      <c r="F174" s="334"/>
      <c r="J174" s="1599">
        <f>IF(J172="",0,+MIN(J170,J172))</f>
        <v>905000</v>
      </c>
      <c r="K174" s="1600"/>
      <c r="L174" s="1601"/>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61.60000000000002" customHeight="1">
      <c r="A178" s="2926" t="s">
        <v>4405</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34" t="s">
        <v>2796</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5ks19i+xwFaVcrxBriRVqdLuBy3OYzPIt4BqO7HhADWOV1JkTAJuYEeahUrszpEFJUhvRLwtbjitaR8yMJ9dBg==" saltValue="S3/lnNO3pVrh9TUaBDEL/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9" priority="4" stopIfTrue="1" operator="greaterThan">
      <formula>$F35</formula>
    </cfRule>
  </conditionalFormatting>
  <conditionalFormatting sqref="J174:L174">
    <cfRule type="cellIs" dxfId="68" priority="6" stopIfTrue="1" operator="greaterThan">
      <formula>$J$170</formula>
    </cfRule>
  </conditionalFormatting>
  <conditionalFormatting sqref="G36">
    <cfRule type="cellIs" dxfId="67"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6" priority="3" operator="greaterThan">
      <formula>$G$35</formula>
    </cfRule>
  </conditionalFormatting>
  <conditionalFormatting sqref="J36:K37 M36:N37 P36:Q37">
    <cfRule type="cellIs" dxfId="65" priority="2" operator="greaterThan">
      <formula>$G$37</formula>
    </cfRule>
  </conditionalFormatting>
  <conditionalFormatting sqref="G37">
    <cfRule type="cellIs" dxfId="64"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136" zoomScaleNormal="136" zoomScaleSheetLayoutView="70" workbookViewId="0">
      <selection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4" t="str">
        <f>CONCATENATE("PART FOUR (b) -  OTHER COSTS","  -  ",'Part I-Project Information'!$O$4," - ",'Part I-Project Information'!$F$24,"  -  ",'Part I-Project Information'!$F$28,"  -  ",'Part I-Project Information'!$J$29,",  ","County")</f>
        <v>PART FOUR (b) -  OTHER COSTS  -  2016-032 - 240 Atlanta Street Development Phase 2  -  Gainesville  -  Hall,  County</v>
      </c>
      <c r="B1" s="1655"/>
      <c r="C1" s="1655"/>
      <c r="D1" s="1655"/>
      <c r="E1" s="1655"/>
      <c r="F1" s="1655"/>
      <c r="G1" s="1655"/>
      <c r="H1" s="1655"/>
      <c r="I1" s="1356"/>
      <c r="J1" s="1356"/>
      <c r="K1" s="1356"/>
      <c r="L1" s="1356"/>
      <c r="M1" s="1356"/>
      <c r="N1" s="1356"/>
    </row>
    <row r="2" spans="1:14" ht="9" customHeight="1"/>
    <row r="3" spans="1:14" ht="57" customHeight="1">
      <c r="A3" s="2933" t="s">
        <v>4194</v>
      </c>
      <c r="B3" s="2934"/>
      <c r="C3" s="2934"/>
      <c r="D3" s="2934"/>
      <c r="E3" s="2934"/>
      <c r="F3" s="2934"/>
      <c r="G3" s="2934"/>
      <c r="H3" s="2935"/>
    </row>
    <row r="4" spans="1:14" ht="6" customHeight="1"/>
    <row r="5" spans="1:14" ht="27" customHeight="1">
      <c r="A5" s="1656" t="s">
        <v>4180</v>
      </c>
      <c r="B5" s="1656"/>
      <c r="C5" s="1656"/>
      <c r="D5" s="1656"/>
      <c r="F5" s="1357" t="s">
        <v>4181</v>
      </c>
      <c r="G5" s="704"/>
      <c r="H5" s="1357" t="s">
        <v>4182</v>
      </c>
    </row>
    <row r="6" spans="1:14" ht="6.75" customHeight="1">
      <c r="A6" s="704"/>
      <c r="B6" s="704"/>
      <c r="C6" s="704"/>
      <c r="D6" s="704"/>
    </row>
    <row r="7" spans="1:14" s="2936" customFormat="1" ht="4.5" customHeight="1">
      <c r="A7" s="1358"/>
      <c r="B7" s="1358"/>
      <c r="C7" s="1358"/>
      <c r="D7" s="1358"/>
      <c r="E7" s="1358"/>
      <c r="F7" s="1358"/>
      <c r="G7" s="1358"/>
    </row>
    <row r="8" spans="1:14" s="2936" customFormat="1">
      <c r="A8" s="1367" t="s">
        <v>104</v>
      </c>
      <c r="B8" s="1359"/>
      <c r="C8" s="1359"/>
      <c r="D8" s="1359"/>
      <c r="E8" s="1359"/>
      <c r="F8" s="1359"/>
      <c r="G8" s="1359"/>
    </row>
    <row r="9" spans="1:14" s="2936" customFormat="1" ht="41.25" customHeight="1">
      <c r="A9" s="1651" t="str">
        <f>'Part IV-Uses of Funds'!$C$14</f>
        <v>Construction Cost Review</v>
      </c>
      <c r="B9" s="1652"/>
      <c r="C9" s="1652"/>
      <c r="D9" s="1653"/>
      <c r="F9" s="2937" t="s">
        <v>4359</v>
      </c>
      <c r="G9" s="1359"/>
      <c r="H9" s="2937" t="s">
        <v>4403</v>
      </c>
    </row>
    <row r="10" spans="1:14" s="2936" customFormat="1" ht="41.25" customHeight="1">
      <c r="A10" s="1648"/>
      <c r="B10" s="1649"/>
      <c r="C10" s="1649"/>
      <c r="D10" s="1650"/>
      <c r="F10" s="2938"/>
      <c r="G10" s="1359"/>
      <c r="H10" s="2938"/>
    </row>
    <row r="11" spans="1:14" s="2936" customFormat="1" ht="4.5" customHeight="1">
      <c r="F11" s="2938"/>
      <c r="G11" s="1359"/>
      <c r="H11" s="2938"/>
    </row>
    <row r="12" spans="1:14" s="2936" customFormat="1" ht="15" customHeight="1">
      <c r="A12" s="1366" t="s">
        <v>4185</v>
      </c>
      <c r="B12" s="1365">
        <f>'Part IV-Uses of Funds'!$G$14</f>
        <v>4000</v>
      </c>
      <c r="C12" s="1366" t="s">
        <v>1856</v>
      </c>
      <c r="D12" s="1365">
        <f>'Part IV-Uses of Funds'!$J$14+'Part IV-Uses of Funds'!$M$14+'Part IV-Uses of Funds'!$P$14</f>
        <v>4000</v>
      </c>
      <c r="F12" s="2938"/>
      <c r="G12" s="1359"/>
      <c r="H12" s="2938"/>
    </row>
    <row r="13" spans="1:14" s="2936" customFormat="1" ht="6" customHeight="1">
      <c r="A13" s="1359"/>
      <c r="B13" s="1360"/>
      <c r="C13" s="1359"/>
      <c r="D13" s="1359"/>
      <c r="F13" s="2938"/>
      <c r="G13" s="1361"/>
      <c r="H13" s="2938"/>
    </row>
    <row r="14" spans="1:14" s="2936" customFormat="1" ht="41.25" customHeight="1">
      <c r="A14" s="1651" t="str">
        <f>'Part IV-Uses of Funds'!$C$15</f>
        <v>&lt;&lt; Enter description here; provide detail &amp; justification in tab Part IV-b &gt;&gt;</v>
      </c>
      <c r="B14" s="1652"/>
      <c r="C14" s="1652"/>
      <c r="D14" s="1653"/>
      <c r="F14" s="2938"/>
      <c r="G14" s="1359"/>
      <c r="H14" s="2938"/>
    </row>
    <row r="15" spans="1:14" s="2936" customFormat="1" ht="41.25" customHeight="1">
      <c r="A15" s="1648"/>
      <c r="B15" s="1649"/>
      <c r="C15" s="1649"/>
      <c r="D15" s="1650"/>
      <c r="F15" s="2938"/>
      <c r="G15" s="1359"/>
      <c r="H15" s="2938"/>
    </row>
    <row r="16" spans="1:14" s="2936" customFormat="1" ht="4.5" customHeight="1">
      <c r="F16" s="2938"/>
      <c r="G16" s="1359"/>
      <c r="H16" s="2938"/>
    </row>
    <row r="17" spans="1:8" s="2936" customFormat="1" ht="15" customHeight="1">
      <c r="A17" s="1366" t="s">
        <v>4185</v>
      </c>
      <c r="B17" s="1365">
        <f>'Part IV-Uses of Funds'!$G$15</f>
        <v>0</v>
      </c>
      <c r="C17" s="1366" t="s">
        <v>1856</v>
      </c>
      <c r="D17" s="1365">
        <f>'Part IV-Uses of Funds'!$J$15+'Part IV-Uses of Funds'!$M$15+'Part IV-Uses of Funds'!$P$15</f>
        <v>0</v>
      </c>
      <c r="F17" s="2938"/>
      <c r="G17" s="1359"/>
      <c r="H17" s="2938"/>
    </row>
    <row r="18" spans="1:8" s="2936" customFormat="1" ht="6" customHeight="1">
      <c r="A18" s="1359"/>
      <c r="B18" s="1360"/>
      <c r="C18" s="1359"/>
      <c r="D18" s="1359"/>
      <c r="F18" s="2938"/>
      <c r="G18" s="1361"/>
      <c r="H18" s="2938"/>
    </row>
    <row r="19" spans="1:8" s="2936" customFormat="1" ht="41.25" customHeight="1">
      <c r="A19" s="1651" t="str">
        <f>'Part IV-Uses of Funds'!$C$16</f>
        <v>&lt;&lt; Enter description here; provide detail &amp; justification in tab Part IV-b &gt;&gt;</v>
      </c>
      <c r="B19" s="1652"/>
      <c r="C19" s="1652"/>
      <c r="D19" s="1653"/>
      <c r="F19" s="2938"/>
      <c r="G19" s="1359"/>
      <c r="H19" s="2938"/>
    </row>
    <row r="20" spans="1:8" s="2936" customFormat="1" ht="41.25" customHeight="1">
      <c r="A20" s="1648"/>
      <c r="B20" s="1649"/>
      <c r="C20" s="1649"/>
      <c r="D20" s="1650"/>
      <c r="F20" s="2938"/>
      <c r="G20" s="1359"/>
      <c r="H20" s="2938"/>
    </row>
    <row r="21" spans="1:8" s="2936" customFormat="1" ht="4.5" customHeight="1">
      <c r="F21" s="2938"/>
      <c r="G21" s="1359"/>
      <c r="H21" s="2938"/>
    </row>
    <row r="22" spans="1:8" s="2936" customFormat="1" ht="15" customHeight="1">
      <c r="A22" s="1366" t="s">
        <v>4185</v>
      </c>
      <c r="B22" s="1365">
        <f>'Part IV-Uses of Funds'!$G$16</f>
        <v>0</v>
      </c>
      <c r="C22" s="1366" t="s">
        <v>1856</v>
      </c>
      <c r="D22" s="1365">
        <f>'Part IV-Uses of Funds'!$J$16+'Part IV-Uses of Funds'!$M$16+'Part IV-Uses of Funds'!$P$16</f>
        <v>0</v>
      </c>
      <c r="F22" s="2938"/>
      <c r="G22" s="1359"/>
      <c r="H22" s="2938"/>
    </row>
    <row r="23" spans="1:8" s="2936" customFormat="1" ht="6" customHeight="1">
      <c r="A23" s="1359"/>
      <c r="B23" s="1360"/>
      <c r="C23" s="1359"/>
      <c r="D23" s="1359"/>
      <c r="F23" s="2939"/>
      <c r="G23" s="1361"/>
      <c r="H23" s="2939"/>
    </row>
    <row r="24" spans="1:8" s="2936" customFormat="1">
      <c r="A24" s="1367" t="s">
        <v>4184</v>
      </c>
      <c r="B24" s="1359"/>
      <c r="C24" s="1359"/>
      <c r="D24" s="1359"/>
      <c r="E24" s="1359"/>
      <c r="F24" s="1359"/>
      <c r="G24" s="1359"/>
    </row>
    <row r="25" spans="1:8" s="2936" customFormat="1" ht="41.25" customHeight="1">
      <c r="A25" s="1651" t="str">
        <f>'Part IV-Uses of Funds'!$C$41</f>
        <v>&lt;&lt; Enter description here; provide detail &amp; justification in tab Part IV-b &gt;&gt;</v>
      </c>
      <c r="B25" s="1652"/>
      <c r="C25" s="1652"/>
      <c r="D25" s="1653"/>
      <c r="E25" s="1359"/>
      <c r="F25" s="2940"/>
      <c r="G25" s="1359"/>
      <c r="H25" s="2940"/>
    </row>
    <row r="26" spans="1:8" s="2936" customFormat="1" ht="41.25" customHeight="1">
      <c r="A26" s="1648"/>
      <c r="B26" s="1649"/>
      <c r="C26" s="1649"/>
      <c r="D26" s="1650"/>
      <c r="E26" s="1359"/>
      <c r="F26" s="2941"/>
      <c r="G26" s="1359"/>
      <c r="H26" s="2941"/>
    </row>
    <row r="27" spans="1:8" s="2936" customFormat="1" ht="4.5" customHeight="1">
      <c r="A27" s="1359"/>
      <c r="B27" s="1359"/>
      <c r="C27" s="1359"/>
      <c r="D27" s="1359"/>
      <c r="E27" s="1359"/>
      <c r="F27" s="2941"/>
      <c r="G27" s="1359"/>
      <c r="H27" s="2941"/>
    </row>
    <row r="28" spans="1:8" s="2936" customFormat="1">
      <c r="A28" s="1366" t="s">
        <v>4185</v>
      </c>
      <c r="B28" s="1365">
        <f>'Part IV-Uses of Funds'!$G$41</f>
        <v>0</v>
      </c>
      <c r="C28" s="1366" t="s">
        <v>1856</v>
      </c>
      <c r="D28" s="1365">
        <f>'Part IV-Uses of Funds'!$J$41+'Part IV-Uses of Funds'!$M$41+'Part IV-Uses of Funds'!$P$41</f>
        <v>0</v>
      </c>
      <c r="E28" s="1359"/>
      <c r="F28" s="2941"/>
      <c r="G28" s="1359"/>
      <c r="H28" s="2941"/>
    </row>
    <row r="29" spans="1:8" s="2936" customFormat="1" ht="6" customHeight="1">
      <c r="A29" s="1359"/>
      <c r="B29" s="1360"/>
      <c r="C29" s="1359"/>
      <c r="D29" s="1359"/>
      <c r="E29" s="1359"/>
      <c r="F29" s="2942"/>
      <c r="G29" s="1361"/>
      <c r="H29" s="2942"/>
    </row>
    <row r="30" spans="1:8" s="2936" customFormat="1">
      <c r="A30" s="1367" t="s">
        <v>752</v>
      </c>
      <c r="B30" s="1359"/>
      <c r="C30" s="1359"/>
      <c r="D30" s="1359"/>
      <c r="E30" s="1359"/>
      <c r="F30" s="1359"/>
      <c r="G30" s="1359"/>
    </row>
    <row r="31" spans="1:8" s="2936" customFormat="1" ht="41.25" customHeight="1">
      <c r="A31" s="1645" t="str">
        <f>'Part IV-Uses of Funds'!$C$62</f>
        <v>&lt;&lt; Enter description here; provide detail &amp; justification in tab Part IV-b &gt;&gt;</v>
      </c>
      <c r="B31" s="1646"/>
      <c r="C31" s="1646"/>
      <c r="D31" s="1647"/>
      <c r="E31" s="1359"/>
      <c r="F31" s="2937"/>
      <c r="G31" s="1359"/>
      <c r="H31" s="2937"/>
    </row>
    <row r="32" spans="1:8" s="2936" customFormat="1" ht="41.25" customHeight="1">
      <c r="A32" s="1648"/>
      <c r="B32" s="1649"/>
      <c r="C32" s="1649"/>
      <c r="D32" s="1650"/>
      <c r="E32" s="1359"/>
      <c r="F32" s="2938"/>
      <c r="G32" s="1359"/>
      <c r="H32" s="2938"/>
    </row>
    <row r="33" spans="1:8" s="2936" customFormat="1" ht="4.5" customHeight="1">
      <c r="A33" s="1359"/>
      <c r="B33" s="1359"/>
      <c r="C33" s="1359"/>
      <c r="D33" s="1359"/>
      <c r="E33" s="1359"/>
      <c r="F33" s="2938"/>
      <c r="G33" s="1359"/>
      <c r="H33" s="2938"/>
    </row>
    <row r="34" spans="1:8" s="2936" customFormat="1" ht="14.25" customHeight="1">
      <c r="A34" s="1366" t="s">
        <v>4185</v>
      </c>
      <c r="B34" s="1365">
        <f>'Part IV-Uses of Funds'!$G$62</f>
        <v>0</v>
      </c>
      <c r="C34" s="1366" t="s">
        <v>1856</v>
      </c>
      <c r="D34" s="1365">
        <f>'Part IV-Uses of Funds'!$J$62+'Part IV-Uses of Funds'!$M$62+'Part IV-Uses of Funds'!$P$62</f>
        <v>0</v>
      </c>
      <c r="E34" s="1359"/>
      <c r="F34" s="2938"/>
      <c r="G34" s="1359"/>
      <c r="H34" s="2938"/>
    </row>
    <row r="35" spans="1:8" s="2936" customFormat="1" ht="6" customHeight="1">
      <c r="D35" s="1359"/>
      <c r="E35" s="1359"/>
      <c r="F35" s="2938"/>
      <c r="G35" s="1361"/>
      <c r="H35" s="2938"/>
    </row>
    <row r="36" spans="1:8" s="2936" customFormat="1" ht="41.25" customHeight="1">
      <c r="A36" s="1645" t="str">
        <f>'Part IV-Uses of Funds'!$C$63</f>
        <v>&lt;&lt; Enter description here; provide detail &amp; justification in tab Part IV-b &gt;&gt;</v>
      </c>
      <c r="B36" s="1646"/>
      <c r="C36" s="1646"/>
      <c r="D36" s="1647"/>
      <c r="E36" s="1359"/>
      <c r="F36" s="2938"/>
      <c r="G36" s="1359"/>
      <c r="H36" s="2938"/>
    </row>
    <row r="37" spans="1:8" s="2936" customFormat="1" ht="41.25" customHeight="1">
      <c r="A37" s="1648"/>
      <c r="B37" s="1649"/>
      <c r="C37" s="1649"/>
      <c r="D37" s="1650"/>
      <c r="E37" s="1359"/>
      <c r="F37" s="2938"/>
      <c r="G37" s="1359"/>
      <c r="H37" s="2938"/>
    </row>
    <row r="38" spans="1:8" s="2936" customFormat="1" ht="4.5" customHeight="1">
      <c r="A38" s="1359"/>
      <c r="B38" s="1359"/>
      <c r="C38" s="1359"/>
      <c r="D38" s="1359"/>
      <c r="E38" s="1359"/>
      <c r="F38" s="2938"/>
      <c r="G38" s="1359"/>
      <c r="H38" s="2938"/>
    </row>
    <row r="39" spans="1:8" s="2936" customFormat="1" ht="14.25" customHeight="1">
      <c r="A39" s="1366" t="s">
        <v>4185</v>
      </c>
      <c r="B39" s="1365">
        <f>'Part IV-Uses of Funds'!$G$63</f>
        <v>0</v>
      </c>
      <c r="C39" s="1366" t="s">
        <v>1856</v>
      </c>
      <c r="D39" s="1365">
        <f>'Part IV-Uses of Funds'!$J$63+'Part IV-Uses of Funds'!$M$63+'Part IV-Uses of Funds'!$P$63</f>
        <v>0</v>
      </c>
      <c r="E39" s="1359"/>
      <c r="F39" s="2938"/>
      <c r="G39" s="1359"/>
      <c r="H39" s="2938"/>
    </row>
    <row r="40" spans="1:8" s="2936" customFormat="1" ht="6" customHeight="1">
      <c r="D40" s="1359"/>
      <c r="E40" s="1359"/>
      <c r="F40" s="2939"/>
      <c r="G40" s="1361"/>
      <c r="H40" s="2939"/>
    </row>
    <row r="41" spans="1:8" s="2936" customFormat="1">
      <c r="A41" s="1367" t="s">
        <v>493</v>
      </c>
      <c r="B41" s="1359"/>
      <c r="C41" s="1359"/>
      <c r="D41" s="1359"/>
      <c r="E41" s="1363"/>
      <c r="F41" s="1363"/>
      <c r="G41" s="1359"/>
    </row>
    <row r="42" spans="1:8" s="2936" customFormat="1" ht="41.25" customHeight="1">
      <c r="A42" s="1645" t="str">
        <f>'Part IV-Uses of Funds'!$C$76</f>
        <v>&lt;&lt; Enter description here; provide detail &amp; justification in tab Part IV-b &gt;&gt;</v>
      </c>
      <c r="B42" s="1646"/>
      <c r="C42" s="1646"/>
      <c r="D42" s="1647"/>
      <c r="F42" s="2940"/>
      <c r="G42" s="1359"/>
      <c r="H42" s="2940"/>
    </row>
    <row r="43" spans="1:8" s="2936" customFormat="1" ht="41.25" customHeight="1">
      <c r="A43" s="1648"/>
      <c r="B43" s="1649"/>
      <c r="C43" s="1649"/>
      <c r="D43" s="1650"/>
      <c r="E43" s="1359"/>
      <c r="F43" s="2941"/>
      <c r="G43" s="1359"/>
      <c r="H43" s="2941"/>
    </row>
    <row r="44" spans="1:8" s="2936" customFormat="1" ht="4.5" customHeight="1">
      <c r="A44" s="1359"/>
      <c r="B44" s="1359"/>
      <c r="C44" s="1359"/>
      <c r="D44" s="1359"/>
      <c r="E44" s="1359"/>
      <c r="F44" s="2941"/>
      <c r="G44" s="1359"/>
      <c r="H44" s="2941"/>
    </row>
    <row r="45" spans="1:8" s="2936" customFormat="1" ht="13.5" customHeight="1">
      <c r="A45" s="1366" t="s">
        <v>4185</v>
      </c>
      <c r="B45" s="1365">
        <f>'Part IV-Uses of Funds'!$G$76</f>
        <v>0</v>
      </c>
      <c r="C45" s="1366" t="s">
        <v>1856</v>
      </c>
      <c r="D45" s="1365">
        <f>'Part IV-Uses of Funds'!$J$76+'Part IV-Uses of Funds'!$M$76+'Part IV-Uses of Funds'!$P$76</f>
        <v>0</v>
      </c>
      <c r="E45" s="1359"/>
      <c r="F45" s="2941"/>
      <c r="G45" s="1359"/>
      <c r="H45" s="2941"/>
    </row>
    <row r="46" spans="1:8" s="2936" customFormat="1" ht="6" customHeight="1">
      <c r="A46" s="1359"/>
      <c r="B46" s="1360"/>
      <c r="C46" s="1359"/>
      <c r="D46" s="1359"/>
      <c r="E46" s="1359"/>
      <c r="F46" s="2942"/>
      <c r="G46" s="1361"/>
      <c r="H46" s="2942"/>
    </row>
    <row r="47" spans="1:8" s="2936" customFormat="1">
      <c r="A47" s="1367" t="s">
        <v>754</v>
      </c>
      <c r="B47" s="1359"/>
      <c r="C47" s="1359"/>
      <c r="D47" s="1359"/>
      <c r="E47" s="1359"/>
      <c r="F47" s="1359"/>
      <c r="G47" s="1359"/>
    </row>
    <row r="48" spans="1:8" s="2936" customFormat="1" ht="41.25" customHeight="1">
      <c r="A48" s="1645" t="str">
        <f>'Part IV-Uses of Funds'!$C$90</f>
        <v>&lt;&lt; Enter description here; provide detail &amp; justification in tab Part IV-b &gt;&gt;</v>
      </c>
      <c r="B48" s="1646"/>
      <c r="C48" s="1646"/>
      <c r="D48" s="1647"/>
      <c r="F48" s="2940"/>
      <c r="G48" s="1359"/>
    </row>
    <row r="49" spans="1:7" s="2936" customFormat="1" ht="41.25" customHeight="1">
      <c r="A49" s="1648"/>
      <c r="B49" s="1649"/>
      <c r="C49" s="1649"/>
      <c r="D49" s="1650"/>
      <c r="E49" s="1359"/>
      <c r="F49" s="2941"/>
      <c r="G49" s="1359"/>
    </row>
    <row r="50" spans="1:7" s="2936" customFormat="1" ht="4.5" customHeight="1">
      <c r="A50" s="1359"/>
      <c r="B50" s="1359"/>
      <c r="C50" s="1359"/>
      <c r="D50" s="1359"/>
      <c r="E50" s="1359"/>
      <c r="F50" s="2941"/>
      <c r="G50" s="1359"/>
    </row>
    <row r="51" spans="1:7" s="2936" customFormat="1" ht="13.5" customHeight="1">
      <c r="A51" s="1366" t="s">
        <v>4185</v>
      </c>
      <c r="B51" s="1365">
        <f>'Part IV-Uses of Funds'!$G$90</f>
        <v>0</v>
      </c>
      <c r="C51" s="1362"/>
      <c r="D51" s="1362"/>
      <c r="E51" s="1359"/>
      <c r="F51" s="2941"/>
      <c r="G51" s="1359"/>
    </row>
    <row r="52" spans="1:7" s="2936" customFormat="1" ht="6" customHeight="1">
      <c r="A52" s="1359"/>
      <c r="B52" s="1359"/>
      <c r="C52" s="1359"/>
      <c r="D52" s="1359"/>
      <c r="E52" s="1359"/>
      <c r="F52" s="2942"/>
      <c r="G52" s="1361"/>
    </row>
    <row r="53" spans="1:7" s="2936" customFormat="1">
      <c r="A53" s="1367" t="s">
        <v>4186</v>
      </c>
      <c r="B53" s="1359"/>
      <c r="C53" s="1359"/>
      <c r="D53" s="1359"/>
      <c r="E53" s="1359"/>
      <c r="F53" s="1359"/>
      <c r="G53" s="1359"/>
    </row>
    <row r="54" spans="1:7" s="2936" customFormat="1" ht="41.25" customHeight="1">
      <c r="A54" s="1645" t="str">
        <f>'Part IV-Uses of Funds'!$C$103</f>
        <v>&lt;&lt; Enter description here; provide detail &amp; justification in tab Part IV-b &gt;&gt;</v>
      </c>
      <c r="B54" s="1646"/>
      <c r="C54" s="1646"/>
      <c r="D54" s="1647"/>
      <c r="F54" s="2937"/>
      <c r="G54" s="1359"/>
    </row>
    <row r="55" spans="1:7" s="2936" customFormat="1" ht="41.25" customHeight="1">
      <c r="A55" s="1648"/>
      <c r="B55" s="1649"/>
      <c r="C55" s="1649"/>
      <c r="D55" s="1650"/>
      <c r="E55" s="1359"/>
      <c r="F55" s="2938"/>
      <c r="G55" s="1359"/>
    </row>
    <row r="56" spans="1:7" s="2936" customFormat="1" ht="4.5" customHeight="1">
      <c r="A56" s="1359"/>
      <c r="B56" s="1359"/>
      <c r="C56" s="1359"/>
      <c r="D56" s="1359"/>
      <c r="E56" s="1359"/>
      <c r="F56" s="2938"/>
      <c r="G56" s="1359"/>
    </row>
    <row r="57" spans="1:7" s="2936" customFormat="1">
      <c r="A57" s="1366" t="s">
        <v>4185</v>
      </c>
      <c r="B57" s="1365">
        <f>'Part IV-Uses of Funds'!$G$103</f>
        <v>0</v>
      </c>
      <c r="C57" s="1362"/>
      <c r="D57" s="1362"/>
      <c r="E57" s="1359"/>
      <c r="F57" s="2938"/>
      <c r="G57" s="1359"/>
    </row>
    <row r="58" spans="1:7" s="2936" customFormat="1" ht="6" customHeight="1">
      <c r="A58" s="1358"/>
      <c r="B58" s="1358"/>
      <c r="C58" s="1358"/>
      <c r="D58" s="1358"/>
      <c r="E58" s="1358"/>
      <c r="F58" s="2938"/>
      <c r="G58" s="1361"/>
    </row>
    <row r="59" spans="1:7" s="2936" customFormat="1" ht="41.25" customHeight="1">
      <c r="A59" s="1645" t="str">
        <f>'Part IV-Uses of Funds'!$C$104</f>
        <v>&lt;&lt; Enter description here; provide detail &amp; justification in tab Part IV-b &gt;&gt;</v>
      </c>
      <c r="B59" s="1646"/>
      <c r="C59" s="1646"/>
      <c r="D59" s="1647"/>
      <c r="F59" s="2938"/>
      <c r="G59" s="1359"/>
    </row>
    <row r="60" spans="1:7" s="2936" customFormat="1" ht="41.25" customHeight="1">
      <c r="A60" s="1648"/>
      <c r="B60" s="1649"/>
      <c r="C60" s="1649"/>
      <c r="D60" s="1650"/>
      <c r="E60" s="1359"/>
      <c r="F60" s="2938"/>
      <c r="G60" s="1359"/>
    </row>
    <row r="61" spans="1:7" s="2936" customFormat="1" ht="4.5" customHeight="1">
      <c r="A61" s="1359"/>
      <c r="B61" s="1359"/>
      <c r="C61" s="1359"/>
      <c r="D61" s="1359"/>
      <c r="E61" s="1359"/>
      <c r="F61" s="2938"/>
      <c r="G61" s="1359"/>
    </row>
    <row r="62" spans="1:7" s="2936" customFormat="1">
      <c r="A62" s="1362" t="s">
        <v>103</v>
      </c>
      <c r="B62" s="1365">
        <f>'Part IV-Uses of Funds'!$G$104</f>
        <v>0</v>
      </c>
      <c r="C62" s="1362"/>
      <c r="D62" s="1362"/>
      <c r="E62" s="1359"/>
      <c r="F62" s="2938"/>
      <c r="G62" s="1359"/>
    </row>
    <row r="63" spans="1:7" s="2936" customFormat="1" ht="6" customHeight="1">
      <c r="A63" s="1358"/>
      <c r="B63" s="1358"/>
      <c r="C63" s="1358"/>
      <c r="D63" s="1358"/>
      <c r="E63" s="1358"/>
      <c r="F63" s="2939"/>
      <c r="G63" s="1361"/>
    </row>
    <row r="64" spans="1:7" s="2936" customFormat="1">
      <c r="A64" s="1367" t="s">
        <v>4187</v>
      </c>
      <c r="B64" s="1359"/>
      <c r="C64" s="1359"/>
      <c r="D64" s="1359"/>
      <c r="E64" s="1359"/>
      <c r="F64" s="1359"/>
      <c r="G64" s="1359"/>
    </row>
    <row r="65" spans="1:8" s="2936" customFormat="1" ht="41.25" customHeight="1">
      <c r="A65" s="1645" t="str">
        <f>'Part IV-Uses of Funds'!$C$110</f>
        <v>&lt;&lt; Enter description here; provide detail &amp; justification in tab Part IV-b &gt;&gt;</v>
      </c>
      <c r="B65" s="1646"/>
      <c r="C65" s="1646"/>
      <c r="D65" s="1647"/>
      <c r="F65" s="2940"/>
      <c r="G65" s="1359"/>
    </row>
    <row r="66" spans="1:8" s="2936" customFormat="1" ht="41.25" customHeight="1">
      <c r="A66" s="1648"/>
      <c r="B66" s="1649"/>
      <c r="C66" s="1649"/>
      <c r="D66" s="1650"/>
      <c r="E66" s="1359"/>
      <c r="F66" s="2941"/>
      <c r="G66" s="1359"/>
    </row>
    <row r="67" spans="1:8" s="2936" customFormat="1" ht="4.5" customHeight="1">
      <c r="A67" s="1359"/>
      <c r="B67" s="1359"/>
      <c r="C67" s="1359"/>
      <c r="D67" s="1359"/>
      <c r="E67" s="1359"/>
      <c r="F67" s="2941"/>
      <c r="G67" s="1359"/>
    </row>
    <row r="68" spans="1:8" s="2936" customFormat="1">
      <c r="A68" s="1362" t="s">
        <v>103</v>
      </c>
      <c r="B68" s="1365">
        <f>'Part IV-Uses of Funds'!$G$110</f>
        <v>0</v>
      </c>
      <c r="C68" s="1362"/>
      <c r="D68" s="1362"/>
      <c r="E68" s="1359"/>
      <c r="F68" s="2941"/>
      <c r="G68" s="1359"/>
    </row>
    <row r="69" spans="1:8" s="2936" customFormat="1" ht="6" customHeight="1">
      <c r="A69" s="1359"/>
      <c r="B69" s="1360"/>
      <c r="C69" s="1359"/>
      <c r="D69" s="1359"/>
      <c r="E69" s="1359"/>
      <c r="F69" s="2942"/>
      <c r="G69" s="1361"/>
    </row>
    <row r="70" spans="1:8" s="2936" customFormat="1">
      <c r="A70" s="1367" t="s">
        <v>1358</v>
      </c>
      <c r="B70" s="1359"/>
      <c r="C70" s="1359"/>
      <c r="D70" s="1359"/>
      <c r="E70" s="1359"/>
      <c r="F70" s="1359"/>
      <c r="G70" s="1359"/>
    </row>
    <row r="71" spans="1:8" s="2936" customFormat="1" ht="41.25" customHeight="1">
      <c r="A71" s="1645" t="str">
        <f>'Part IV-Uses of Funds'!$C$124</f>
        <v>&lt;&lt; Enter description here; provide detail &amp; justification in tab Part IV-b &gt;&gt;</v>
      </c>
      <c r="B71" s="1646"/>
      <c r="C71" s="1646"/>
      <c r="D71" s="1647"/>
      <c r="F71" s="2940"/>
      <c r="G71" s="1359"/>
      <c r="H71" s="2940"/>
    </row>
    <row r="72" spans="1:8" s="2936" customFormat="1" ht="41.25" customHeight="1">
      <c r="A72" s="1648"/>
      <c r="B72" s="1649"/>
      <c r="C72" s="1649"/>
      <c r="D72" s="1650"/>
      <c r="E72" s="1359"/>
      <c r="F72" s="2941"/>
      <c r="G72" s="1359"/>
      <c r="H72" s="2941"/>
    </row>
    <row r="73" spans="1:8" s="2936" customFormat="1" ht="4.5" customHeight="1">
      <c r="A73" s="1359"/>
      <c r="B73" s="1359"/>
      <c r="C73" s="1359"/>
      <c r="D73" s="1359"/>
      <c r="E73" s="1359"/>
      <c r="F73" s="2941"/>
      <c r="G73" s="1359"/>
      <c r="H73" s="2941"/>
    </row>
    <row r="74" spans="1:8" s="2936" customFormat="1">
      <c r="A74" s="1362" t="s">
        <v>103</v>
      </c>
      <c r="B74" s="1365">
        <f>'Part IV-Uses of Funds'!$G$124</f>
        <v>0</v>
      </c>
      <c r="C74" s="1362" t="s">
        <v>4183</v>
      </c>
      <c r="D74" s="1365">
        <f>'Part IV-Uses of Funds'!$J$124+'Part IV-Uses of Funds'!$M$124+'Part IV-Uses of Funds'!$P$124</f>
        <v>0</v>
      </c>
      <c r="E74" s="1359"/>
      <c r="F74" s="2941"/>
      <c r="G74" s="1359"/>
      <c r="H74" s="2941"/>
    </row>
    <row r="75" spans="1:8" s="2936" customFormat="1" ht="6" customHeight="1">
      <c r="A75" s="1359"/>
      <c r="B75" s="1360"/>
      <c r="C75" s="1359"/>
      <c r="D75" s="1359"/>
      <c r="E75" s="1359"/>
      <c r="F75" s="2942"/>
      <c r="G75" s="1361"/>
      <c r="H75" s="2942"/>
    </row>
    <row r="76" spans="1:8" s="2936" customFormat="1">
      <c r="A76" s="1367" t="s">
        <v>4188</v>
      </c>
      <c r="B76" s="1360"/>
      <c r="C76" s="1359"/>
      <c r="D76" s="1359"/>
      <c r="E76" s="1359"/>
      <c r="F76" s="1359"/>
      <c r="G76" s="1361"/>
    </row>
    <row r="77" spans="1:8" s="2936" customFormat="1" ht="41.25" customHeight="1">
      <c r="A77" s="1645" t="str">
        <f>'Part IV-Uses of Funds'!$C$128</f>
        <v>&lt;&lt; Enter description here; provide detail &amp; justification in tab Part IV-b &gt;&gt;</v>
      </c>
      <c r="B77" s="1646"/>
      <c r="C77" s="1646"/>
      <c r="D77" s="1647"/>
      <c r="F77" s="2940"/>
      <c r="G77" s="1359"/>
      <c r="H77" s="2940"/>
    </row>
    <row r="78" spans="1:8" s="2936" customFormat="1" ht="41.25" customHeight="1">
      <c r="A78" s="1648"/>
      <c r="B78" s="1649"/>
      <c r="C78" s="1649"/>
      <c r="D78" s="1650"/>
      <c r="E78" s="1359"/>
      <c r="F78" s="2941"/>
      <c r="G78" s="1359"/>
      <c r="H78" s="2941"/>
    </row>
    <row r="79" spans="1:8" s="2936" customFormat="1" ht="4.5" customHeight="1">
      <c r="A79" s="1359"/>
      <c r="B79" s="1359"/>
      <c r="C79" s="1359"/>
      <c r="D79" s="1359"/>
      <c r="E79" s="1359"/>
      <c r="F79" s="2941"/>
      <c r="G79" s="1359"/>
      <c r="H79" s="2941"/>
    </row>
    <row r="80" spans="1:8" s="2936" customFormat="1">
      <c r="A80" s="1362" t="s">
        <v>103</v>
      </c>
      <c r="B80" s="1365">
        <f>'Part IV-Uses of Funds'!$G$128</f>
        <v>0</v>
      </c>
      <c r="C80" s="1362" t="s">
        <v>4183</v>
      </c>
      <c r="D80" s="1365">
        <f>'Part IV-Uses of Funds'!$J$128+'Part IV-Uses of Funds'!$M$128+'Part IV-Uses of Funds'!$P$128</f>
        <v>0</v>
      </c>
      <c r="E80" s="1364"/>
      <c r="F80" s="2941"/>
      <c r="G80" s="1359"/>
      <c r="H80" s="2941"/>
    </row>
    <row r="81" spans="4:8" s="2936" customFormat="1" ht="6" customHeight="1">
      <c r="D81" s="1386"/>
      <c r="E81" s="2943"/>
      <c r="F81" s="2942"/>
      <c r="G81" s="1361"/>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wxvi9yI7WvmoYPLe0qrNEEjqgSt33oYoScnhpdMGMqypBuLHKwXnFKnsD6O5gf7Q7AfzQ/6YzVQffGnGdE7Bbg==" saltValue="FFMVho7riYuG2KFYHAyG/Q=="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2016-032 240 Atlanta Street Development Phase 2, Gainesville, Hall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4195</v>
      </c>
      <c r="C3" s="1466"/>
      <c r="D3" s="1467"/>
      <c r="F3" s="4" t="s">
        <v>534</v>
      </c>
      <c r="I3" s="1428" t="str">
        <f>VLOOKUP('Part I-Project Information'!$J$29,'DCA Underwriting Assumptions'!$G$141:$H$300,2)</f>
        <v>North</v>
      </c>
    </row>
    <row r="4" spans="1:20" s="8" customFormat="1"/>
    <row r="5" spans="1:20" s="8" customFormat="1">
      <c r="A5" s="14" t="s">
        <v>640</v>
      </c>
      <c r="B5" s="14" t="s">
        <v>2306</v>
      </c>
      <c r="F5" s="8" t="s">
        <v>2606</v>
      </c>
      <c r="I5" s="2944" t="s">
        <v>4358</v>
      </c>
      <c r="J5" s="2945"/>
      <c r="K5" s="2945"/>
      <c r="L5" s="2945"/>
      <c r="M5" s="2946"/>
    </row>
    <row r="6" spans="1:20" s="8" customFormat="1" ht="13.15" customHeight="1">
      <c r="A6" s="14"/>
      <c r="F6" s="8" t="s">
        <v>660</v>
      </c>
      <c r="H6" s="28"/>
      <c r="I6" s="2947">
        <v>42186</v>
      </c>
      <c r="J6" s="2948"/>
      <c r="K6" s="65" t="s">
        <v>559</v>
      </c>
      <c r="L6" s="2949" t="s">
        <v>4286</v>
      </c>
      <c r="M6" s="2946"/>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50" t="s">
        <v>4285</v>
      </c>
      <c r="E10" s="2951"/>
      <c r="F10" s="2952" t="s">
        <v>456</v>
      </c>
      <c r="G10" s="2952"/>
      <c r="H10" s="271"/>
      <c r="I10" s="2953">
        <v>9</v>
      </c>
      <c r="J10" s="2953">
        <v>11</v>
      </c>
      <c r="K10" s="2953">
        <v>14</v>
      </c>
      <c r="L10" s="2953">
        <v>20</v>
      </c>
      <c r="M10" s="2953">
        <v>24</v>
      </c>
      <c r="O10" s="1657" t="s">
        <v>4152</v>
      </c>
      <c r="P10" s="1657"/>
    </row>
    <row r="11" spans="1:20" s="8" customFormat="1">
      <c r="B11" s="272" t="s">
        <v>484</v>
      </c>
      <c r="C11" s="273"/>
      <c r="D11" s="272" t="s">
        <v>1653</v>
      </c>
      <c r="E11" s="273"/>
      <c r="F11" s="2954" t="s">
        <v>456</v>
      </c>
      <c r="G11" s="2954"/>
      <c r="H11" s="274"/>
      <c r="I11" s="2955">
        <v>18</v>
      </c>
      <c r="J11" s="2955">
        <v>25</v>
      </c>
      <c r="K11" s="2955">
        <v>32</v>
      </c>
      <c r="L11" s="2956">
        <v>39</v>
      </c>
      <c r="M11" s="2956">
        <v>50</v>
      </c>
      <c r="O11" s="1657"/>
      <c r="P11" s="1657"/>
    </row>
    <row r="12" spans="1:20" s="8" customFormat="1">
      <c r="B12" s="272" t="s">
        <v>1654</v>
      </c>
      <c r="C12" s="273"/>
      <c r="D12" s="2957" t="s">
        <v>1653</v>
      </c>
      <c r="E12" s="2958"/>
      <c r="F12" s="2954" t="s">
        <v>456</v>
      </c>
      <c r="G12" s="2954"/>
      <c r="H12" s="274"/>
      <c r="I12" s="2955">
        <v>7</v>
      </c>
      <c r="J12" s="2955">
        <v>9</v>
      </c>
      <c r="K12" s="2955">
        <v>12</v>
      </c>
      <c r="L12" s="2956">
        <v>14</v>
      </c>
      <c r="M12" s="2956">
        <v>18</v>
      </c>
      <c r="O12" s="1657"/>
      <c r="P12" s="1657"/>
    </row>
    <row r="13" spans="1:20" s="8" customFormat="1">
      <c r="B13" s="272" t="s">
        <v>1655</v>
      </c>
      <c r="C13" s="273"/>
      <c r="D13" s="2957" t="s">
        <v>1653</v>
      </c>
      <c r="E13" s="2958"/>
      <c r="F13" s="2954" t="s">
        <v>456</v>
      </c>
      <c r="G13" s="2954"/>
      <c r="H13" s="274"/>
      <c r="I13" s="2955">
        <v>20</v>
      </c>
      <c r="J13" s="2955">
        <v>28</v>
      </c>
      <c r="K13" s="2955">
        <v>36</v>
      </c>
      <c r="L13" s="2956">
        <v>44</v>
      </c>
      <c r="M13" s="2956">
        <v>56</v>
      </c>
      <c r="O13" s="1657"/>
      <c r="P13" s="1657"/>
    </row>
    <row r="14" spans="1:20" s="8" customFormat="1">
      <c r="B14" s="272" t="s">
        <v>1656</v>
      </c>
      <c r="C14" s="273"/>
      <c r="D14" s="272" t="s">
        <v>1653</v>
      </c>
      <c r="E14" s="275"/>
      <c r="F14" s="2954" t="s">
        <v>456</v>
      </c>
      <c r="G14" s="2954"/>
      <c r="H14" s="274"/>
      <c r="I14" s="2955">
        <v>19</v>
      </c>
      <c r="J14" s="2955">
        <v>26</v>
      </c>
      <c r="K14" s="2955">
        <v>34</v>
      </c>
      <c r="L14" s="2956">
        <v>41</v>
      </c>
      <c r="M14" s="2956">
        <v>52</v>
      </c>
      <c r="O14" s="1657"/>
      <c r="P14" s="1657"/>
    </row>
    <row r="15" spans="1:20" s="8" customFormat="1">
      <c r="B15" s="272" t="s">
        <v>1420</v>
      </c>
      <c r="C15" s="273"/>
      <c r="D15" s="848" t="s">
        <v>3726</v>
      </c>
      <c r="E15" s="2959" t="s">
        <v>3152</v>
      </c>
      <c r="F15" s="2954" t="s">
        <v>456</v>
      </c>
      <c r="G15" s="2954"/>
      <c r="H15" s="274"/>
      <c r="I15" s="2955">
        <v>28</v>
      </c>
      <c r="J15" s="2955">
        <v>37</v>
      </c>
      <c r="K15" s="2955">
        <v>44</v>
      </c>
      <c r="L15" s="2956">
        <v>59</v>
      </c>
      <c r="M15" s="2956">
        <v>73</v>
      </c>
      <c r="O15" s="1657"/>
      <c r="P15" s="1657"/>
    </row>
    <row r="16" spans="1:20" s="8" customFormat="1">
      <c r="B16" s="276" t="s">
        <v>1921</v>
      </c>
      <c r="C16" s="277"/>
      <c r="D16" s="276"/>
      <c r="E16" s="243"/>
      <c r="F16" s="2960"/>
      <c r="G16" s="2960" t="s">
        <v>456</v>
      </c>
      <c r="H16" s="278"/>
      <c r="I16" s="2961"/>
      <c r="J16" s="2961"/>
      <c r="K16" s="2961"/>
      <c r="L16" s="2962"/>
      <c r="M16" s="2962"/>
      <c r="O16" s="1657"/>
      <c r="P16" s="1657"/>
    </row>
    <row r="17" spans="1:19" s="8" customFormat="1">
      <c r="B17" s="266" t="s">
        <v>1057</v>
      </c>
      <c r="D17" s="28"/>
      <c r="E17" s="28"/>
      <c r="F17" s="85"/>
      <c r="G17" s="85"/>
      <c r="I17" s="1412">
        <f>IF(SUM(I10:I16)=0,0,IF(OR($D10="&lt;&lt;Select Fuel &gt;&gt;",$D12="&lt;&lt;Select Fuel &gt;&gt;",$D13="&lt;&lt;Select Fuel &gt;&gt;"),"Select Fuel",IF($E15="&lt;Select&gt;","Submeter?",SUM(I10:I16))))</f>
        <v>101</v>
      </c>
      <c r="J17" s="1412">
        <f>IF(SUM(J10:J16)=0,0,IF(OR($D10="&lt;&lt;Select Fuel &gt;&gt;",$D12="&lt;&lt;Select Fuel &gt;&gt;",$D13="&lt;&lt;Select Fuel &gt;&gt;"),"Select Fuel",IF($E15="&lt;Select&gt;","Submeter?",SUM(J10:J16))))</f>
        <v>136</v>
      </c>
      <c r="K17" s="1412">
        <f>IF(SUM(K10:K16)=0,0,IF(OR($D10="&lt;&lt;Select Fuel &gt;&gt;",$D12="&lt;&lt;Select Fuel &gt;&gt;",$D13="&lt;&lt;Select Fuel &gt;&gt;"),"Select Fuel",IF($E15="&lt;Select&gt;","Submeter?",SUM(K10:K16))))</f>
        <v>172</v>
      </c>
      <c r="L17" s="1412">
        <f>IF(SUM(L10:L16)=0,0,IF(OR($D10="&lt;&lt;Select Fuel &gt;&gt;",$D12="&lt;&lt;Select Fuel &gt;&gt;",$D13="&lt;&lt;Select Fuel &gt;&gt;"),"Select Fuel",IF($E15="&lt;Select&gt;","Submeter?",SUM(L10:L16))))</f>
        <v>217</v>
      </c>
      <c r="M17" s="1412">
        <f>IF(SUM(M10:M16)=0,0,IF(OR($D10="&lt;&lt;Select Fuel &gt;&gt;",$D12="&lt;&lt;Select Fuel &gt;&gt;",$D13="&lt;&lt;Select Fuel &gt;&gt;"),"Select Fuel",IF($E15="&lt;Select&gt;","Submeter?",SUM(M10:M16))))</f>
        <v>273</v>
      </c>
    </row>
    <row r="18" spans="1:19" s="8" customFormat="1">
      <c r="B18" s="484" t="s">
        <v>3727</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9"/>
      <c r="J20" s="2945"/>
      <c r="K20" s="2945"/>
      <c r="L20" s="2945"/>
      <c r="M20" s="2946"/>
    </row>
    <row r="21" spans="1:19" s="8" customFormat="1" ht="13.15" customHeight="1">
      <c r="A21" s="14"/>
      <c r="B21" s="14"/>
      <c r="F21" s="8" t="s">
        <v>660</v>
      </c>
      <c r="H21" s="28"/>
      <c r="I21" s="2947"/>
      <c r="J21" s="2948"/>
      <c r="K21" s="65" t="s">
        <v>559</v>
      </c>
      <c r="L21" s="2949"/>
      <c r="M21" s="2946"/>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50" t="s">
        <v>1888</v>
      </c>
      <c r="E25" s="2951"/>
      <c r="F25" s="2952"/>
      <c r="G25" s="2952"/>
      <c r="H25" s="271"/>
      <c r="I25" s="2953"/>
      <c r="J25" s="2953"/>
      <c r="K25" s="2953"/>
      <c r="L25" s="2953"/>
      <c r="M25" s="2953"/>
      <c r="O25" s="1657" t="s">
        <v>4152</v>
      </c>
      <c r="P25" s="1657"/>
    </row>
    <row r="26" spans="1:19" s="8" customFormat="1">
      <c r="B26" s="272" t="s">
        <v>484</v>
      </c>
      <c r="C26" s="273"/>
      <c r="D26" s="272" t="s">
        <v>1653</v>
      </c>
      <c r="E26" s="273"/>
      <c r="F26" s="2954"/>
      <c r="G26" s="2954"/>
      <c r="H26" s="274"/>
      <c r="I26" s="2955"/>
      <c r="J26" s="2955"/>
      <c r="K26" s="2955"/>
      <c r="L26" s="2956"/>
      <c r="M26" s="2956"/>
      <c r="O26" s="1657"/>
      <c r="P26" s="1657"/>
    </row>
    <row r="27" spans="1:19" s="8" customFormat="1">
      <c r="B27" s="272" t="s">
        <v>1654</v>
      </c>
      <c r="C27" s="273"/>
      <c r="D27" s="2957" t="s">
        <v>1888</v>
      </c>
      <c r="E27" s="2958"/>
      <c r="F27" s="2954"/>
      <c r="G27" s="2954"/>
      <c r="H27" s="274"/>
      <c r="I27" s="2955"/>
      <c r="J27" s="2955"/>
      <c r="K27" s="2955"/>
      <c r="L27" s="2956"/>
      <c r="M27" s="2956"/>
      <c r="O27" s="1657"/>
      <c r="P27" s="1657"/>
    </row>
    <row r="28" spans="1:19" s="8" customFormat="1">
      <c r="B28" s="272" t="s">
        <v>1655</v>
      </c>
      <c r="C28" s="273"/>
      <c r="D28" s="2957" t="s">
        <v>1888</v>
      </c>
      <c r="E28" s="2958"/>
      <c r="F28" s="2954"/>
      <c r="G28" s="2954"/>
      <c r="H28" s="274"/>
      <c r="I28" s="2955"/>
      <c r="J28" s="2955"/>
      <c r="K28" s="2955"/>
      <c r="L28" s="2956"/>
      <c r="M28" s="2956"/>
      <c r="O28" s="1657"/>
      <c r="P28" s="1657"/>
    </row>
    <row r="29" spans="1:19" s="8" customFormat="1">
      <c r="B29" s="272" t="s">
        <v>1656</v>
      </c>
      <c r="C29" s="273"/>
      <c r="D29" s="272" t="s">
        <v>1653</v>
      </c>
      <c r="E29" s="275"/>
      <c r="F29" s="2954"/>
      <c r="G29" s="2954"/>
      <c r="H29" s="274"/>
      <c r="I29" s="2955"/>
      <c r="J29" s="2955"/>
      <c r="K29" s="2955"/>
      <c r="L29" s="2956"/>
      <c r="M29" s="2956"/>
      <c r="O29" s="1657"/>
      <c r="P29" s="1657"/>
    </row>
    <row r="30" spans="1:19" s="8" customFormat="1">
      <c r="B30" s="272" t="s">
        <v>1420</v>
      </c>
      <c r="C30" s="273"/>
      <c r="D30" s="848" t="s">
        <v>3726</v>
      </c>
      <c r="E30" s="2959" t="s">
        <v>207</v>
      </c>
      <c r="F30" s="2954"/>
      <c r="G30" s="2954"/>
      <c r="H30" s="274"/>
      <c r="I30" s="2955"/>
      <c r="J30" s="2955"/>
      <c r="K30" s="2955"/>
      <c r="L30" s="2956"/>
      <c r="M30" s="2956"/>
      <c r="O30" s="1657"/>
      <c r="P30" s="1657"/>
    </row>
    <row r="31" spans="1:19" s="8" customFormat="1">
      <c r="B31" s="276" t="s">
        <v>1921</v>
      </c>
      <c r="C31" s="277"/>
      <c r="D31" s="276"/>
      <c r="E31" s="243"/>
      <c r="F31" s="2960"/>
      <c r="G31" s="2960"/>
      <c r="H31" s="278"/>
      <c r="I31" s="2961"/>
      <c r="J31" s="2961"/>
      <c r="K31" s="2961"/>
      <c r="L31" s="2962"/>
      <c r="M31" s="2962"/>
      <c r="O31" s="1657"/>
      <c r="P31" s="1657"/>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3727</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t="s">
        <v>4402</v>
      </c>
      <c r="C38" s="2964"/>
      <c r="D38" s="2964"/>
      <c r="E38" s="2964"/>
      <c r="F38" s="2964"/>
      <c r="G38" s="2964"/>
      <c r="H38" s="2964"/>
      <c r="I38" s="2964"/>
      <c r="J38" s="2964"/>
      <c r="K38" s="2964"/>
      <c r="L38" s="2964"/>
      <c r="M38" s="2965"/>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6"/>
      <c r="C41" s="2967"/>
      <c r="D41" s="2967"/>
      <c r="E41" s="2967"/>
      <c r="F41" s="2967"/>
      <c r="G41" s="2967"/>
      <c r="H41" s="2967"/>
      <c r="I41" s="2967"/>
      <c r="J41" s="2967"/>
      <c r="K41" s="2967"/>
      <c r="L41" s="2967"/>
      <c r="M41" s="2968"/>
      <c r="N41" s="28"/>
      <c r="O41" s="1444"/>
      <c r="P41" s="1444"/>
      <c r="Q41" s="1444"/>
      <c r="R41" s="1444"/>
      <c r="S41" s="1444"/>
    </row>
  </sheetData>
  <sheetProtection algorithmName="SHA-512" hashValue="dtx045TdpiPWr+WRoHUbQFt5OxwKDR5ZIMRuN58Gtq+5FUqiMD7Kd8ZMsm4rTYlESAWLLplhLf33b+cmmQy44w==" saltValue="YB1Kyy0RF3GZWnmR9jGzsA=="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3" priority="12" operator="equal">
      <formula>"""&lt;&lt;Select Fuel &gt;&gt;"""</formula>
    </cfRule>
  </conditionalFormatting>
  <conditionalFormatting sqref="I17:M17">
    <cfRule type="cellIs" dxfId="62" priority="10" operator="equal">
      <formula>"Select Fuel"</formula>
    </cfRule>
    <cfRule type="cellIs" dxfId="61" priority="11" operator="equal">
      <formula>"&lt;&lt;Select Fuel &gt;&gt;"</formula>
    </cfRule>
  </conditionalFormatting>
  <conditionalFormatting sqref="J17:M17">
    <cfRule type="cellIs" dxfId="60" priority="9" operator="equal">
      <formula>"Select Fuel"</formula>
    </cfRule>
  </conditionalFormatting>
  <conditionalFormatting sqref="I32:M32">
    <cfRule type="cellIs" dxfId="59" priority="4" operator="equal">
      <formula>"""&lt;&lt;Select Fuel &gt;&gt;"""</formula>
    </cfRule>
  </conditionalFormatting>
  <conditionalFormatting sqref="I32:M32">
    <cfRule type="cellIs" dxfId="58" priority="2" operator="equal">
      <formula>"Select Fuel"</formula>
    </cfRule>
    <cfRule type="cellIs" dxfId="57" priority="3" operator="equal">
      <formula>"&lt;&lt;Select Fuel &gt;&gt;"</formula>
    </cfRule>
  </conditionalFormatting>
  <conditionalFormatting sqref="J32:M32">
    <cfRule type="cellIs" dxfId="56"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2016-05-24T15:08:40Z</cp:lastPrinted>
  <dcterms:created xsi:type="dcterms:W3CDTF">2005-09-15T20:51:37Z</dcterms:created>
  <dcterms:modified xsi:type="dcterms:W3CDTF">2016-07-28T22:41:02Z</dcterms:modified>
</cp:coreProperties>
</file>