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3150" yWindow="3405" windowWidth="20850" windowHeight="6405"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L15" i="29" l="1"/>
  <c r="K15" i="29"/>
  <c r="J15" i="29"/>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l="1"/>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EY754" i="61" l="1"/>
  <c r="CU753"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C977" i="61" l="1"/>
  <c r="E977" i="61"/>
  <c r="O850" i="61"/>
  <c r="O823" i="61"/>
  <c r="O813" i="61"/>
  <c r="O848" i="61"/>
  <c r="O801" i="61"/>
  <c r="O847" i="61"/>
  <c r="O853" i="61"/>
  <c r="O849" i="61"/>
  <c r="O817" i="61"/>
  <c r="O829" i="61"/>
  <c r="O820" i="61"/>
  <c r="O805" i="61"/>
  <c r="J923" i="61" s="1"/>
  <c r="O862" i="61"/>
  <c r="O803" i="61"/>
  <c r="O827" i="61"/>
  <c r="O930" i="61" s="1"/>
  <c r="O854" i="61"/>
  <c r="O809" i="61"/>
  <c r="O858" i="61"/>
  <c r="O860" i="61"/>
  <c r="H954" i="61"/>
  <c r="J925" i="61" l="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F977" i="61" l="1"/>
  <c r="G977" i="61"/>
  <c r="J1743" i="61"/>
  <c r="N69" i="61"/>
  <c r="J226" i="11"/>
  <c r="L1835" i="61"/>
  <c r="P69"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N60" i="59" s="1"/>
  <c r="N62" i="59" s="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H977" i="61" l="1"/>
  <c r="I977"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E529" i="61" l="1"/>
  <c r="I1819" i="61"/>
  <c r="I302" i="1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J977" i="61" l="1"/>
  <c r="K977" i="61"/>
  <c r="P302" i="1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P378" i="11" s="1"/>
  <c r="J165" i="11" s="1"/>
  <c r="J1682" i="61" s="1"/>
  <c r="H388" i="11"/>
  <c r="C1007" i="61" l="1"/>
  <c r="D1007" i="61"/>
  <c r="O378" i="11"/>
  <c r="O1895" i="61" s="1"/>
  <c r="P1895" i="61"/>
  <c r="G984" i="61"/>
  <c r="L356" i="11"/>
  <c r="L355" i="11"/>
  <c r="I165" i="11" l="1"/>
  <c r="E1007" i="61"/>
  <c r="H984" i="61"/>
  <c r="L341" i="11"/>
  <c r="I1682" i="61" l="1"/>
  <c r="O165" i="11"/>
  <c r="I984" i="61"/>
  <c r="P1819" i="61"/>
  <c r="F1007" i="61" l="1"/>
  <c r="H1007" i="61"/>
  <c r="J984" i="61"/>
  <c r="D245" i="11"/>
  <c r="L245" i="11"/>
  <c r="G1007" i="61" l="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I1007" i="61" l="1"/>
  <c r="J1007" i="61"/>
  <c r="C1014" i="61"/>
  <c r="P195" i="11"/>
  <c r="P1712" i="61" s="1"/>
  <c r="O195" i="11"/>
  <c r="O1712" i="61" s="1"/>
  <c r="S162" i="11"/>
  <c r="S163" i="11"/>
  <c r="S164" i="11"/>
  <c r="S165" i="11"/>
  <c r="S166" i="11"/>
  <c r="K1007" i="61" l="1"/>
  <c r="R165" i="11"/>
  <c r="O1682" i="61"/>
  <c r="R1682" i="61" s="1"/>
  <c r="D1014" i="61"/>
  <c r="P122" i="11"/>
  <c r="P1639" i="61" s="1"/>
  <c r="O122" i="11"/>
  <c r="O1639" i="61" s="1"/>
  <c r="Q117" i="11"/>
  <c r="E1014" i="61" l="1"/>
  <c r="L253" i="11"/>
  <c r="L251" i="11"/>
  <c r="B1037" i="61" l="1"/>
  <c r="C1037" i="61"/>
  <c r="F1014" i="61"/>
  <c r="D1037" i="61"/>
  <c r="L347" i="11"/>
  <c r="G1014" i="61" l="1"/>
  <c r="F230" i="11"/>
  <c r="F229" i="11"/>
  <c r="F226" i="11"/>
  <c r="G230" i="11"/>
  <c r="G229" i="11"/>
  <c r="G226" i="11"/>
  <c r="G225" i="11"/>
  <c r="C230" i="11"/>
  <c r="C229" i="11"/>
  <c r="C226" i="11"/>
  <c r="C225" i="11"/>
  <c r="E1037" i="61" l="1"/>
  <c r="H1014" i="61"/>
  <c r="J174" i="11"/>
  <c r="F1037" i="61" l="1"/>
  <c r="I1014" i="61"/>
  <c r="J1014" i="61" l="1"/>
  <c r="H1037" i="61" l="1"/>
  <c r="G1037" i="61"/>
  <c r="K1014" i="61"/>
  <c r="B1044" i="61" l="1"/>
  <c r="O164" i="15"/>
  <c r="A2" i="41"/>
  <c r="M387" i="11"/>
  <c r="I1037" i="61" l="1"/>
  <c r="J1037" i="6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C11" i="53"/>
  <c r="C10" i="53"/>
  <c r="C9" i="53"/>
  <c r="C8" i="53"/>
  <c r="C7" i="53"/>
  <c r="G11" i="53"/>
  <c r="G10" i="53"/>
  <c r="G9" i="53"/>
  <c r="G8" i="53"/>
  <c r="G7" i="53"/>
  <c r="C144" i="55" l="1"/>
  <c r="E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F1067" i="61" l="1"/>
  <c r="C35" i="57"/>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I163" i="11"/>
  <c r="O163" i="11" s="1"/>
  <c r="P1560" i="61"/>
  <c r="J162" i="11"/>
  <c r="J1679" i="61" s="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6"/>
  <c r="A1" i="15"/>
  <c r="A1" i="8"/>
  <c r="A1" i="3"/>
  <c r="A1" i="59"/>
  <c r="U1" i="59" s="1"/>
  <c r="A1" i="18"/>
  <c r="A1" i="29"/>
  <c r="A1" i="7"/>
  <c r="M1907" i="61"/>
  <c r="G1762" i="61"/>
  <c r="J54" i="61"/>
  <c r="I697" i="61"/>
  <c r="M1905" i="61"/>
  <c r="A364" i="61"/>
  <c r="A1965"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M1908" i="61"/>
  <c r="K55" i="61"/>
  <c r="P1792" i="61"/>
  <c r="J164" i="11"/>
  <c r="J1681" i="61" s="1"/>
  <c r="O1792" i="61"/>
  <c r="R1792" i="61" s="1"/>
  <c r="I164" i="11"/>
  <c r="O164" i="11" s="1"/>
  <c r="L222" i="11"/>
  <c r="H15" i="50"/>
  <c r="F18" i="49" s="1"/>
  <c r="I1681" i="6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B1065" i="61"/>
  <c r="B124" i="8"/>
  <c r="F1065" i="61"/>
  <c r="F124" i="8"/>
  <c r="C1065" i="61"/>
  <c r="C124" i="8"/>
  <c r="D1065" i="61"/>
  <c r="D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D1005" i="61" l="1"/>
  <c r="D64" i="8"/>
  <c r="C975" i="61"/>
  <c r="C34" i="8"/>
  <c r="K975" i="61"/>
  <c r="K34" i="8"/>
  <c r="E1005" i="61"/>
  <c r="E64" i="8"/>
  <c r="G1035" i="61"/>
  <c r="G94" i="8"/>
  <c r="D975" i="61"/>
  <c r="D34" i="8"/>
  <c r="F1005" i="61"/>
  <c r="F64" i="8"/>
  <c r="H1035" i="61"/>
  <c r="H94" i="8"/>
  <c r="E975" i="61"/>
  <c r="E34" i="8"/>
  <c r="G1005" i="61"/>
  <c r="G64" i="8"/>
  <c r="I1035" i="61"/>
  <c r="I94" i="8"/>
  <c r="H1005" i="61"/>
  <c r="H64" i="8"/>
  <c r="B1035" i="61"/>
  <c r="B94" i="8"/>
  <c r="J1035" i="61"/>
  <c r="J94" i="8"/>
  <c r="F975" i="61"/>
  <c r="F34" i="8"/>
  <c r="G975" i="61"/>
  <c r="G34" i="8"/>
  <c r="I1005" i="61"/>
  <c r="I64" i="8"/>
  <c r="C1035" i="61"/>
  <c r="C94" i="8"/>
  <c r="K1035" i="61"/>
  <c r="K94" i="8"/>
  <c r="H975" i="61"/>
  <c r="H34" i="8"/>
  <c r="B1005" i="61"/>
  <c r="B64" i="8"/>
  <c r="J1005" i="61"/>
  <c r="J64" i="8"/>
  <c r="D1035" i="61"/>
  <c r="D94" i="8"/>
  <c r="I975" i="61"/>
  <c r="I34" i="8"/>
  <c r="C1005" i="61"/>
  <c r="C64" i="8"/>
  <c r="K1005" i="61"/>
  <c r="K64" i="8"/>
  <c r="E1035" i="61"/>
  <c r="E94" i="8"/>
  <c r="J975" i="61"/>
  <c r="J34" i="8"/>
  <c r="F1035" i="61"/>
  <c r="F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116" i="15"/>
  <c r="F113" i="15"/>
  <c r="F114" i="15"/>
  <c r="F115" i="15"/>
  <c r="C41" i="8"/>
  <c r="C982" i="61" s="1"/>
  <c r="L394" i="61"/>
  <c r="L395" i="61" s="1"/>
  <c r="D39" i="8"/>
  <c r="E979" i="61"/>
  <c r="D979" i="61"/>
  <c r="F11" i="51"/>
  <c r="C979" i="61"/>
  <c r="D11" i="51"/>
  <c r="E11" i="51"/>
  <c r="F38" i="8"/>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41" i="8"/>
  <c r="E1868" i="61"/>
  <c r="D476" i="61"/>
  <c r="D47" i="15"/>
  <c r="D133" i="15"/>
  <c r="P1135" i="61"/>
  <c r="I418" i="61"/>
  <c r="I1868" i="61"/>
  <c r="I1788" i="61"/>
  <c r="P1134" i="61"/>
  <c r="M1906" i="61"/>
  <c r="O55" i="61"/>
  <c r="M749" i="61"/>
  <c r="O749" i="61"/>
  <c r="D980" i="61"/>
  <c r="E39" i="8"/>
  <c r="F979" i="61"/>
  <c r="G38" i="8"/>
  <c r="G11" i="5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F13" i="8" l="1"/>
  <c r="D982" i="61"/>
  <c r="E41" i="8"/>
  <c r="L1868" i="61"/>
  <c r="P409" i="61"/>
  <c r="P410" i="61"/>
  <c r="I419" i="61"/>
  <c r="I1789" i="61"/>
  <c r="L1789" i="61"/>
  <c r="R10" i="59"/>
  <c r="R753" i="61" s="1"/>
  <c r="R18" i="59"/>
  <c r="R761" i="61" s="1"/>
  <c r="R15" i="59"/>
  <c r="R758" i="61" s="1"/>
  <c r="R12" i="59"/>
  <c r="R755" i="61" s="1"/>
  <c r="R11" i="59"/>
  <c r="R754" i="61" s="1"/>
  <c r="R17" i="59"/>
  <c r="R760" i="61" s="1"/>
  <c r="R14" i="59"/>
  <c r="R757" i="61" s="1"/>
  <c r="R16" i="59"/>
  <c r="R759" i="61" s="1"/>
  <c r="R13" i="59"/>
  <c r="R756" i="61" s="1"/>
  <c r="E980" i="61"/>
  <c r="F39" i="8"/>
  <c r="G979" i="61"/>
  <c r="H38" i="8"/>
  <c r="H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G13" i="8" l="1"/>
  <c r="G15" i="8" s="1"/>
  <c r="E982" i="61"/>
  <c r="F41" i="8"/>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D15" i="8"/>
  <c r="C15" i="8"/>
  <c r="B16" i="8"/>
  <c r="E15" i="8"/>
  <c r="F15" i="8"/>
  <c r="F28" i="8"/>
  <c r="B20" i="8" l="1"/>
  <c r="H13" i="8"/>
  <c r="G14" i="8"/>
  <c r="G41" i="8"/>
  <c r="F982"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E20" i="8" s="1"/>
  <c r="N50" i="6"/>
  <c r="C16" i="8"/>
  <c r="C20" i="8" s="1"/>
  <c r="D16" i="8"/>
  <c r="D20" i="8" s="1"/>
  <c r="N69" i="6"/>
  <c r="F16" i="8"/>
  <c r="F2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P170" i="59" l="1"/>
  <c r="P913" i="61"/>
  <c r="G16" i="8"/>
  <c r="G20" i="8" s="1"/>
  <c r="K7" i="8"/>
  <c r="I13" i="8"/>
  <c r="H14" i="8"/>
  <c r="H15" i="8"/>
  <c r="G982" i="61"/>
  <c r="H41" i="8"/>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P919" i="61" l="1"/>
  <c r="N915" i="61"/>
  <c r="N914" i="61"/>
  <c r="N171" i="59"/>
  <c r="P176" i="59"/>
  <c r="N172" i="59"/>
  <c r="H16" i="8"/>
  <c r="H20" i="8" s="1"/>
  <c r="J13" i="8"/>
  <c r="I14" i="8"/>
  <c r="I15" i="8"/>
  <c r="H982" i="61"/>
  <c r="I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F549" i="61" l="1"/>
  <c r="F550" i="61"/>
  <c r="P190" i="59"/>
  <c r="F120" i="15"/>
  <c r="B19" i="8"/>
  <c r="J19" i="8" s="1"/>
  <c r="N177" i="59"/>
  <c r="F121" i="15"/>
  <c r="P933" i="61"/>
  <c r="N920" i="61"/>
  <c r="I16" i="8"/>
  <c r="I20" i="8" s="1"/>
  <c r="K13" i="8"/>
  <c r="J14" i="8"/>
  <c r="J15" i="8"/>
  <c r="J41" i="8"/>
  <c r="I982" i="61"/>
  <c r="J980" i="61"/>
  <c r="K39" i="8"/>
  <c r="B1009" i="61"/>
  <c r="C68" i="8"/>
  <c r="F31" i="51"/>
  <c r="L39" i="11"/>
  <c r="P37" i="11" s="1"/>
  <c r="P29" i="11" s="1"/>
  <c r="P408" i="11" s="1"/>
  <c r="K39" i="11"/>
  <c r="O37" i="11" s="1"/>
  <c r="P161" i="11"/>
  <c r="P1678" i="61" s="1"/>
  <c r="O161" i="11"/>
  <c r="O129" i="11" s="1"/>
  <c r="L342" i="11"/>
  <c r="L1859" i="61" s="1"/>
  <c r="G21" i="8"/>
  <c r="B22" i="8"/>
  <c r="B35" i="8" s="1"/>
  <c r="E21" i="8"/>
  <c r="J161" i="15"/>
  <c r="J162" i="15" s="1"/>
  <c r="J591" i="61" s="1"/>
  <c r="P49" i="6"/>
  <c r="H21" i="8"/>
  <c r="I21" i="8"/>
  <c r="C21" i="8"/>
  <c r="D21" i="8"/>
  <c r="J21" i="8"/>
  <c r="F21" i="8"/>
  <c r="E76" i="50"/>
  <c r="E73" i="50" s="1"/>
  <c r="I76" i="50"/>
  <c r="I73" i="50" s="1"/>
  <c r="K76" i="50"/>
  <c r="K73" i="50" s="1"/>
  <c r="G76" i="50"/>
  <c r="G73" i="50" s="1"/>
  <c r="J28" i="8"/>
  <c r="F19" i="8" l="1"/>
  <c r="F36" i="8" s="1"/>
  <c r="D19" i="8"/>
  <c r="C19" i="8"/>
  <c r="G19" i="8"/>
  <c r="G36" i="8" s="1"/>
  <c r="E19" i="8"/>
  <c r="E36" i="8" s="1"/>
  <c r="H19" i="8"/>
  <c r="B36" i="8"/>
  <c r="I19" i="8"/>
  <c r="I36" i="8" s="1"/>
  <c r="D36" i="8"/>
  <c r="C36" i="8"/>
  <c r="B977" i="61"/>
  <c r="H36" i="8"/>
  <c r="K21" i="8"/>
  <c r="J16" i="8"/>
  <c r="B43" i="8"/>
  <c r="K14" i="8"/>
  <c r="K19" i="8"/>
  <c r="K15" i="8"/>
  <c r="J982" i="61"/>
  <c r="K41" i="8"/>
  <c r="B69" i="8"/>
  <c r="K980" i="61"/>
  <c r="C1009" i="61"/>
  <c r="D68" i="8"/>
  <c r="G31" i="51"/>
  <c r="P1546" i="61"/>
  <c r="P1925" i="61" s="1"/>
  <c r="P1929" i="61" s="1"/>
  <c r="P412" i="11"/>
  <c r="P1924" i="61"/>
  <c r="P6" i="11"/>
  <c r="O1678" i="61"/>
  <c r="G590" i="61"/>
  <c r="J593" i="61"/>
  <c r="J595" i="61" s="1"/>
  <c r="J597" i="61" s="1"/>
  <c r="J599" i="61" s="1"/>
  <c r="M601" i="61" s="1"/>
  <c r="E22" i="8"/>
  <c r="H22" i="8"/>
  <c r="J164" i="15"/>
  <c r="J166" i="15" s="1"/>
  <c r="J168" i="15" s="1"/>
  <c r="J170" i="15" s="1"/>
  <c r="G161" i="15"/>
  <c r="I22" i="8"/>
  <c r="C22" i="8"/>
  <c r="D22" i="8"/>
  <c r="K28" i="8"/>
  <c r="F22" i="8" l="1"/>
  <c r="G22" i="8"/>
  <c r="B972" i="61"/>
  <c r="B976" i="61"/>
  <c r="J20" i="8"/>
  <c r="J22" i="8" s="1"/>
  <c r="K16" i="8"/>
  <c r="C43" i="8"/>
  <c r="B44" i="8"/>
  <c r="B49" i="8"/>
  <c r="B45" i="8"/>
  <c r="B51" i="8"/>
  <c r="M172" i="15"/>
  <c r="J174" i="15"/>
  <c r="K982" i="61"/>
  <c r="B71" i="8"/>
  <c r="B1010" i="61"/>
  <c r="C69" i="8"/>
  <c r="D1009" i="61"/>
  <c r="E68" i="8"/>
  <c r="H31" i="51"/>
  <c r="P1523" i="61"/>
  <c r="L343" i="11"/>
  <c r="L1860" i="61" s="1"/>
  <c r="O1646" i="61"/>
  <c r="B58" i="8"/>
  <c r="J36" i="8" l="1"/>
  <c r="K20" i="8"/>
  <c r="K22" i="8" s="1"/>
  <c r="D43" i="8"/>
  <c r="C44" i="8"/>
  <c r="C45" i="8"/>
  <c r="C49" i="8"/>
  <c r="C51" i="8"/>
  <c r="K36" i="8"/>
  <c r="B46" i="8"/>
  <c r="J7" i="7"/>
  <c r="J32" i="61" s="1"/>
  <c r="L409" i="61"/>
  <c r="N409" i="61" s="1"/>
  <c r="E99" i="15"/>
  <c r="M61" i="49"/>
  <c r="P61" i="49" s="1"/>
  <c r="L408" i="61"/>
  <c r="N408" i="61" s="1"/>
  <c r="J603" i="61"/>
  <c r="E528" i="61" s="1"/>
  <c r="C21" i="51"/>
  <c r="L46" i="3"/>
  <c r="N46" i="3" s="1"/>
  <c r="L45" i="3"/>
  <c r="N45" i="3" s="1"/>
  <c r="C71" i="8"/>
  <c r="B1012" i="61"/>
  <c r="C1010" i="61"/>
  <c r="D69" i="8"/>
  <c r="E1009" i="61"/>
  <c r="F68" i="8"/>
  <c r="I31" i="51"/>
  <c r="C58" i="8"/>
  <c r="C50" i="8" l="1"/>
  <c r="B50" i="8"/>
  <c r="B66" i="8" s="1"/>
  <c r="C46" i="8"/>
  <c r="E43" i="8"/>
  <c r="D44" i="8"/>
  <c r="D45" i="8"/>
  <c r="D49" i="8"/>
  <c r="D51" i="8"/>
  <c r="C41" i="51"/>
  <c r="D41" i="51" s="1"/>
  <c r="E41" i="51" s="1"/>
  <c r="D21" i="51"/>
  <c r="C22" i="51"/>
  <c r="C42" i="51" s="1"/>
  <c r="D42" i="51" s="1"/>
  <c r="E42" i="51" s="1"/>
  <c r="C1012" i="61"/>
  <c r="D71" i="8"/>
  <c r="D1010" i="61"/>
  <c r="E69" i="8"/>
  <c r="F1009" i="61"/>
  <c r="G68" i="8"/>
  <c r="C51" i="51"/>
  <c r="D58" i="8"/>
  <c r="B52" i="8" l="1"/>
  <c r="C66" i="8"/>
  <c r="D46" i="8"/>
  <c r="D50" i="8" s="1"/>
  <c r="D66" i="8" s="1"/>
  <c r="F43" i="8"/>
  <c r="E44" i="8"/>
  <c r="E49" i="8"/>
  <c r="E45" i="8"/>
  <c r="E51" i="8"/>
  <c r="C52" i="8"/>
  <c r="E21" i="51"/>
  <c r="D22" i="51"/>
  <c r="D1012" i="61"/>
  <c r="E71" i="8"/>
  <c r="E1010" i="61"/>
  <c r="F69" i="8"/>
  <c r="G1009" i="61"/>
  <c r="H68" i="8"/>
  <c r="D51" i="51"/>
  <c r="E58" i="8"/>
  <c r="D52" i="8" l="1"/>
  <c r="E46" i="8"/>
  <c r="G43" i="8"/>
  <c r="F44" i="8"/>
  <c r="F45" i="8"/>
  <c r="F49" i="8"/>
  <c r="F51" i="8"/>
  <c r="F21" i="51"/>
  <c r="E22" i="51"/>
  <c r="E1012" i="61"/>
  <c r="F71" i="8"/>
  <c r="G69" i="8"/>
  <c r="F1010" i="61"/>
  <c r="H1009" i="61"/>
  <c r="I68" i="8"/>
  <c r="E51" i="51"/>
  <c r="F58" i="8"/>
  <c r="E66" i="8" l="1"/>
  <c r="E50" i="8"/>
  <c r="E52" i="8" s="1"/>
  <c r="F46" i="8"/>
  <c r="F50" i="8" s="1"/>
  <c r="H43" i="8"/>
  <c r="G44" i="8"/>
  <c r="G49" i="8"/>
  <c r="G45" i="8"/>
  <c r="G51" i="8"/>
  <c r="F22" i="51"/>
  <c r="G21" i="51"/>
  <c r="F1012" i="61"/>
  <c r="G71" i="8"/>
  <c r="H69" i="8"/>
  <c r="G1010" i="61"/>
  <c r="I1009" i="61"/>
  <c r="J68" i="8"/>
  <c r="F51" i="51"/>
  <c r="G58" i="8"/>
  <c r="F66" i="8" l="1"/>
  <c r="G46" i="8"/>
  <c r="G50" i="8" s="1"/>
  <c r="G66" i="8" s="1"/>
  <c r="I43" i="8"/>
  <c r="H44" i="8"/>
  <c r="H45" i="8"/>
  <c r="H49" i="8"/>
  <c r="H51" i="8"/>
  <c r="F52" i="8"/>
  <c r="H21" i="51"/>
  <c r="G22" i="51"/>
  <c r="G1012" i="61"/>
  <c r="H71" i="8"/>
  <c r="I69" i="8"/>
  <c r="H1010" i="61"/>
  <c r="J1009" i="61"/>
  <c r="K68" i="8"/>
  <c r="G51" i="51"/>
  <c r="H58" i="8"/>
  <c r="G52" i="8" l="1"/>
  <c r="H46" i="8"/>
  <c r="H50" i="8" s="1"/>
  <c r="J43" i="8"/>
  <c r="I44" i="8"/>
  <c r="I49" i="8"/>
  <c r="I45" i="8"/>
  <c r="I51" i="8"/>
  <c r="I21" i="51"/>
  <c r="I22" i="51" s="1"/>
  <c r="H22" i="51"/>
  <c r="H1012" i="61"/>
  <c r="I71" i="8"/>
  <c r="I1010" i="61"/>
  <c r="J69" i="8"/>
  <c r="K1009" i="61"/>
  <c r="B98" i="8"/>
  <c r="H51" i="51"/>
  <c r="I58" i="8"/>
  <c r="H66" i="8" l="1"/>
  <c r="H52" i="8"/>
  <c r="K43" i="8"/>
  <c r="J44" i="8"/>
  <c r="J49" i="8"/>
  <c r="J45" i="8"/>
  <c r="J51" i="8"/>
  <c r="I46" i="8"/>
  <c r="I1012" i="61"/>
  <c r="J71" i="8"/>
  <c r="J1010" i="61"/>
  <c r="K69" i="8"/>
  <c r="B1039" i="61"/>
  <c r="C98" i="8"/>
  <c r="J58" i="8"/>
  <c r="J50" i="8" l="1"/>
  <c r="J52" i="8" s="1"/>
  <c r="I50" i="8"/>
  <c r="I66" i="8" s="1"/>
  <c r="J46" i="8"/>
  <c r="B73" i="8"/>
  <c r="K44" i="8"/>
  <c r="K45" i="8"/>
  <c r="K49" i="8"/>
  <c r="K51" i="8"/>
  <c r="J1012" i="61"/>
  <c r="K71" i="8"/>
  <c r="K1010" i="61"/>
  <c r="B99" i="8"/>
  <c r="C1039" i="61"/>
  <c r="D98" i="8"/>
  <c r="K58" i="8"/>
  <c r="I52" i="8" l="1"/>
  <c r="J66" i="8"/>
  <c r="C73" i="8"/>
  <c r="B74" i="8"/>
  <c r="B75" i="8"/>
  <c r="B79" i="8"/>
  <c r="B81" i="8"/>
  <c r="E54" i="51"/>
  <c r="H54" i="51"/>
  <c r="D54" i="51"/>
  <c r="C54" i="51"/>
  <c r="F54" i="51"/>
  <c r="G54" i="51"/>
  <c r="K46" i="8"/>
  <c r="K50" i="8" s="1"/>
  <c r="K1012" i="61"/>
  <c r="B101" i="8"/>
  <c r="B1040" i="61"/>
  <c r="C99" i="8"/>
  <c r="D1039" i="61"/>
  <c r="E98" i="8"/>
  <c r="B88" i="8"/>
  <c r="B80" i="8" l="1"/>
  <c r="K66" i="8"/>
  <c r="K52" i="8"/>
  <c r="B76" i="8"/>
  <c r="D73" i="8"/>
  <c r="C74" i="8"/>
  <c r="C79" i="8"/>
  <c r="C75" i="8"/>
  <c r="C81" i="8"/>
  <c r="B1042" i="61"/>
  <c r="C101" i="8"/>
  <c r="C1040" i="61"/>
  <c r="D99" i="8"/>
  <c r="E1039" i="61"/>
  <c r="F98" i="8"/>
  <c r="C88" i="8"/>
  <c r="B82" i="8" l="1"/>
  <c r="C76" i="8"/>
  <c r="E73" i="8"/>
  <c r="D74" i="8"/>
  <c r="D79" i="8"/>
  <c r="D75" i="8"/>
  <c r="D81" i="8"/>
  <c r="B96" i="8"/>
  <c r="C1042" i="61"/>
  <c r="D101" i="8"/>
  <c r="D1040" i="61"/>
  <c r="E99" i="8"/>
  <c r="F1039" i="61"/>
  <c r="G98" i="8"/>
  <c r="D88" i="8"/>
  <c r="D80" i="8" l="1"/>
  <c r="D96" i="8" s="1"/>
  <c r="C80" i="8"/>
  <c r="C82" i="8" s="1"/>
  <c r="D76" i="8"/>
  <c r="F73" i="8"/>
  <c r="E74" i="8"/>
  <c r="E75" i="8"/>
  <c r="E79" i="8"/>
  <c r="E81" i="8"/>
  <c r="D1042" i="61"/>
  <c r="E101" i="8"/>
  <c r="E1040" i="61"/>
  <c r="F99" i="8"/>
  <c r="G1039" i="61"/>
  <c r="H98" i="8"/>
  <c r="E88" i="8"/>
  <c r="D82" i="8" l="1"/>
  <c r="C96" i="8"/>
  <c r="E76" i="8"/>
  <c r="G73" i="8"/>
  <c r="F74" i="8"/>
  <c r="F79" i="8"/>
  <c r="F75" i="8"/>
  <c r="F81" i="8"/>
  <c r="E1042" i="61"/>
  <c r="F101" i="8"/>
  <c r="F1040" i="61"/>
  <c r="G99" i="8"/>
  <c r="H1039" i="61"/>
  <c r="I98" i="8"/>
  <c r="F88" i="8"/>
  <c r="F80" i="8" l="1"/>
  <c r="E80" i="8"/>
  <c r="E82" i="8" s="1"/>
  <c r="H73" i="8"/>
  <c r="G74" i="8"/>
  <c r="G75" i="8"/>
  <c r="G79" i="8"/>
  <c r="G81" i="8"/>
  <c r="F76" i="8"/>
  <c r="F1042" i="61"/>
  <c r="G101" i="8"/>
  <c r="G1040" i="61"/>
  <c r="H99" i="8"/>
  <c r="I1039" i="61"/>
  <c r="J98" i="8"/>
  <c r="G88" i="8"/>
  <c r="E96" i="8" l="1"/>
  <c r="F82" i="8"/>
  <c r="F96" i="8"/>
  <c r="G76" i="8"/>
  <c r="I73" i="8"/>
  <c r="H74" i="8"/>
  <c r="H75" i="8"/>
  <c r="H79" i="8"/>
  <c r="H81" i="8"/>
  <c r="G1042" i="61"/>
  <c r="H101" i="8"/>
  <c r="H1040" i="61"/>
  <c r="I99" i="8"/>
  <c r="J1039" i="61"/>
  <c r="K98" i="8"/>
  <c r="H88" i="8"/>
  <c r="H80" i="8" l="1"/>
  <c r="H96" i="8" s="1"/>
  <c r="G80" i="8"/>
  <c r="G82" i="8" s="1"/>
  <c r="H76" i="8"/>
  <c r="J73" i="8"/>
  <c r="I74" i="8"/>
  <c r="I79" i="8"/>
  <c r="I75" i="8"/>
  <c r="I81" i="8"/>
  <c r="H1042" i="61"/>
  <c r="I101" i="8"/>
  <c r="I1040" i="61"/>
  <c r="J99" i="8"/>
  <c r="K1039" i="61"/>
  <c r="B128" i="8"/>
  <c r="I88" i="8"/>
  <c r="G96" i="8" l="1"/>
  <c r="H82" i="8"/>
  <c r="I76" i="8"/>
  <c r="I80" i="8" s="1"/>
  <c r="K73" i="8"/>
  <c r="J74" i="8"/>
  <c r="J79" i="8"/>
  <c r="J75" i="8"/>
  <c r="J81" i="8"/>
  <c r="I1042" i="61"/>
  <c r="J101" i="8"/>
  <c r="J1040" i="61"/>
  <c r="K99" i="8"/>
  <c r="B1069" i="61"/>
  <c r="C128" i="8"/>
  <c r="J88" i="8"/>
  <c r="I82" i="8" l="1"/>
  <c r="J76" i="8"/>
  <c r="J80" i="8" s="1"/>
  <c r="B103" i="8"/>
  <c r="K74" i="8"/>
  <c r="K79" i="8"/>
  <c r="K75" i="8"/>
  <c r="K81" i="8"/>
  <c r="G13" i="51"/>
  <c r="I13" i="51"/>
  <c r="D53" i="51"/>
  <c r="G33" i="51"/>
  <c r="G53" i="51"/>
  <c r="D13" i="51"/>
  <c r="H13" i="51"/>
  <c r="I33" i="51"/>
  <c r="C13" i="51"/>
  <c r="E13" i="51"/>
  <c r="F14" i="51"/>
  <c r="C14" i="51"/>
  <c r="D33" i="51"/>
  <c r="E53" i="51"/>
  <c r="E14" i="51"/>
  <c r="H53" i="51"/>
  <c r="F53" i="51"/>
  <c r="C53" i="51"/>
  <c r="F34" i="51"/>
  <c r="F13" i="51"/>
  <c r="G14" i="51"/>
  <c r="C33" i="51"/>
  <c r="G34" i="51"/>
  <c r="H33" i="51"/>
  <c r="C34" i="51"/>
  <c r="E33" i="51"/>
  <c r="H14" i="51"/>
  <c r="D34" i="51"/>
  <c r="I34" i="51"/>
  <c r="I14" i="51"/>
  <c r="F33" i="51"/>
  <c r="D14" i="51"/>
  <c r="H34" i="51"/>
  <c r="E34" i="51"/>
  <c r="J96" i="8"/>
  <c r="I96" i="8"/>
  <c r="J82" i="8"/>
  <c r="J1042" i="61"/>
  <c r="K101" i="8"/>
  <c r="B129" i="8"/>
  <c r="K1040" i="61"/>
  <c r="C1069" i="61"/>
  <c r="D128" i="8"/>
  <c r="K88" i="8"/>
  <c r="K80" i="8" l="1"/>
  <c r="K76" i="8"/>
  <c r="C103" i="8"/>
  <c r="B104" i="8"/>
  <c r="B109" i="8"/>
  <c r="B105" i="8"/>
  <c r="B111" i="8"/>
  <c r="K1042" i="61"/>
  <c r="B131" i="8"/>
  <c r="B1070" i="61"/>
  <c r="C129" i="8"/>
  <c r="D1069" i="61"/>
  <c r="E128" i="8"/>
  <c r="B118" i="8"/>
  <c r="B30" i="8"/>
  <c r="C23" i="8"/>
  <c r="D23" i="8"/>
  <c r="D30" i="8" s="1"/>
  <c r="E23" i="8"/>
  <c r="F23" i="8"/>
  <c r="G23" i="8"/>
  <c r="H23" i="8"/>
  <c r="I23" i="8"/>
  <c r="J23" i="8"/>
  <c r="K23" i="8"/>
  <c r="B53" i="8"/>
  <c r="C53" i="8"/>
  <c r="D53" i="8"/>
  <c r="D60" i="8" s="1"/>
  <c r="E53" i="8"/>
  <c r="E60" i="8" s="1"/>
  <c r="F53" i="8"/>
  <c r="G53" i="8"/>
  <c r="H53" i="8"/>
  <c r="I53" i="8"/>
  <c r="J53" i="8"/>
  <c r="K53" i="8"/>
  <c r="B83" i="8"/>
  <c r="C83" i="8"/>
  <c r="D83" i="8"/>
  <c r="E83" i="8"/>
  <c r="E90" i="8" s="1"/>
  <c r="F83" i="8"/>
  <c r="G83" i="8"/>
  <c r="H83" i="8"/>
  <c r="I83" i="8"/>
  <c r="J83" i="8"/>
  <c r="K83" i="8"/>
  <c r="D90" i="8"/>
  <c r="K96" i="8" l="1"/>
  <c r="K82" i="8"/>
  <c r="K95" i="8" s="1"/>
  <c r="B106" i="8"/>
  <c r="B110" i="8" s="1"/>
  <c r="B126" i="8" s="1"/>
  <c r="D103" i="8"/>
  <c r="C104" i="8"/>
  <c r="C105" i="8"/>
  <c r="C109" i="8"/>
  <c r="C111" i="8"/>
  <c r="B1072" i="61"/>
  <c r="C131" i="8"/>
  <c r="C1070" i="61"/>
  <c r="D129" i="8"/>
  <c r="E1069" i="61"/>
  <c r="F128" i="8"/>
  <c r="F1069" i="61" s="1"/>
  <c r="I95" i="8"/>
  <c r="I91" i="8"/>
  <c r="E65" i="8"/>
  <c r="E61" i="8"/>
  <c r="H31" i="8"/>
  <c r="H35" i="8"/>
  <c r="D65" i="8"/>
  <c r="D61" i="8"/>
  <c r="G31" i="8"/>
  <c r="G3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B112" i="8" l="1"/>
  <c r="B120" i="8" s="1"/>
  <c r="K90" i="8"/>
  <c r="K91" i="8"/>
  <c r="C106" i="8"/>
  <c r="E103" i="8"/>
  <c r="D104" i="8"/>
  <c r="D105" i="8"/>
  <c r="D109" i="8"/>
  <c r="D111" i="8"/>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B121" i="8" l="1"/>
  <c r="B125" i="8"/>
  <c r="C110" i="8"/>
  <c r="C126" i="8" s="1"/>
  <c r="D106" i="8"/>
  <c r="D110" i="8" s="1"/>
  <c r="D112" i="8" s="1"/>
  <c r="F103" i="8"/>
  <c r="E104" i="8"/>
  <c r="E106" i="8" s="1"/>
  <c r="E109" i="8"/>
  <c r="E105" i="8"/>
  <c r="E111" i="8"/>
  <c r="E131" i="8"/>
  <c r="D1072" i="61"/>
  <c r="E1070" i="61"/>
  <c r="F129" i="8"/>
  <c r="F1070" i="61" s="1"/>
  <c r="E118" i="8"/>
  <c r="D17" i="51"/>
  <c r="D18" i="51" s="1"/>
  <c r="D20" i="51" s="1"/>
  <c r="D24" i="51" s="1"/>
  <c r="K7" i="51" s="1"/>
  <c r="E10" i="51"/>
  <c r="E37" i="8"/>
  <c r="E978" i="61" s="1"/>
  <c r="C112" i="8" l="1"/>
  <c r="C125" i="8" s="1"/>
  <c r="E110" i="8"/>
  <c r="E112" i="8" s="1"/>
  <c r="E120" i="8" s="1"/>
  <c r="D126" i="8"/>
  <c r="F104" i="8"/>
  <c r="F105" i="8"/>
  <c r="F109" i="8"/>
  <c r="F111" i="8"/>
  <c r="D125" i="8"/>
  <c r="D121" i="8"/>
  <c r="D120" i="8"/>
  <c r="E1072" i="61"/>
  <c r="F131" i="8"/>
  <c r="F1072" i="61" s="1"/>
  <c r="F10" i="51"/>
  <c r="F17" i="51" s="1"/>
  <c r="F18" i="51" s="1"/>
  <c r="F20" i="51" s="1"/>
  <c r="F24" i="51" s="1"/>
  <c r="K9" i="51" s="1"/>
  <c r="F118" i="8"/>
  <c r="E17" i="51"/>
  <c r="E18" i="51" s="1"/>
  <c r="E20" i="51" s="1"/>
  <c r="E24" i="51" s="1"/>
  <c r="K8" i="51" s="1"/>
  <c r="F37" i="8"/>
  <c r="F978" i="61" s="1"/>
  <c r="C120" i="8" l="1"/>
  <c r="C121" i="8"/>
  <c r="E126" i="8"/>
  <c r="E125" i="8"/>
  <c r="E121" i="8"/>
  <c r="F106" i="8"/>
  <c r="G10" i="51"/>
  <c r="G37" i="8"/>
  <c r="G978" i="61" s="1"/>
  <c r="F110" i="8" l="1"/>
  <c r="F112" i="8" s="1"/>
  <c r="F120" i="8" s="1"/>
  <c r="H10" i="51"/>
  <c r="H17" i="51" s="1"/>
  <c r="H18" i="51" s="1"/>
  <c r="H20" i="51" s="1"/>
  <c r="H24" i="51" s="1"/>
  <c r="K11" i="51" s="1"/>
  <c r="G17" i="51"/>
  <c r="G18" i="51" s="1"/>
  <c r="G20" i="51" s="1"/>
  <c r="G24" i="51" s="1"/>
  <c r="K10" i="51" s="1"/>
  <c r="H37" i="8"/>
  <c r="H978" i="61" s="1"/>
  <c r="F126" i="8" l="1"/>
  <c r="F121" i="8"/>
  <c r="F125" i="8"/>
  <c r="I10" i="5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<sst xmlns="http://schemas.openxmlformats.org/spreadsheetml/2006/main" count="12469" uniqueCount="4473">
  <si>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</si>
  <si>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</si>
  <si>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</si>
  <si>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</si>
  <si>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</si>
  <si>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</si>
  <si>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</si>
  <si>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</si>
  <si>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</si>
  <si>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</si>
  <si>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</si>
  <si>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</si>
  <si>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</si>
  <si>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</si>
  <si>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</si>
  <si>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</si>
  <si>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</si>
  <si>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</si>
  <si>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</si>
  <si>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</si>
  <si>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</si>
  <si>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</si>
  <si>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</si>
  <si>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</si>
  <si>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</si>
  <si>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</si>
  <si>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</si>
  <si>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</si>
  <si>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</si>
  <si>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</si>
  <si>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</si>
  <si>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</si>
  <si>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</si>
  <si>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</si>
  <si>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</si>
  <si>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</si>
  <si>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</si>
  <si>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</si>
  <si>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</si>
  <si>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</si>
  <si>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</si>
  <si>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</si>
  <si>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</si>
  <si>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</si>
  <si>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</si>
  <si>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</si>
  <si>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</si>
  <si>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</si>
  <si>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</si>
  <si>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</si>
  <si>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</si>
  <si>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</si>
  <si>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</si>
  <si>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</si>
  <si>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</si>
  <si>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</si>
  <si>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</si>
  <si>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</si>
  <si>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</si>
  <si>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</si>
  <si>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</si>
  <si>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</si>
  <si>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</si>
  <si>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</si>
  <si>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</si>
  <si>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</si>
  <si>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</si>
  <si>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</si>
  <si>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</si>
  <si>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</si>
  <si>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</si>
  <si>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</si>
  <si>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</si>
  <si>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</si>
  <si>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</si>
  <si>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</si>
  <si>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</si>
  <si>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</si>
  <si>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</si>
  <si>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</si>
  <si>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</si>
  <si>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</si>
  <si>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</si>
  <si>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</si>
  <si>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</si>
  <si>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</si>
  <si>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</si>
  <si>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</si>
  <si>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</si>
  <si>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</si>
  <si>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</si>
  <si>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</si>
  <si>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</si>
  <si>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</si>
  <si>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</si>
  <si>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</si>
  <si>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</si>
  <si>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</si>
  <si>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</si>
  <si>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</si>
  <si>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</si>
  <si>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</si>
  <si>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</si>
  <si>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</si>
  <si>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</si>
  <si>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</si>
  <si>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</si>
  <si>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</si>
  <si>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</si>
  <si>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</si>
  <si>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</si>
  <si>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</si>
  <si>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</si>
  <si>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</si>
  <si>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</si>
  <si>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</si>
  <si>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</si>
  <si>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</si>
  <si>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</si>
  <si>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</si>
  <si>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</si>
  <si>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</si>
  <si>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</si>
  <si>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</si>
  <si>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</si>
  <si>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</si>
  <si>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</si>
  <si>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</si>
  <si>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</si>
  <si>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</si>
  <si>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</si>
  <si>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</si>
  <si>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</si>
  <si>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</si>
  <si>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</si>
  <si>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</si>
  <si>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</si>
  <si>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</si>
  <si>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</si>
  <si>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</si>
  <si>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</si>
  <si>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</si>
  <si>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</si>
  <si>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</si>
  <si>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</si>
  <si>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</si>
  <si>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</si>
  <si>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</si>
  <si>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</si>
  <si>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</si>
  <si>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</si>
  <si>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</si>
  <si>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</si>
  <si>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</si>
  <si>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</si>
  <si>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</si>
  <si>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</si>
  <si>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</si>
  <si>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</si>
  <si>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</si>
  <si>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</si>
  <si>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</si>
  <si>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</si>
  <si>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</si>
  <si>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</si>
  <si>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</si>
  <si>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</si>
  <si>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</si>
  <si>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</si>
  <si>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</si>
  <si>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</si>
  <si>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</si>
  <si>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</si>
  <si>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</si>
  <si>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</si>
  <si>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</si>
  <si>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</si>
  <si>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</si>
  <si>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</si>
  <si>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</si>
  <si>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</si>
  <si>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</si>
  <si>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</si>
  <si>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</si>
  <si>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</si>
  <si>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</si>
  <si>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</si>
  <si>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</si>
  <si>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</si>
  <si>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</si>
  <si>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</si>
  <si>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</si>
  <si>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</si>
  <si>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</si>
  <si>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</si>
  <si>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</si>
  <si>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</si>
  <si>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</si>
  <si>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</si>
  <si>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</si>
  <si>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</si>
  <si>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</si>
  <si>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</si>
  <si>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</si>
  <si>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</si>
  <si>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</si>
  <si>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</si>
  <si>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</si>
  <si>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</si>
  <si>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</si>
  <si>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</si>
  <si>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</si>
  <si>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</si>
  <si>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</si>
  <si>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</si>
  <si>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</si>
  <si>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</si>
  <si>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</si>
  <si>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</si>
  <si>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</si>
  <si>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</si>
  <si>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</si>
  <si>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</si>
  <si>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</si>
  <si>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</si>
  <si>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</si>
  <si>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</si>
  <si>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</si>
  <si>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</si>
  <si>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</si>
  <si>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</si>
  <si>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</si>
  <si>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</si>
  <si>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</si>
  <si>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</si>
  <si>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</si>
  <si>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</si>
  <si>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</si>
  <si>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</si>
  <si>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</si>
  <si>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</si>
  <si>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</si>
  <si>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</si>
  <si>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</si>
  <si>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</si>
  <si>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</si>
  <si>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</si>
  <si>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</si>
  <si>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</si>
  <si>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</si>
  <si>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</si>
  <si>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</si>
  <si>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</si>
  <si>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</si>
  <si>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</si>
  <si>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</si>
  <si>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</si>
  <si>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</si>
  <si>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</si>
  <si>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</si>
  <si>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</si>
  <si>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</si>
  <si>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</si>
  <si>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</si>
  <si>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</si>
  <si>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</si>
  <si>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</si>
  <si>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</si>
  <si>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</si>
  <si>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</si>
  <si>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</si>
  <si>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</si>
  <si>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</si>
  <si>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</si>
  <si>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</si>
  <si>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</si>
  <si>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</si>
  <si>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</si>
  <si>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</si>
  <si>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</si>
  <si>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</si>
  <si>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</si>
  <si>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</si>
  <si>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</si>
  <si>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</si>
  <si>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</si>
  <si>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</si>
  <si>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</si>
  <si>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</si>
  <si>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</si>
  <si>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</si>
  <si>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</si>
  <si>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</si>
  <si>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</si>
  <si>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</si>
  <si>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</si>
  <si>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</si>
  <si>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</si>
  <si>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</si>
  <si>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</si>
  <si>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</si>
  <si>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</si>
  <si>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</si>
  <si>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</si>
  <si>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</si>
  <si>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</si>
  <si>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</si>
  <si>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</si>
  <si>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</si>
  <si>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</si>
  <si>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</si>
  <si>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</si>
  <si>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</si>
  <si>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</si>
  <si>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</si>
  <si>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</si>
  <si>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</si>
  <si>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</si>
  <si>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</si>
  <si>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</si>
  <si>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</si>
  <si>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</si>
  <si>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</si>
  <si>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</si>
  <si>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</si>
  <si>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</si>
  <si>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</si>
  <si>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</si>
  <si>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</si>
  <si>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</si>
  <si>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</si>
  <si>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</si>
  <si>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</si>
  <si>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</si>
  <si>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</si>
  <si>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</si>
  <si>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</si>
  <si>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</si>
  <si>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</si>
  <si>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</si>
  <si>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</si>
  <si>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</si>
  <si>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</si>
  <si>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</si>
  <si>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</si>
  <si>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</si>
  <si>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</si>
  <si>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</si>
  <si>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</si>
  <si>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</si>
  <si>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</si>
  <si>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</si>
  <si>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</si>
  <si>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</si>
  <si>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</si>
  <si>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</si>
  <si>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</si>
  <si>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</si>
  <si>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</si>
  <si>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</si>
  <si>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</si>
  <si>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</si>
  <si>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</si>
  <si>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</si>
  <si>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</si>
  <si>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</si>
  <si>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</si>
  <si>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</si>
  <si>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</si>
  <si>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</si>
  <si>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</si>
  <si>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</si>
  <si>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</si>
  <si>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</si>
  <si>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</si>
  <si>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</si>
  <si>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</si>
  <si>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</si>
  <si>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</si>
  <si>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</si>
  <si>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</si>
  <si>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</si>
  <si>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</si>
  <si>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</si>
  <si>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</si>
  <si>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</si>
  <si>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</si>
  <si>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</si>
  <si>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</si>
  <si>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</si>
  <si>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</si>
  <si>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</si>
  <si>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</si>
  <si>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</si>
  <si>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</si>
  <si>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</si>
  <si>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</si>
  <si>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</si>
  <si>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</si>
  <si>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</si>
  <si>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</si>
  <si>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</si>
  <si>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</si>
  <si>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</si>
  <si>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</si>
  <si>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</si>
  <si>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</si>
  <si>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</si>
  <si>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</si>
  <si>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</si>
  <si>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</si>
  <si>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</si>
  <si>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</si>
  <si>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</si>
  <si>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</si>
  <si>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</si>
  <si>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</si>
  <si>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</si>
  <si>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</si>
  <si>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</si>
  <si>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</si>
  <si>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</si>
  <si>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</si>
  <si>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</si>
  <si>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</si>
  <si>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</si>
  <si>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</si>
  <si>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</si>
  <si>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</si>
  <si>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</si>
  <si>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</si>
  <si>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</si>
  <si>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</si>
  <si>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</si>
  <si>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</si>
  <si>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</si>
  <si>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</si>
  <si>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</si>
  <si>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</si>
  <si>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</si>
  <si>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</si>
  <si>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</si>
  <si>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</si>
  <si>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</si>
  <si>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</si>
  <si>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</si>
  <si>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</si>
  <si>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</si>
  <si>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</si>
  <si>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</si>
  <si>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</si>
  <si>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</si>
  <si>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</si>
  <si>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</si>
  <si>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</si>
  <si>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</si>
  <si>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</si>
  <si>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</si>
  <si>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</si>
  <si>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</si>
  <si>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</si>
  <si>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</si>
  <si>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</si>
  <si>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</si>
  <si>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</si>
  <si>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</si>
  <si>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</si>
  <si>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</si>
  <si>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</si>
  <si>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</si>
  <si>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</si>
  <si>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</si>
  <si>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</si>
  <si>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</si>
  <si>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</si>
  <si>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</si>
  <si>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</si>
  <si>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</si>
  <si>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</si>
  <si>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</si>
  <si>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</si>
  <si>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</si>
  <si>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</si>
  <si>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</si>
  <si>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</si>
  <si>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</si>
  <si>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</si>
  <si>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</si>
  <si>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</si>
  <si>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</si>
  <si>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</si>
  <si>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</si>
  <si>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</si>
  <si>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</si>
  <si>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</si>
  <si>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</si>
  <si>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</si>
  <si>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</si>
  <si>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</si>
  <si>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</si>
  <si>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</si>
  <si>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</si>
  <si>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</si>
  <si>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</si>
  <si>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</si>
  <si>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</si>
  <si>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</si>
  <si>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</si>
  <si>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</si>
  <si>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</si>
  <si>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</si>
  <si>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</si>
  <si>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</si>
  <si>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</si>
  <si>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</si>
  <si>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</si>
  <si>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</si>
  <si>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</si>
  <si>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</si>
  <si>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</si>
  <si>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</si>
  <si>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</si>
  <si>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</si>
  <si>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</si>
  <si>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</si>
  <si>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</si>
  <si>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</si>
  <si>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</si>
  <si>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</si>
  <si>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</si>
  <si>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</si>
  <si>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</si>
  <si>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</si>
  <si>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</si>
  <si>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</si>
  <si>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</si>
  <si>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</si>
  <si>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</si>
  <si>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</si>
  <si>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</si>
  <si>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</si>
  <si>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</si>
  <si>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</si>
  <si>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</si>
  <si>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</si>
  <si>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</si>
  <si>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</si>
  <si>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</si>
  <si>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</si>
  <si>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</si>
  <si>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</si>
  <si>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</si>
  <si>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</si>
  <si>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</si>
  <si>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</si>
  <si>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</si>
  <si>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</si>
  <si>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</si>
  <si>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</si>
  <si>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</si>
  <si>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</si>
  <si>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</si>
  <si>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</si>
  <si>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</si>
  <si>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</si>
  <si>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</si>
  <si>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</si>
  <si>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</si>
  <si>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</si>
  <si>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</si>
  <si>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</si>
  <si>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</si>
  <si>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</si>
  <si>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</si>
  <si>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</si>
  <si>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</si>
  <si>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</si>
  <si>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</si>
  <si>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</si>
  <si>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</si>
  <si>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</si>
  <si>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</si>
  <si>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</si>
  <si>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</si>
  <si>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</si>
  <si>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</si>
  <si>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</si>
  <si>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</si>
  <si>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</si>
  <si>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</si>
  <si>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</si>
  <si>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</si>
  <si>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</si>
  <si>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</si>
  <si>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</si>
  <si>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</si>
  <si>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</si>
  <si>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</si>
  <si>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</si>
  <si>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</si>
  <si>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</si>
  <si>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</si>
  <si>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</si>
  <si>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</si>
  <si>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</si>
  <si>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</si>
  <si>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</si>
  <si>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</si>
  <si>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</si>
  <si>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</si>
  <si>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</si>
  <si>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</si>
  <si>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</si>
  <si>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</si>
  <si>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</si>
  <si>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</si>
  <si>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</si>
  <si>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</si>
  <si>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</si>
  <si>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</si>
  <si>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</si>
  <si>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</si>
  <si>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</si>
  <si>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</si>
  <si>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</si>
  <si>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</si>
  <si>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</si>
  <si>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</si>
  <si>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</si>
  <si>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</si>
  <si>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</si>
  <si>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</si>
  <si>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</si>
  <si>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</si>
  <si>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</si>
  <si>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</si>
  <si>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</si>
  <si>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</si>
  <si>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</si>
  <si>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</si>
  <si>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</si>
  <si>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</si>
  <si>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</si>
  <si>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</si>
  <si>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</si>
  <si>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</si>
  <si>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</si>
  <si>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</si>
  <si>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</si>
  <si>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</si>
  <si>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</si>
  <si>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</si>
  <si>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</si>
  <si>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</si>
  <si>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</si>
  <si>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</si>
  <si>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</si>
  <si>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</si>
  <si>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</si>
  <si>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</si>
  <si>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</si>
  <si>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</si>
  <si>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</si>
  <si>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</si>
  <si>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</si>
  <si>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</si>
  <si>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</si>
  <si>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</si>
  <si>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</si>
  <si>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</si>
  <si>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</si>
  <si>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</si>
  <si>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</si>
  <si>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</si>
  <si>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</si>
  <si>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</si>
  <si>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</si>
  <si>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</si>
  <si>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</si>
  <si>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</si>
  <si>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</si>
  <si>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</si>
  <si>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</si>
  <si>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</si>
  <si>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</si>
  <si>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</si>
  <si>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</si>
  <si>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</si>
  <si>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</si>
  <si>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</si>
  <si>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</si>
  <si>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</si>
  <si>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</si>
  <si>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</si>
  <si>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</si>
  <si>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</si>
  <si>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</si>
  <si>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</si>
  <si>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</si>
  <si>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</si>
  <si>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</si>
  <si>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</si>
  <si>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</si>
  <si>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</si>
  <si>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</si>
  <si>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</si>
  <si>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</si>
  <si>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</si>
  <si>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</si>
  <si>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</si>
  <si>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</si>
  <si>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</si>
  <si>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</si>
  <si>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</si>
  <si>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</si>
  <si>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</si>
  <si>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</si>
  <si>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</si>
  <si>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</si>
  <si>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</si>
  <si>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</si>
  <si>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</si>
  <si>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</si>
  <si>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</si>
  <si>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</si>
  <si>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</si>
  <si>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</si>
  <si>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</si>
  <si>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</si>
  <si>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</si>
  <si>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</si>
  <si>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</si>
  <si>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</si>
  <si>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</si>
  <si>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</si>
  <si>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</si>
  <si>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</si>
  <si>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</si>
  <si>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</si>
  <si>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</si>
  <si>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</si>
  <si>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</si>
  <si>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</si>
  <si>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</si>
  <si>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</si>
  <si>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</si>
  <si>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</si>
  <si>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</si>
  <si>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</si>
  <si>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</si>
  <si>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</si>
  <si>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</si>
  <si>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</si>
  <si>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</si>
  <si>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</si>
  <si>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</si>
  <si>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</si>
  <si>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</si>
  <si>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</si>
  <si>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</si>
  <si>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</si>
  <si>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</si>
  <si>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</si>
  <si>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</si>
  <si>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</si>
  <si>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</si>
  <si>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</si>
  <si>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</si>
  <si>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</si>
  <si>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</si>
  <si>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</si>
  <si>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</si>
  <si>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</si>
  <si>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</si>
  <si>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</si>
  <si>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</si>
  <si>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</si>
  <si>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</si>
  <si>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</si>
  <si>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</si>
  <si>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</si>
  <si>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</si>
  <si>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</si>
  <si>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</si>
  <si>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</si>
  <si>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</si>
  <si>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</si>
  <si>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</si>
  <si>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</si>
  <si>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</si>
  <si>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</si>
  <si>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</si>
  <si>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</si>
  <si>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</si>
  <si>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</si>
  <si>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</si>
  <si>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</si>
  <si>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</si>
  <si>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</si>
  <si>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</si>
  <si>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</si>
  <si>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</si>
  <si>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</si>
  <si>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</si>
  <si>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</si>
  <si>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</si>
  <si>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</si>
  <si>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</si>
  <si>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</si>
  <si>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</si>
  <si>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</si>
  <si>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</si>
  <si>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</si>
  <si>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</si>
  <si>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</si>
  <si>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</si>
  <si>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</si>
  <si>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</si>
  <si>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</si>
  <si>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</si>
  <si>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</si>
  <si>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</si>
  <si>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</si>
  <si>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</si>
  <si>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</si>
  <si>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</si>
  <si>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</si>
  <si>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</si>
  <si>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</si>
  <si>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</si>
  <si>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</si>
  <si>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</si>
  <si>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</si>
  <si>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</si>
  <si>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</si>
  <si>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</si>
  <si>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</si>
  <si>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</si>
  <si>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</si>
  <si>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</si>
  <si>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</si>
  <si>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</si>
  <si>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</si>
  <si>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</si>
  <si>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</si>
  <si>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</si>
  <si>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</si>
  <si>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</si>
  <si>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</si>
  <si>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</si>
  <si>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</si>
  <si>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</si>
  <si>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</si>
  <si>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</si>
  <si>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</si>
  <si>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</si>
  <si>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</si>
  <si>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</si>
  <si>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</si>
  <si>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</si>
  <si>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</si>
  <si>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</si>
  <si>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</si>
  <si>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</si>
  <si>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</si>
  <si>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</si>
  <si>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</si>
  <si>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</si>
  <si>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</si>
  <si>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</si>
  <si>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</si>
  <si>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</si>
  <si>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</si>
  <si>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</si>
  <si>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</si>
  <si>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</si>
  <si>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</si>
  <si>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</si>
  <si>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</si>
  <si>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</si>
  <si>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</si>
  <si>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</si>
  <si>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</si>
  <si>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</si>
  <si>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</si>
  <si>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</si>
  <si>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</si>
  <si>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</si>
  <si>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</si>
  <si>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</si>
  <si>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</si>
  <si>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</si>
  <si>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</si>
  <si>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</si>
  <si>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</si>
  <si>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</si>
  <si>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</si>
  <si>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</si>
  <si>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</si>
  <si>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</si>
  <si>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</si>
  <si>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</si>
  <si>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</si>
  <si>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</si>
  <si>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</si>
  <si>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</si>
  <si>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</si>
  <si>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</si>
  <si>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</si>
  <si>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</si>
  <si>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</si>
  <si>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</si>
  <si>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</si>
  <si>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</si>
  <si>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</si>
  <si>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</si>
  <si>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</si>
  <si>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</si>
  <si>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</si>
  <si>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</si>
  <si>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</si>
  <si>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</si>
  <si>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</si>
  <si>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</si>
  <si>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</si>
  <si>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</si>
  <si>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</si>
  <si>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</si>
  <si>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</si>
  <si>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</si>
  <si>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</si>
  <si>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</si>
  <si>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</si>
  <si>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</si>
  <si>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</si>
  <si>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</si>
  <si>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</si>
  <si>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</si>
  <si>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</si>
  <si>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</si>
  <si>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</si>
  <si>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</si>
  <si>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</si>
  <si>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</si>
  <si>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</si>
  <si>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</si>
  <si>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</si>
  <si>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</si>
  <si>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</si>
  <si>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</si>
  <si>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</si>
  <si>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</si>
  <si>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</si>
  <si>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</si>
  <si>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</si>
  <si>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</si>
  <si>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</si>
  <si>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</si>
  <si>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</si>
  <si>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</si>
  <si>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</si>
  <si>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</si>
  <si>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</si>
  <si>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</si>
  <si>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</si>
  <si>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</si>
  <si>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</si>
  <si>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</si>
  <si>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</si>
  <si>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</si>
  <si>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</si>
  <si>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</si>
  <si>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</si>
  <si>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</si>
  <si>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</si>
  <si>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</si>
  <si>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</si>
  <si>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</si>
  <si>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</si>
  <si>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</si>
  <si>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</si>
  <si>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</si>
  <si>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</si>
  <si>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</si>
  <si>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</si>
  <si>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</si>
  <si>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</si>
  <si>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</si>
  <si>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</si>
  <si>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</si>
  <si>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</si>
  <si>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</si>
  <si>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</si>
  <si>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</si>
  <si>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</si>
  <si>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</si>
  <si>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</si>
  <si>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</si>
  <si>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</si>
  <si>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</si>
  <si>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</si>
  <si>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</si>
  <si>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</si>
  <si>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</si>
  <si>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</si>
  <si>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</si>
  <si>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</si>
  <si>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</si>
  <si>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</si>
  <si>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</si>
  <si>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</si>
  <si>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</si>
  <si>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</si>
  <si>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</si>
  <si>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</si>
  <si>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</si>
  <si>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</si>
  <si>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</si>
  <si>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</si>
  <si>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</si>
  <si>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</si>
  <si>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</si>
  <si>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</si>
  <si>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</si>
  <si>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</si>
  <si>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</si>
  <si>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</si>
  <si>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</si>
  <si>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</si>
  <si>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</si>
  <si>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</si>
  <si>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</si>
  <si>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</si>
  <si>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</si>
  <si>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</si>
  <si>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</si>
  <si>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</si>
  <si>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</si>
  <si>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</si>
  <si>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</si>
  <si>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</si>
  <si>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</si>
  <si>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</si>
  <si>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</si>
  <si>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</si>
  <si>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</si>
  <si>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</si>
  <si>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</si>
  <si>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</si>
  <si>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</si>
  <si>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</si>
  <si>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</si>
  <si>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</si>
  <si>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</si>
  <si>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</si>
  <si>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</si>
  <si>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</si>
  <si>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</si>
  <si>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</si>
  <si>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</si>
  <si>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</si>
  <si>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</si>
  <si>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</si>
  <si>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</si>
  <si>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</si>
  <si>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</si>
  <si>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</si>
  <si>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</si>
  <si>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</si>
  <si>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</si>
  <si>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</si>
  <si>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</si>
  <si>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</si>
  <si>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</si>
  <si>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</si>
  <si>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</si>
  <si>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</si>
  <si>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</si>
  <si>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</si>
  <si>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</si>
  <si>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</si>
  <si>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</si>
  <si>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</si>
  <si>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</si>
  <si>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</si>
  <si>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</si>
  <si>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</si>
  <si>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</si>
  <si>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</si>
  <si>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</si>
  <si>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</si>
  <si>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</si>
  <si>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</si>
  <si>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</si>
  <si>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</si>
  <si>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</si>
  <si>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</si>
  <si>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</si>
  <si>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</si>
  <si>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</si>
  <si>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</si>
  <si>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</si>
  <si>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</si>
  <si>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</si>
  <si>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</si>
  <si>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</si>
  <si>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</si>
  <si>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</si>
  <si>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</si>
  <si>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</si>
  <si>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</si>
  <si>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</si>
  <si>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</si>
  <si>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</si>
  <si>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</si>
  <si>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</si>
  <si>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</si>
  <si>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</si>
  <si>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</si>
  <si>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</si>
  <si>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</si>
  <si>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</si>
  <si>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</si>
  <si>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</si>
  <si>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</si>
  <si>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</si>
  <si>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</si>
  <si>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</si>
  <si>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</si>
  <si>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</si>
  <si>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</si>
  <si>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</si>
  <si>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</si>
  <si>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</si>
  <si>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</si>
  <si>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</si>
  <si>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</si>
  <si>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</si>
  <si>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</si>
  <si>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</si>
  <si>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</si>
  <si>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</si>
  <si>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</si>
  <si>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</si>
  <si>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</si>
  <si>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</si>
  <si>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</si>
  <si>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</si>
  <si>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</si>
  <si>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</si>
  <si>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</si>
  <si>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</si>
  <si>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</si>
  <si>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</si>
  <si>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</si>
  <si>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</si>
  <si>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</si>
  <si>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</si>
  <si>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</si>
  <si>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</si>
  <si>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</si>
  <si>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</si>
  <si>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</si>
  <si>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</si>
  <si>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</si>
  <si>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</si>
  <si>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</si>
  <si>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</si>
  <si>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</si>
  <si>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</si>
  <si>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</si>
  <si>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</si>
  <si>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</si>
  <si>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</si>
  <si>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</si>
  <si>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</si>
  <si>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</si>
  <si>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</si>
  <si>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</si>
  <si>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</si>
  <si>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</si>
  <si>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</si>
  <si>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</si>
  <si>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</si>
  <si>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</si>
  <si>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</si>
  <si>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</si>
  <si>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</si>
  <si>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</si>
  <si>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</si>
  <si>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</si>
  <si>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</si>
  <si>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</si>
  <si>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</si>
  <si>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</si>
  <si>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</si>
  <si>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</si>
  <si>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</si>
  <si>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</si>
  <si>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</si>
  <si>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</si>
  <si>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</si>
  <si>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</si>
  <si>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</si>
  <si>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</si>
  <si>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</si>
  <si>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</si>
  <si>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</si>
  <si>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</si>
  <si>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</si>
  <si>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</si>
  <si>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</si>
  <si>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</si>
  <si>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</si>
  <si>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</si>
  <si>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</si>
  <si>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</si>
  <si>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</si>
  <si>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</si>
  <si>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</si>
  <si>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</si>
  <si>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</si>
  <si>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</si>
  <si>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</si>
  <si>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</si>
  <si>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</si>
  <si>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</si>
  <si>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</si>
  <si>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</si>
  <si>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</si>
  <si>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</si>
  <si>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</si>
  <si>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</si>
  <si>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</si>
  <si>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</si>
  <si>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</si>
  <si>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</si>
  <si>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</si>
  <si>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</si>
  <si>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</si>
  <si>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</si>
  <si>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</si>
  <si>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</si>
  <si>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</si>
  <si>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</si>
  <si>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</si>
  <si>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</si>
  <si>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</si>
  <si>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</si>
  <si>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</si>
  <si>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</si>
  <si>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</si>
  <si>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</si>
  <si>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</si>
  <si>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</si>
  <si>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</si>
  <si>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</si>
  <si>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</si>
  <si>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</si>
  <si>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</si>
  <si>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</si>
  <si>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</si>
  <si>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</si>
  <si>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</si>
  <si>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</si>
  <si>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</si>
  <si>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</si>
  <si>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</si>
  <si>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</si>
  <si>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</si>
  <si>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</si>
  <si>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</si>
  <si>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</si>
  <si>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</si>
  <si>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</si>
  <si>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</si>
  <si>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</si>
  <si>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</si>
  <si>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</si>
  <si>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</si>
  <si>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</si>
  <si>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</si>
  <si>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</si>
  <si>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</si>
  <si>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</si>
  <si>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</si>
  <si>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</si>
  <si>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</si>
  <si>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</si>
  <si>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</si>
  <si>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</si>
  <si>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</si>
  <si>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</si>
  <si>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</si>
  <si>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</si>
  <si>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</si>
  <si>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</si>
  <si>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</si>
  <si>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</si>
  <si>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</si>
  <si>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</si>
  <si>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</si>
  <si>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</si>
  <si>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</si>
  <si>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</si>
  <si>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</si>
  <si>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</si>
  <si>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</si>
  <si>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</si>
  <si>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</si>
  <si>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</si>
  <si>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</si>
  <si>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</si>
  <si>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</si>
  <si>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</si>
  <si>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</si>
  <si>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</si>
  <si>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</si>
  <si>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</si>
  <si>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</si>
  <si>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</si>
  <si>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</si>
  <si>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</si>
  <si>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</si>
  <si>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</si>
  <si>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</si>
  <si>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</si>
  <si>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</si>
  <si>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</si>
  <si>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</si>
  <si>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</si>
  <si>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</si>
  <si>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</si>
  <si>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</si>
  <si>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</si>
  <si>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</si>
  <si>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</si>
  <si>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</si>
  <si>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</si>
  <si>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</si>
  <si>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</si>
  <si>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</si>
  <si>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</si>
  <si>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</si>
  <si>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</si>
  <si>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</si>
  <si>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</si>
  <si>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</si>
  <si>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</si>
  <si>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</si>
  <si>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</si>
  <si>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</si>
  <si>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</si>
  <si>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</si>
  <si>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</si>
  <si>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</si>
  <si>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</si>
  <si>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</si>
  <si>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</si>
  <si>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</si>
  <si>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</si>
  <si>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</si>
  <si>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</si>
  <si>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</si>
  <si>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</si>
  <si>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</si>
  <si>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</si>
  <si>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</si>
  <si>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</si>
  <si>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</si>
  <si>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</si>
  <si>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</si>
  <si>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</si>
  <si>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</si>
  <si>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</si>
  <si>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</si>
  <si>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</si>
  <si>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</si>
  <si>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</si>
  <si>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</si>
  <si>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</si>
  <si>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</si>
  <si>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</si>
  <si>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</si>
  <si>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</si>
  <si>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</si>
  <si>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</si>
  <si>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</si>
  <si>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</si>
  <si>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</si>
  <si>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</si>
  <si>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</si>
  <si>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</si>
  <si>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</si>
  <si>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</si>
  <si>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</si>
  <si>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</si>
  <si>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</si>
  <si>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</si>
  <si>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</si>
  <si>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</si>
  <si>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</si>
  <si>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</si>
  <si>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</si>
  <si>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</si>
  <si>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</si>
  <si>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</si>
  <si>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</si>
  <si>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</si>
  <si>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</si>
  <si>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</si>
  <si>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</si>
  <si>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</si>
  <si>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</si>
  <si>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</si>
  <si>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</si>
  <si>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</si>
  <si>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</si>
  <si>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</si>
  <si>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</si>
  <si>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</si>
  <si>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</si>
  <si>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</si>
  <si>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</si>
  <si>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</si>
  <si>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</si>
  <si>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</si>
  <si>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</si>
  <si>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</si>
  <si>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</si>
  <si>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</si>
  <si>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</si>
  <si>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</si>
  <si>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</si>
  <si>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</si>
  <si>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</si>
  <si>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</si>
  <si>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</si>
  <si>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</si>
  <si>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</si>
  <si>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</si>
  <si>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</si>
  <si>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</si>
  <si>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</si>
  <si>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</si>
  <si>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</si>
  <si>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</si>
  <si>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</si>
  <si>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</si>
  <si>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</si>
  <si>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</si>
  <si>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</si>
  <si>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</si>
  <si>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</si>
  <si>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</si>
  <si>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</si>
  <si>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</si>
  <si>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</si>
  <si>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</si>
  <si>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</si>
  <si>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</si>
  <si>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</si>
  <si>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</si>
  <si>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</si>
  <si>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</si>
  <si>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</si>
  <si>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</si>
  <si>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</si>
  <si>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</si>
  <si>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</si>
  <si>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</si>
  <si>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</si>
  <si>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</si>
  <si>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</si>
  <si>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</si>
  <si>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</si>
  <si>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</si>
  <si>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</si>
  <si>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</si>
  <si>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</si>
  <si>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</si>
  <si>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</si>
  <si>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</si>
  <si>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</si>
  <si>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</si>
  <si>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</si>
  <si>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</si>
  <si>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</si>
  <si>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</si>
  <si>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</si>
  <si>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</si>
  <si>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</si>
  <si>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</si>
  <si>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</si>
  <si>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</si>
  <si>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</si>
  <si>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</si>
  <si>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</si>
  <si>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</si>
  <si>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</si>
  <si>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</si>
  <si>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</si>
  <si>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</si>
  <si>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</si>
  <si>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</si>
  <si>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</si>
  <si>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</si>
  <si>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</si>
  <si>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</si>
  <si>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</si>
  <si>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</si>
  <si>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</si>
  <si>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</si>
  <si>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</si>
  <si>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</si>
  <si>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</si>
  <si>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</si>
  <si>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</si>
  <si>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</si>
  <si>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</si>
  <si>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</si>
  <si>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</si>
  <si>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</si>
  <si>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</si>
  <si>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</si>
  <si>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</si>
  <si>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</si>
  <si>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</si>
  <si>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</si>
  <si>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</si>
  <si>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</si>
  <si>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</si>
  <si>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</si>
  <si>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</si>
  <si>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</si>
  <si>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</si>
  <si>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</si>
  <si>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</si>
  <si>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</si>
  <si>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</si>
  <si>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</si>
  <si>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</si>
  <si>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</si>
  <si>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</si>
  <si>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</si>
  <si>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</si>
  <si>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</si>
  <si>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</si>
  <si>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</si>
  <si>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</si>
  <si>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</si>
  <si>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</si>
  <si>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</si>
  <si>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</si>
  <si>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</si>
  <si>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</si>
  <si>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</si>
  <si>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</si>
  <si>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</si>
  <si>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</si>
  <si>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</si>
  <si>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</si>
  <si>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</si>
  <si>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</si>
  <si>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</si>
  <si>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</si>
  <si>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</si>
  <si>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</si>
  <si>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</si>
  <si>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</si>
  <si>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</si>
  <si>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</si>
  <si>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</si>
  <si>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</si>
  <si>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</si>
  <si>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</si>
  <si>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</si>
  <si>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</si>
  <si>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</si>
  <si>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</si>
  <si>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</si>
  <si>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</si>
  <si>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</si>
  <si>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</si>
  <si>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</si>
  <si>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</si>
  <si>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</si>
  <si>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</si>
  <si>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</si>
  <si>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</si>
  <si>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</si>
  <si>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</si>
  <si>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</si>
  <si>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</si>
  <si>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</si>
  <si>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</si>
  <si>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</si>
  <si>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</si>
  <si>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</si>
  <si>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</si>
  <si>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</si>
  <si>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</si>
  <si>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</si>
  <si>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</si>
  <si>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</si>
  <si>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</si>
  <si>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</si>
  <si>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</si>
  <si>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</si>
  <si>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</si>
  <si>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</si>
  <si>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</si>
  <si>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</si>
  <si>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</si>
  <si>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</si>
  <si>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</si>
  <si>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</si>
  <si>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</si>
  <si>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</si>
  <si>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</si>
  <si>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</si>
  <si>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</si>
  <si>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</si>
  <si>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</si>
  <si>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</si>
  <si>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</si>
  <si>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</si>
  <si>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</si>
  <si>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</si>
  <si>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</si>
  <si>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</si>
  <si>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</si>
  <si>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</si>
  <si>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</si>
  <si>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</si>
  <si>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</si>
  <si>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</si>
  <si>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</si>
  <si>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</si>
  <si>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</si>
  <si>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</si>
  <si>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</si>
  <si>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</si>
  <si>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</si>
  <si>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</si>
  <si>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</si>
  <si>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</si>
  <si>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</si>
  <si>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</si>
  <si>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</si>
  <si>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</si>
  <si>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</si>
  <si>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</si>
  <si>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</si>
  <si>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</si>
  <si>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</si>
  <si>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</si>
  <si>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</si>
  <si>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</si>
  <si>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</si>
  <si>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</si>
  <si>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</si>
  <si>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</si>
  <si>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</si>
  <si>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</si>
  <si>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</si>
  <si>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</si>
  <si>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</si>
  <si>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</si>
  <si>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</si>
  <si>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</si>
  <si>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</si>
  <si>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</si>
  <si>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</si>
  <si>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</si>
  <si>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</si>
  <si>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</si>
  <si>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</si>
  <si>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</si>
  <si>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</si>
  <si>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</si>
  <si>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</si>
  <si>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</si>
  <si>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</si>
  <si>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</si>
  <si>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</si>
  <si>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</si>
  <si>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</si>
  <si>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</si>
  <si>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</si>
  <si>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</si>
  <si>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</si>
  <si>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</si>
  <si>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</si>
  <si>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</si>
  <si>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</si>
  <si>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</si>
  <si>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</si>
  <si>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</si>
  <si>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</si>
  <si>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</si>
  <si>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</si>
  <si>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</si>
  <si>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</si>
  <si>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</si>
  <si>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</si>
  <si>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</si>
  <si>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</si>
  <si>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</si>
  <si>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</si>
  <si>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</si>
  <si>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</si>
  <si>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</si>
  <si>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</si>
  <si>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</si>
  <si>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</si>
  <si>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</si>
  <si>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</si>
  <si>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</si>
  <si>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</si>
  <si>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</si>
  <si>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</si>
  <si>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</si>
  <si>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</si>
  <si>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</si>
  <si>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</si>
  <si>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</si>
  <si>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</si>
  <si>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</si>
  <si>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</si>
  <si>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</si>
  <si>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</si>
  <si>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</si>
  <si>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</si>
  <si>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</si>
  <si>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</si>
  <si>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</si>
  <si>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</si>
  <si>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</si>
  <si>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</si>
  <si>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</si>
  <si>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</si>
  <si>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</si>
  <si>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</si>
  <si>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</si>
  <si>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</si>
  <si>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</si>
  <si>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</si>
  <si>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</si>
  <si>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</si>
  <si>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</si>
  <si>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</si>
  <si>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</si>
  <si>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</si>
  <si>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</si>
  <si>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</si>
  <si>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</si>
  <si>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</si>
  <si>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</si>
  <si>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</si>
  <si>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</si>
  <si>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</si>
  <si>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</si>
  <si>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</si>
  <si>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</si>
  <si>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</si>
  <si>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</si>
  <si>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</si>
  <si>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</si>
  <si>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</si>
  <si>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</si>
  <si>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</si>
  <si>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</si>
  <si>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</si>
  <si>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</si>
  <si>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</si>
  <si>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</si>
  <si>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</si>
  <si>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</si>
  <si>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</si>
  <si>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</si>
  <si>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</si>
  <si>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</si>
  <si>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</si>
  <si>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</si>
  <si>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</si>
  <si>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</si>
  <si>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</si>
  <si>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</si>
  <si>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</si>
  <si>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</si>
  <si>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</si>
  <si>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</si>
  <si>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</si>
  <si>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</si>
  <si>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</si>
  <si>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</si>
  <si>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</si>
  <si>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</si>
  <si>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</si>
  <si>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</si>
  <si>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</si>
  <si>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</si>
  <si>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</si>
  <si>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</si>
  <si>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</si>
  <si>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</si>
  <si>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</si>
  <si>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</si>
  <si>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</si>
  <si>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</si>
  <si>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</si>
  <si>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</si>
  <si>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</si>
  <si>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</si>
  <si>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</si>
  <si>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</si>
  <si>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</si>
  <si>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</si>
  <si>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</si>
  <si>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</si>
  <si>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</si>
  <si>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</si>
  <si>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</si>
  <si>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</si>
  <si>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</si>
  <si>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</si>
  <si>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</si>
  <si>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</si>
  <si>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</si>
  <si>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</si>
  <si>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</si>
  <si>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</si>
  <si>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</si>
  <si>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</si>
  <si>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</si>
  <si>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</si>
  <si>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</si>
  <si>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</si>
  <si>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</si>
  <si>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</si>
  <si>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</si>
  <si>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</si>
  <si>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</si>
  <si>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</si>
  <si>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</si>
  <si>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</si>
  <si>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</si>
  <si>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</si>
  <si>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</si>
  <si>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</si>
  <si>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</si>
  <si>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</si>
  <si>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</si>
  <si>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</si>
  <si>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</si>
  <si>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</si>
  <si>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</si>
  <si>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</si>
  <si>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</si>
  <si>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</si>
  <si>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</si>
  <si>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</si>
  <si>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</si>
  <si>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</si>
  <si>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</si>
  <si>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</si>
  <si>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</si>
  <si>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</si>
  <si>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</si>
  <si>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</si>
  <si>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</si>
  <si>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</si>
  <si>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</si>
  <si>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</si>
  <si>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</si>
  <si>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</si>
  <si>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</si>
  <si>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</si>
  <si>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</si>
  <si>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</si>
  <si>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</si>
  <si>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</si>
  <si>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</si>
  <si>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</si>
  <si>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</si>
  <si>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</si>
  <si>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</si>
  <si>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</si>
  <si>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</si>
  <si>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</si>
  <si>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</si>
  <si>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</si>
  <si>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</si>
  <si>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</si>
  <si>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</si>
  <si>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</si>
  <si>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</si>
  <si>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</si>
  <si>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</si>
  <si>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</si>
  <si>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</si>
  <si>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</si>
  <si>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</si>
  <si>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</si>
  <si>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</si>
  <si>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</si>
  <si>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</si>
  <si>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</si>
  <si>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</si>
  <si>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</si>
  <si>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</si>
  <si>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</si>
  <si>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</si>
  <si>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</si>
  <si>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</si>
  <si>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</si>
  <si>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</si>
  <si>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</si>
  <si>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</si>
  <si>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</si>
  <si>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</si>
  <si>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</si>
  <si>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</si>
  <si>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</si>
  <si>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</si>
  <si>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</si>
  <si>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</si>
  <si>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</si>
  <si>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</si>
  <si>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</si>
  <si>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</si>
  <si>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</si>
  <si>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</si>
  <si>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</si>
  <si>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</si>
  <si>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</si>
  <si>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</si>
  <si>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</si>
  <si>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</si>
  <si>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</si>
  <si>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</si>
  <si>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</si>
  <si>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</si>
  <si>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</si>
  <si>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</si>
  <si>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</si>
  <si>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</si>
  <si>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</si>
  <si>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</si>
  <si>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</si>
  <si>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</si>
  <si>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</si>
  <si>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</si>
  <si>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</si>
  <si>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</si>
  <si>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</si>
  <si>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</si>
  <si>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</si>
  <si>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</si>
  <si>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</si>
  <si>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</si>
  <si>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</si>
  <si>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</si>
  <si>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</si>
  <si>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</si>
  <si>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</si>
  <si>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</si>
  <si>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</si>
  <si>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</si>
  <si>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</si>
  <si>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</si>
  <si>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</si>
  <si>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</si>
  <si>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</si>
  <si>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</si>
  <si>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</si>
  <si>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</si>
  <si>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</si>
  <si>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</si>
  <si>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</si>
  <si>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</si>
  <si>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</si>
  <si>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</si>
  <si>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</si>
  <si>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</si>
  <si>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</si>
  <si>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</si>
  <si>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</si>
  <si>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</si>
  <si>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</si>
  <si>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</si>
  <si>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</si>
  <si>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</si>
  <si>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</si>
  <si>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</si>
  <si>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</si>
  <si>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</si>
  <si>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</si>
  <si>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</si>
  <si>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</si>
  <si>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</si>
  <si>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</si>
  <si>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</si>
  <si>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</si>
  <si>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</si>
  <si>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</si>
  <si>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</si>
  <si>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</si>
  <si>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</si>
  <si>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</si>
  <si>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</si>
  <si>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</si>
  <si>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</si>
  <si>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</si>
  <si>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</si>
  <si>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</si>
  <si>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</si>
  <si>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</si>
  <si>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</si>
  <si>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</si>
  <si>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</si>
  <si>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</si>
  <si>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</si>
  <si>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</si>
  <si>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</si>
  <si>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</si>
  <si>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</si>
  <si>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</si>
  <si>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</si>
  <si>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</si>
  <si>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</si>
  <si>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</si>
  <si>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</si>
  <si>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</si>
  <si>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</si>
  <si>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</si>
  <si>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</si>
  <si>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</si>
  <si>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</si>
  <si>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</si>
  <si>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</si>
  <si>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</si>
  <si>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</si>
  <si>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</si>
  <si>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</si>
  <si>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</si>
  <si>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</si>
  <si>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</si>
  <si>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</si>
  <si>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</si>
  <si>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</si>
  <si>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</si>
  <si>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</si>
  <si>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</si>
  <si>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</si>
  <si>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</si>
  <si>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</si>
  <si>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</si>
  <si>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</si>
  <si>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</si>
  <si>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</si>
  <si>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</si>
  <si>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</si>
  <si>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</si>
  <si>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</si>
  <si>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</si>
  <si>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</si>
  <si>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</si>
  <si>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</si>
  <si>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</si>
  <si>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</si>
  <si>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</si>
  <si>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</si>
  <si>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</si>
  <si>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</si>
  <si>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</si>
  <si>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</si>
  <si>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</si>
  <si>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</si>
  <si>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</si>
  <si>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</si>
  <si>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</si>
  <si>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</si>
  <si>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</si>
  <si>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</si>
  <si>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</si>
  <si>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</si>
  <si>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</si>
  <si>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</si>
  <si>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</si>
  <si>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</si>
  <si>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</si>
  <si>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</si>
  <si>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</si>
  <si>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</si>
  <si>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</si>
  <si>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</si>
  <si>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</si>
  <si>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</si>
  <si>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</si>
  <si>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</si>
  <si>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</si>
  <si>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</si>
  <si>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</si>
  <si>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</si>
  <si>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</si>
  <si>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</si>
  <si>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</si>
  <si>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</si>
  <si>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</si>
  <si>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</si>
  <si>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</si>
  <si>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</si>
  <si>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</si>
  <si>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</si>
  <si>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</si>
  <si>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</si>
  <si>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</si>
  <si>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</si>
  <si>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</si>
  <si>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</si>
  <si>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</si>
  <si>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</si>
  <si>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</si>
  <si>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</si>
  <si>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</si>
  <si>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</si>
  <si>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</si>
  <si>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</si>
  <si>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</si>
  <si>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</si>
  <si>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</si>
  <si>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</si>
  <si>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</si>
  <si>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</si>
  <si>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</si>
  <si>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</si>
  <si>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</si>
  <si>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</si>
  <si>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</si>
  <si>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</si>
  <si>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</si>
  <si>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</si>
  <si>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</si>
  <si>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</si>
  <si>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</si>
  <si>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</si>
  <si>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</si>
  <si>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</si>
  <si>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</si>
  <si>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</si>
  <si>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</si>
  <si>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</si>
  <si>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</si>
  <si>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</si>
  <si>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</si>
  <si>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</si>
  <si>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</si>
  <si>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</si>
  <si>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</si>
  <si>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</si>
  <si>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</si>
  <si>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</si>
  <si>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</si>
  <si>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</si>
  <si>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</si>
  <si>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</si>
  <si>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</si>
  <si>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</si>
  <si>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</si>
  <si>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</si>
  <si>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</si>
  <si>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</si>
  <si>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</si>
  <si>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</si>
  <si>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</si>
  <si>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</si>
  <si>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</si>
  <si>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</si>
  <si>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</si>
  <si>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</si>
  <si>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</si>
  <si>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</si>
  <si>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</si>
  <si>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</si>
  <si>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</si>
  <si>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</si>
  <si>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</si>
  <si>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</si>
  <si>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</si>
  <si>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</si>
  <si>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</si>
  <si>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</si>
  <si>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</si>
  <si>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</si>
  <si>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</si>
  <si>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</si>
  <si>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</si>
  <si>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</si>
  <si>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</si>
  <si>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</si>
  <si>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</si>
  <si>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</si>
  <si>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</si>
  <si>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</si>
  <si>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</si>
  <si>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</si>
  <si>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</si>
  <si>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</si>
  <si>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</si>
  <si>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</si>
  <si>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</si>
  <si>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</si>
  <si>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</si>
  <si>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</si>
  <si>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</si>
  <si>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</si>
  <si>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</si>
  <si>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</si>
  <si>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</si>
  <si>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</si>
  <si>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</si>
  <si>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</si>
  <si>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</si>
  <si>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</si>
  <si>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</si>
  <si>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</si>
  <si>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</si>
  <si>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</si>
  <si>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</si>
  <si>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</si>
  <si>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</si>
  <si>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</si>
  <si>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</si>
  <si>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</si>
  <si>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</si>
  <si>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</si>
  <si>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</si>
  <si>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</si>
  <si>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</si>
  <si>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</si>
  <si>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</si>
  <si>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</si>
  <si>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</si>
  <si>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</si>
  <si>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</si>
  <si>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</si>
  <si>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</si>
  <si>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</si>
  <si>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</si>
  <si>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</si>
  <si>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</si>
  <si>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</si>
  <si>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</si>
  <si>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</si>
  <si>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</si>
  <si>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</si>
  <si>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</si>
  <si>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</si>
  <si>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</si>
  <si>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</si>
  <si>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</si>
  <si>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</si>
  <si>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</si>
  <si>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</si>
  <si>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</si>
  <si>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</si>
  <si>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</si>
  <si>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</si>
  <si>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</si>
  <si>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</si>
  <si>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</si>
  <si>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</si>
  <si>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</si>
  <si>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</si>
  <si>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</si>
  <si>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</si>
  <si>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</si>
  <si>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</si>
  <si>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</si>
  <si>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</si>
  <si>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</si>
  <si>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</si>
  <si>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</si>
  <si>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</si>
  <si>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</si>
  <si>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</si>
  <si>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</si>
  <si>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</si>
  <si>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</si>
  <si>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</si>
  <si>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</si>
  <si>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</si>
  <si>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</si>
  <si>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</si>
  <si>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</si>
  <si>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</si>
  <si>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</si>
  <si>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</si>
  <si>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</si>
  <si>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</si>
  <si>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</si>
  <si>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</si>
  <si>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</si>
  <si>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</si>
  <si>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</si>
  <si>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</si>
  <si>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</si>
  <si>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</si>
  <si>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</si>
  <si>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</si>
  <si>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</si>
  <si>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</si>
  <si>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</si>
  <si>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</si>
  <si>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</si>
  <si>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</si>
  <si>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</si>
  <si>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</si>
  <si>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</si>
  <si>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</si>
  <si>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</si>
  <si>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</si>
  <si>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</si>
  <si>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</si>
  <si>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</si>
  <si>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</si>
  <si>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</si>
  <si>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</si>
  <si>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</si>
  <si>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</si>
  <si>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</si>
  <si>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</si>
  <si>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</si>
  <si>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</si>
  <si>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</si>
  <si>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</si>
  <si>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</si>
  <si>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</si>
  <si>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</si>
  <si>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</si>
  <si>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</si>
  <si>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</si>
  <si>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</si>
  <si>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</si>
  <si>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</si>
  <si>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</si>
  <si>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</si>
  <si>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</si>
  <si>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</si>
  <si>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</si>
  <si>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</si>
  <si>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</si>
  <si>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</si>
  <si>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</si>
  <si>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</si>
  <si>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</si>
  <si>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</si>
  <si>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</si>
  <si>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</si>
  <si>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</si>
  <si>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</si>
  <si>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</si>
  <si>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</si>
  <si>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</si>
  <si>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</si>
  <si>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</si>
  <si>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</si>
  <si>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</si>
  <si>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</si>
  <si>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</si>
  <si>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</si>
  <si>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</si>
  <si>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</si>
  <si>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</si>
  <si>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</si>
  <si>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</si>
  <si>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</si>
  <si>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</si>
  <si>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</si>
  <si>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</si>
  <si>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</si>
  <si>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</si>
  <si>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</si>
  <si>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</si>
  <si>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</si>
  <si>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</si>
  <si>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</si>
  <si>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</si>
  <si>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</si>
  <si>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</si>
  <si>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</si>
  <si>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</si>
  <si>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</si>
  <si>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</si>
  <si>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</si>
  <si>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</si>
  <si>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</si>
  <si>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</si>
  <si>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</si>
  <si>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</si>
  <si>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</si>
  <si>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</si>
  <si>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</si>
  <si>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</si>
  <si>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</si>
  <si>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</si>
  <si>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</si>
  <si>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</si>
  <si>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</si>
  <si>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</si>
  <si>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</si>
  <si>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</si>
  <si>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</si>
  <si>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</si>
  <si>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</si>
  <si>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</si>
  <si>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</si>
  <si>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</si>
  <si>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</si>
  <si>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</si>
  <si>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</si>
  <si>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</si>
  <si>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</si>
  <si>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</si>
  <si>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</si>
  <si>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</si>
  <si>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</si>
  <si>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</si>
  <si>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</si>
  <si>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</si>
  <si>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</si>
  <si>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</si>
  <si>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</si>
  <si>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</si>
  <si>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</si>
  <si>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</si>
  <si>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</si>
  <si>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</si>
  <si>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</si>
  <si>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</si>
  <si>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</si>
  <si>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</si>
  <si>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</si>
  <si>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</si>
  <si>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</si>
  <si>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</si>
  <si>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</si>
  <si>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</si>
  <si>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</si>
  <si>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</si>
  <si>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</si>
  <si>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</si>
  <si>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</si>
  <si>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</si>
  <si>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</si>
  <si>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</si>
  <si>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</si>
  <si>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</si>
  <si>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</si>
  <si>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</si>
  <si>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</si>
  <si>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</si>
  <si>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</si>
  <si>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</si>
  <si>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</si>
  <si>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</si>
  <si>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</si>
  <si>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</si>
  <si>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</si>
  <si>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</si>
  <si>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</si>
  <si>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</si>
  <si>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</si>
  <si>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</si>
  <si>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</si>
  <si>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</si>
  <si>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</si>
  <si>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</si>
  <si>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</si>
  <si>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</si>
  <si>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</si>
  <si>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</si>
  <si>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</si>
  <si>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</si>
  <si>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</si>
  <si>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</si>
  <si>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</si>
  <si>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</si>
  <si>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</si>
  <si>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</si>
  <si>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</si>
  <si>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</si>
  <si>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</si>
  <si>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</si>
  <si>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</si>
  <si>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</si>
  <si>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</si>
  <si>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</si>
  <si>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</si>
  <si>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</si>
  <si>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</si>
  <si>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</si>
  <si>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</si>
  <si>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</si>
  <si>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</si>
  <si>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</si>
  <si>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</si>
  <si>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</si>
  <si>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</si>
  <si>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</si>
  <si>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</si>
  <si>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</si>
  <si>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</si>
  <si>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</si>
  <si>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</si>
  <si>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</si>
  <si>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</si>
  <si>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</si>
  <si>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</si>
  <si>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</si>
  <si>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</si>
  <si>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</si>
  <si>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</si>
  <si>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</si>
  <si>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</si>
  <si>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</si>
  <si>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</si>
  <si>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</si>
  <si>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</si>
  <si>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</si>
  <si>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</si>
  <si>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</si>
  <si>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</si>
  <si>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</si>
  <si>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</si>
  <si>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</si>
  <si>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</si>
  <si>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</si>
  <si>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</si>
  <si>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</si>
  <si>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</si>
  <si>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</si>
  <si>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</si>
  <si>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</si>
  <si>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</si>
  <si>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</si>
  <si>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</si>
  <si>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</si>
  <si>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</si>
  <si>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</si>
  <si>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</si>
  <si>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</si>
  <si>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</si>
  <si>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</si>
  <si>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</si>
  <si>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</si>
  <si>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</si>
  <si>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</si>
  <si>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</si>
  <si>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</si>
  <si>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</si>
  <si>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</si>
  <si>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</si>
  <si>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</si>
  <si>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</si>
  <si>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</si>
  <si>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</si>
  <si>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</si>
  <si>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</si>
  <si>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</si>
  <si>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</si>
  <si>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</si>
  <si>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</si>
  <si>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</si>
  <si>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</si>
  <si>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</si>
  <si>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</si>
  <si>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</si>
  <si>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</si>
  <si>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</si>
  <si>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</si>
  <si>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</si>
  <si>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</si>
  <si>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</si>
  <si>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</si>
  <si>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</si>
  <si>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</si>
  <si>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</si>
  <si>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</si>
  <si>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</si>
  <si>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</si>
  <si>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</si>
  <si>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</si>
  <si>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</si>
  <si>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</si>
  <si>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</si>
  <si>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</si>
  <si>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</si>
  <si>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</si>
  <si>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</si>
  <si>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</si>
  <si>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</si>
  <si>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</si>
  <si>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</si>
  <si>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</si>
  <si>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</si>
  <si>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</si>
  <si>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</si>
  <si>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</si>
  <si>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</si>
  <si>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</si>
  <si>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</si>
  <si>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</si>
  <si>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</si>
  <si>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</si>
  <si>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</si>
  <si>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</si>
  <si>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</si>
  <si>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</si>
  <si>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</si>
  <si>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</si>
  <si>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</si>
  <si>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</si>
  <si>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</si>
  <si>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</si>
  <si>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</si>
  <si>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</si>
  <si>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</si>
  <si>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</si>
  <si>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</si>
  <si>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</si>
  <si>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</si>
  <si>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</si>
  <si>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</si>
  <si>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</si>
  <si>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</si>
  <si>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</si>
  <si>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</si>
  <si>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</si>
  <si>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</si>
  <si>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</si>
  <si>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</si>
  <si>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</si>
  <si>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</si>
  <si>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</si>
  <si>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</si>
  <si>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</si>
  <si>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</si>
  <si>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</si>
  <si>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</si>
  <si>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</si>
  <si>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</si>
  <si>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</si>
  <si>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</si>
  <si>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</si>
  <si>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</si>
  <si>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</si>
  <si>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</si>
  <si>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</si>
  <si>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</si>
  <si>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</si>
  <si>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</si>
  <si>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</si>
  <si>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</si>
  <si>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</si>
  <si>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</si>
  <si>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</si>
  <si>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</si>
  <si>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</si>
  <si>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</si>
  <si>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</si>
  <si>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</si>
  <si>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</si>
  <si>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</si>
  <si>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</si>
  <si>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</si>
  <si>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</si>
  <si>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</si>
  <si>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</si>
  <si>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</si>
  <si>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</si>
  <si>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</si>
  <si>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</si>
  <si>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</si>
  <si>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</si>
  <si>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</si>
  <si>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</si>
  <si>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</si>
  <si>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</si>
  <si>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</si>
  <si>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</si>
  <si>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</si>
  <si>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</si>
  <si>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</si>
  <si>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</si>
  <si>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</si>
  <si>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</si>
  <si>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</si>
  <si>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</si>
  <si>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</si>
  <si>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</si>
  <si>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</si>
  <si>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</si>
  <si>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</si>
  <si>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</si>
  <si>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</si>
  <si>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</si>
  <si>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</si>
  <si>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</si>
  <si>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</si>
  <si>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</si>
  <si>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</si>
  <si>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</si>
  <si>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</si>
  <si>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</si>
  <si>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</si>
  <si>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</si>
  <si>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</si>
  <si>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</si>
  <si>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</si>
  <si>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</si>
  <si>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</si>
  <si>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</si>
  <si>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</si>
  <si>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</si>
  <si>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</si>
  <si>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</si>
  <si>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</si>
  <si>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</si>
  <si>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</si>
  <si>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</si>
  <si>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</si>
  <si>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</si>
  <si>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</si>
  <si>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</si>
  <si>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</si>
  <si>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</si>
  <si>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</si>
  <si>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</si>
  <si>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</si>
  <si>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</si>
  <si>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</si>
  <si>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</si>
  <si>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</si>
  <si>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</si>
  <si>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</si>
  <si>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</si>
  <si>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</si>
  <si>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</si>
  <si>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</si>
  <si>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</si>
  <si>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</si>
  <si>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</si>
  <si>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</si>
  <si>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</si>
  <si>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</si>
  <si>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</si>
  <si>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</si>
  <si>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</si>
  <si>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</si>
  <si>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</si>
  <si>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</si>
  <si>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</si>
  <si>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</si>
  <si>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</si>
  <si>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</si>
  <si>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</si>
  <si>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</si>
  <si>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</si>
  <si>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</si>
  <si>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</si>
  <si>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</si>
  <si>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</si>
  <si>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</si>
  <si>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</si>
  <si>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</si>
  <si>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</si>
  <si>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</si>
  <si>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</si>
  <si>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</si>
  <si>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</si>
  <si>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</si>
  <si>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</si>
  <si>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</si>
  <si>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</si>
  <si>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</si>
  <si>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</si>
  <si>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</si>
  <si>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</si>
  <si>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</si>
  <si>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</si>
  <si>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</si>
  <si>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</si>
  <si>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</si>
  <si>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</si>
  <si>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</si>
  <si>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</si>
  <si>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</si>
  <si>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</si>
  <si>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</si>
  <si>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</si>
  <si>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</si>
  <si>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</si>
  <si>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</si>
  <si>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</si>
  <si>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</si>
  <si>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</si>
  <si>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</si>
  <si>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</si>
  <si>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</si>
  <si>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</si>
  <si>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</si>
  <si>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</si>
  <si>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</si>
  <si>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</si>
  <si>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</si>
  <si>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</si>
  <si>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</si>
  <si>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</si>
  <si>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</si>
  <si>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</si>
  <si>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</si>
  <si>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</si>
  <si>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</si>
  <si>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</si>
  <si>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</si>
  <si>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</si>
  <si>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</si>
  <si>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</si>
  <si>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</si>
  <si>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</si>
  <si>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</si>
  <si>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</si>
  <si>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</si>
  <si>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</si>
  <si>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</si>
  <si>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</si>
  <si>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</si>
  <si>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</si>
  <si>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</si>
  <si>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</si>
  <si>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</si>
  <si>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</si>
  <si>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</si>
  <si>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</si>
  <si>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</si>
  <si>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</si>
  <si>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</si>
  <si>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</si>
  <si>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</si>
  <si>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</si>
  <si>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</si>
  <si>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</si>
  <si>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</si>
  <si>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</si>
  <si>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</si>
  <si>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</si>
  <si>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</si>
  <si>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</si>
  <si>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</si>
  <si>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</si>
  <si>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</si>
  <si>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</si>
  <si>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</si>
  <si>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</si>
  <si>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</si>
  <si>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</si>
  <si>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</si>
  <si>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</si>
  <si>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</si>
  <si>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</si>
  <si>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</si>
  <si>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</si>
  <si>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</si>
  <si>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</si>
  <si>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</si>
  <si>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</si>
  <si>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</si>
  <si>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</si>
  <si>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</si>
  <si>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</si>
  <si>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</si>
  <si>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</si>
  <si>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</si>
  <si>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</si>
  <si>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</si>
  <si>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</si>
  <si>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</si>
  <si>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</si>
  <si>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</si>
  <si>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</si>
  <si>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</si>
  <si>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</si>
  <si>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</si>
  <si>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</si>
  <si>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</si>
  <si>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</si>
  <si>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</si>
  <si>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</si>
  <si>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</si>
  <si>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</si>
  <si>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</si>
  <si>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</si>
  <si>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</si>
  <si>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</si>
  <si>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</si>
  <si>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</si>
  <si>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</si>
  <si>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</si>
  <si>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</si>
  <si>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</si>
  <si>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</si>
  <si>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</si>
  <si>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</si>
  <si>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</si>
  <si>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</si>
  <si>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</si>
  <si>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</si>
  <si>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</si>
  <si>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</si>
  <si>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</si>
  <si>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</si>
  <si>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</si>
  <si>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</si>
  <si>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</si>
  <si>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</si>
  <si>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</si>
  <si>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</si>
  <si>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</si>
  <si>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</si>
  <si>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</si>
  <si>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</si>
  <si>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</si>
  <si>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</si>
  <si>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</si>
  <si>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</si>
  <si>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</si>
  <si>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</si>
  <si>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</si>
  <si>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</si>
  <si>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</si>
  <si>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</si>
  <si>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</si>
  <si>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</si>
  <si>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</si>
  <si>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</si>
  <si>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</si>
  <si>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</si>
  <si>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</si>
  <si>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</si>
  <si>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</si>
  <si>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</si>
  <si>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</si>
  <si>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</si>
  <si>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</si>
  <si>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</si>
  <si>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</si>
  <si>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</si>
  <si>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</si>
  <si>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</si>
  <si>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</si>
  <si>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</si>
  <si>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</si>
  <si>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</si>
  <si>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</si>
  <si>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</si>
  <si>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</si>
  <si>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</si>
  <si>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</si>
  <si>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</si>
  <si>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</si>
  <si>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</si>
  <si>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</si>
  <si>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</si>
  <si>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</si>
  <si>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</si>
  <si>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</si>
  <si>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</si>
  <si>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</si>
  <si>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</si>
  <si>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</si>
  <si>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</si>
  <si>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</si>
  <si>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</si>
  <si>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</si>
  <si>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</si>
  <si>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</si>
  <si>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</si>
  <si>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</si>
  <si>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</si>
  <si>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</si>
  <si>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</si>
  <si>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</si>
  <si>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</si>
  <si>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</si>
  <si>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</si>
  <si>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</si>
  <si>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</si>
  <si>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</si>
  <si>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</si>
  <si>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</si>
  <si>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</si>
  <si>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</si>
  <si>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</si>
  <si>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</si>
  <si>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</si>
  <si>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</si>
  <si>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</si>
  <si>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</si>
  <si>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</si>
  <si>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</si>
  <si>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</si>
  <si>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</si>
  <si>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</si>
  <si>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</si>
  <si>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</si>
  <si>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</si>
  <si>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</si>
  <si>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</si>
  <si>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</si>
  <si>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</si>
  <si>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</si>
  <si>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</si>
  <si>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</si>
  <si>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</si>
  <si>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</si>
  <si>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</si>
  <si>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</si>
  <si>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</si>
  <si>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</si>
  <si>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</si>
  <si>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</si>
  <si>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</si>
  <si>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</si>
  <si>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</si>
  <si>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</si>
  <si>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</si>
  <si>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</si>
  <si>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</si>
  <si>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</si>
  <si>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</si>
  <si>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</si>
  <si>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</si>
  <si>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</si>
  <si>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</si>
  <si>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</si>
  <si>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</si>
  <si>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</si>
  <si>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</si>
  <si>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</si>
  <si>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</si>
  <si>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</si>
  <si>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</si>
  <si>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</si>
  <si>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</si>
  <si>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</si>
  <si>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</si>
  <si>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</si>
  <si>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</si>
  <si>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</si>
  <si>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</si>
  <si>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</si>
  <si>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</si>
  <si>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</si>
  <si>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</si>
  <si>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</si>
  <si>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</si>
  <si>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</si>
  <si>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</si>
  <si>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</si>
  <si>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</si>
  <si>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</si>
  <si>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</si>
  <si>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</si>
  <si>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</si>
  <si>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</si>
  <si>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</si>
  <si>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</si>
  <si>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</si>
  <si>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</si>
  <si>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</si>
  <si>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</si>
  <si>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</si>
  <si>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</si>
  <si>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</si>
  <si>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</si>
  <si>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</si>
  <si>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</si>
  <si>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</si>
  <si>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</si>
  <si>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</si>
  <si>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</si>
  <si>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</si>
  <si>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</si>
  <si>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</si>
  <si>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</si>
  <si>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</si>
  <si>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</si>
  <si>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</si>
  <si>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</si>
  <si>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</si>
  <si>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</si>
  <si>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</si>
  <si>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</si>
  <si>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</si>
  <si>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</si>
  <si>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</si>
  <si>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</si>
  <si>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</si>
  <si>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</si>
  <si>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</si>
  <si>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</si>
  <si>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</si>
  <si>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</si>
  <si>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</si>
  <si>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</si>
  <si>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</si>
  <si>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</si>
  <si>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</si>
  <si>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</si>
  <si>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</si>
  <si>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</si>
  <si>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</si>
  <si>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</si>
  <si>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</si>
  <si>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</si>
  <si>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</si>
  <si>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</si>
  <si>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</si>
  <si>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</si>
  <si>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</si>
  <si>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</si>
  <si>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</si>
  <si>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</si>
  <si>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</si>
  <si>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</si>
  <si>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</si>
  <si>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</si>
  <si>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</si>
  <si>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</si>
  <si>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</si>
  <si>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</si>
  <si>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</si>
  <si>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</si>
  <si>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</si>
  <si>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</si>
  <si>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</si>
  <si>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</si>
  <si>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</si>
  <si>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</si>
  <si>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</si>
  <si>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</si>
  <si>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</si>
  <si>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</si>
  <si>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</si>
  <si>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</si>
  <si>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</si>
  <si>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</si>
  <si>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</si>
  <si>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</si>
  <si>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</si>
  <si>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</si>
  <si>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</si>
  <si>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</si>
  <si>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</si>
  <si>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</si>
  <si>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</si>
  <si>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</si>
  <si>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</si>
  <si>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</si>
  <si>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</si>
  <si>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</si>
  <si>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</si>
  <si>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</si>
  <si>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</si>
  <si>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</si>
  <si>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</si>
  <si>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</si>
  <si>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</si>
  <si>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</si>
  <si>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</si>
  <si>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</si>
  <si>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</si>
  <si>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</si>
  <si>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</si>
  <si>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</si>
  <si>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</si>
  <si>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</si>
  <si>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</si>
  <si>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</si>
  <si>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</si>
  <si>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</si>
  <si>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</si>
  <si>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</si>
  <si>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</si>
  <si>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</si>
  <si>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</si>
  <si>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</si>
  <si>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</si>
  <si>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</si>
  <si>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</si>
  <si>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</si>
  <si>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</si>
  <si>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</si>
  <si>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</si>
  <si>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</si>
  <si>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</si>
  <si>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</si>
  <si>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</si>
  <si>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</si>
  <si>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</si>
  <si>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</si>
  <si>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</si>
  <si>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</si>
  <si>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</si>
  <si>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</si>
  <si>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</si>
  <si>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</si>
  <si>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</si>
  <si>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</si>
  <si>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</si>
  <si>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</si>
  <si>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</si>
  <si>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</si>
  <si>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</si>
  <si>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</si>
  <si>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</si>
  <si>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</si>
  <si>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</si>
  <si>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</si>
  <si>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</si>
  <si>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</si>
  <si>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</si>
  <si>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</si>
  <si>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</si>
  <si>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</si>
  <si>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</si>
  <si>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</si>
  <si>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</si>
  <si>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</si>
  <si>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</si>
  <si>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</si>
  <si>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</si>
  <si>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</si>
  <si>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</si>
  <si>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</si>
  <si>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</si>
  <si>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</si>
  <si>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</si>
  <si>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</si>
  <si>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</si>
  <si>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</si>
  <si>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</si>
  <si>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</si>
  <si>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</si>
  <si>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</si>
  <si>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</si>
  <si>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</si>
  <si>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</si>
  <si>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</si>
  <si>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</si>
  <si>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</si>
  <si>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</si>
  <si>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</si>
  <si>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</si>
  <si>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</si>
  <si>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</si>
  <si>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</si>
  <si>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</si>
  <si>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</si>
  <si>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</si>
  <si>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</si>
  <si>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</si>
  <si>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</si>
  <si>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</si>
  <si>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</si>
  <si>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</si>
  <si>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</si>
  <si>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</si>
  <si>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</si>
  <si>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</si>
  <si>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</si>
  <si>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</si>
  <si>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</si>
  <si>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</si>
  <si>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</si>
  <si>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</si>
  <si>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</si>
  <si>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</si>
  <si>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</si>
  <si>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</si>
  <si>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</si>
  <si>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</si>
  <si>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</si>
  <si>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</si>
  <si>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</si>
  <si>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</si>
  <si>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</si>
  <si>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</si>
  <si>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</si>
  <si>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</si>
  <si>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</si>
  <si>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</si>
  <si>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</si>
  <si>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</si>
  <si>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</si>
  <si>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</si>
  <si>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</si>
  <si>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</si>
  <si>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</si>
  <si>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</si>
  <si>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</si>
  <si>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</si>
  <si>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</si>
  <si>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</si>
  <si>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</si>
  <si>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</si>
  <si>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</si>
  <si>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</si>
  <si>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</si>
  <si>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</si>
  <si>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</si>
  <si>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</si>
  <si>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</si>
  <si>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</si>
  <si>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</si>
  <si>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</si>
  <si>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</si>
  <si>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</si>
  <si>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</si>
  <si>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</si>
  <si>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</si>
  <si>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</si>
  <si>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</si>
  <si>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</si>
  <si>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</si>
  <si>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</si>
  <si>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</si>
  <si>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</si>
  <si>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</si>
  <si>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</si>
  <si>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</si>
  <si>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</si>
  <si>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</si>
  <si>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</si>
  <si>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</si>
  <si>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</si>
  <si>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</si>
  <si>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</si>
  <si>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</si>
  <si>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</si>
  <si>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</si>
  <si>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</si>
  <si>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</si>
  <si>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</si>
  <si>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</si>
  <si>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</si>
  <si>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</si>
  <si>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</si>
  <si>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</si>
  <si>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</si>
  <si>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</si>
  <si>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</si>
  <si>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</si>
  <si>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</si>
  <si>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</si>
  <si>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</si>
  <si>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</si>
  <si>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</si>
  <si>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</si>
  <si>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</si>
  <si>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</si>
  <si>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</si>
  <si>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</si>
  <si>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</si>
  <si>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</si>
  <si>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</si>
  <si>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</si>
  <si>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</si>
  <si>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</si>
  <si>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</si>
  <si>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</si>
  <si>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</si>
  <si>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</si>
  <si>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</si>
  <si>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</si>
  <si>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</si>
  <si>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</si>
  <si>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</si>
  <si>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</si>
  <si>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</si>
  <si>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</si>
  <si>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</si>
  <si>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</si>
  <si>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</si>
  <si>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</si>
  <si>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</si>
  <si>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</si>
  <si>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</si>
  <si>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</si>
  <si>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</si>
  <si>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</si>
  <si>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</si>
  <si>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</si>
  <si>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</si>
  <si>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</si>
  <si>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</si>
  <si>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</si>
  <si>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</si>
  <si>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</si>
  <si>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</si>
  <si>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</si>
  <si>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</si>
  <si>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</si>
  <si>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</si>
  <si>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</si>
  <si>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</si>
  <si>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</si>
  <si>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</si>
  <si>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</si>
  <si>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</si>
  <si>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</si>
  <si>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</si>
  <si>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</si>
  <si>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</si>
  <si>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</si>
  <si>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</si>
  <si>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</si>
  <si>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</si>
  <si>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</si>
  <si>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</si>
  <si>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</si>
  <si>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</si>
  <si>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</si>
  <si>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</si>
  <si>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</si>
  <si>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</si>
  <si>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</si>
  <si>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</si>
  <si>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</si>
  <si>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</si>
  <si>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</si>
  <si>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</si>
  <si>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</si>
  <si>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</si>
  <si>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</si>
  <si>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</si>
  <si>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</si>
  <si>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</si>
  <si>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</si>
  <si>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</si>
  <si>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</si>
  <si>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</si>
  <si>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</si>
  <si>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</si>
  <si>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</si>
  <si>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</si>
  <si>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</si>
  <si>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</si>
  <si>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</si>
  <si>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</si>
  <si>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</si>
  <si>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</si>
  <si>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</si>
  <si>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</si>
  <si>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</si>
  <si>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</si>
  <si>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</si>
  <si>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</si>
  <si>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</si>
  <si>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</si>
  <si>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</si>
  <si>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</si>
  <si>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</si>
  <si>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</si>
  <si>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</si>
  <si>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</si>
  <si>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</si>
  <si>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</si>
  <si>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</si>
  <si>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</si>
  <si>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</si>
  <si>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</si>
  <si>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</si>
  <si>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</si>
  <si>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</si>
  <si>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</si>
  <si>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</si>
  <si>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</si>
  <si>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</si>
  <si>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</si>
  <si>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</si>
  <si>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</si>
  <si>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</si>
  <si>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</si>
  <si>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</si>
  <si>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</si>
  <si>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</si>
  <si>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</si>
  <si>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</si>
  <si>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</si>
  <si>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</si>
  <si>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</si>
  <si>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</si>
  <si>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</si>
  <si>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</si>
  <si>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</si>
  <si>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</si>
  <si>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</si>
  <si>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</si>
  <si>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</si>
  <si>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</si>
  <si>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</si>
  <si>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</si>
  <si>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</si>
  <si>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</si>
  <si>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</si>
  <si>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</si>
  <si>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</si>
  <si>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</si>
  <si>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</si>
  <si>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</si>
  <si>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</si>
  <si>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</si>
  <si>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</si>
  <si>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</si>
  <si>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</si>
  <si>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</si>
  <si>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</si>
  <si>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</si>
  <si>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</si>
  <si>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</si>
  <si>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</si>
  <si>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</si>
  <si>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</si>
  <si>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</si>
  <si>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</si>
  <si>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</si>
  <si>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</si>
  <si>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</si>
  <si>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</si>
  <si>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</si>
  <si>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</si>
  <si>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</si>
  <si>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</si>
  <si>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</si>
  <si>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</si>
  <si>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</si>
  <si>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</si>
  <si>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</si>
  <si>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</si>
  <si>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</si>
  <si>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</si>
  <si>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</si>
  <si>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</si>
  <si>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</si>
  <si>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</si>
  <si>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</si>
  <si>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</si>
  <si>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</si>
  <si>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</si>
  <si>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</si>
  <si>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</si>
  <si>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</si>
  <si>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</si>
  <si>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</si>
  <si>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</si>
  <si>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</si>
  <si>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</si>
  <si>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</si>
  <si>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</si>
  <si>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</si>
  <si>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</si>
  <si>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</si>
  <si>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</si>
  <si>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</si>
  <si>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</si>
  <si>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</si>
  <si>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</si>
  <si>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</si>
  <si>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</si>
  <si>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</si>
  <si>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</si>
  <si>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</si>
  <si>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</si>
  <si>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</si>
  <si>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</si>
  <si>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</si>
  <si>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</si>
  <si>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</si>
  <si>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</si>
  <si>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</si>
  <si>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</si>
  <si>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</si>
  <si>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</si>
  <si>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</si>
  <si>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</si>
  <si>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</si>
  <si>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</si>
  <si>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</si>
  <si>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</si>
  <si>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</si>
  <si>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</si>
  <si>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</si>
  <si>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</si>
  <si>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</si>
  <si>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</si>
  <si>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</si>
  <si>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</si>
  <si>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</si>
  <si>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</si>
  <si>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</si>
  <si>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</si>
  <si>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</si>
  <si>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</si>
  <si>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</si>
  <si>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</si>
  <si>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</si>
  <si>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</si>
  <si>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</si>
  <si>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</si>
  <si>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</si>
  <si>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</si>
  <si>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</si>
  <si>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</si>
  <si>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</si>
  <si>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</si>
  <si>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</si>
  <si>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</si>
  <si>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</si>
  <si>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</si>
  <si>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</si>
  <si>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</si>
  <si>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</si>
  <si>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</si>
  <si>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</si>
  <si>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</si>
  <si>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</si>
  <si>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</si>
  <si>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</si>
  <si>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</si>
  <si>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</si>
  <si>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</si>
  <si>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</si>
  <si>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</si>
  <si>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</si>
  <si>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</si>
  <si>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</si>
  <si>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</si>
  <si>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</si>
  <si>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</si>
  <si>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</si>
  <si>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</si>
  <si>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</si>
  <si>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</si>
  <si>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</si>
  <si>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</si>
  <si>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</si>
  <si>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</si>
  <si>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</si>
  <si>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</si>
  <si>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</si>
  <si>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</si>
  <si>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</si>
  <si>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</si>
  <si>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</si>
  <si>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</si>
  <si>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</si>
  <si>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</si>
  <si>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</si>
  <si>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</si>
  <si>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</si>
  <si>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</si>
  <si>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</si>
  <si>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</si>
  <si>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</si>
  <si>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</si>
  <si>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</si>
  <si>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</si>
  <si>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</si>
  <si>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</si>
  <si>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</si>
  <si>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</si>
  <si>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</si>
  <si>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</si>
  <si>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</si>
  <si>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</si>
  <si>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</si>
  <si>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</si>
  <si>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</si>
  <si>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</si>
  <si>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</si>
  <si>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</si>
  <si>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</si>
  <si>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</si>
  <si>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</si>
  <si>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</si>
  <si>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</si>
  <si>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</si>
  <si>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</si>
  <si>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</si>
  <si>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</si>
  <si>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</si>
  <si>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</si>
  <si>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</si>
  <si>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</si>
  <si>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</si>
  <si>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</si>
  <si>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</si>
  <si>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</si>
  <si>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</si>
  <si>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</si>
  <si>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</si>
  <si>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</si>
  <si>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</si>
  <si>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</si>
  <si>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</si>
  <si>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</si>
  <si>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</si>
  <si>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</si>
  <si>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</si>
  <si>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</si>
  <si>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</si>
  <si>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</si>
  <si>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</si>
  <si>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</si>
  <si>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</si>
  <si>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</si>
  <si>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</si>
  <si>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</si>
  <si>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</si>
  <si>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</si>
  <si>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</si>
  <si>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</si>
  <si>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</si>
  <si>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</si>
  <si>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</si>
  <si>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</si>
  <si>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</si>
  <si>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</si>
  <si>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</si>
  <si>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</si>
  <si>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</si>
  <si>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</si>
  <si>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</si>
  <si>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</si>
  <si>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</si>
  <si>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</si>
  <si>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</si>
  <si>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</si>
  <si>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</si>
  <si>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</si>
  <si>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</si>
  <si>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</si>
  <si>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</si>
  <si>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</si>
  <si>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</si>
  <si>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</si>
  <si>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</si>
  <si>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</si>
  <si>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</si>
  <si>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</si>
  <si>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</si>
  <si>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</si>
  <si>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</si>
  <si>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</si>
  <si>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</si>
  <si>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</si>
  <si>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</si>
  <si>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</si>
  <si>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</si>
  <si>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</si>
  <si>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</si>
  <si>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</si>
  <si>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</si>
  <si>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</si>
  <si>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</si>
  <si>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</si>
  <si>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</si>
  <si>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</si>
  <si>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</si>
  <si>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</si>
  <si>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</si>
  <si>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</si>
  <si>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</si>
  <si>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</si>
  <si>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</si>
  <si>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</si>
  <si>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</si>
  <si>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</si>
  <si>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</si>
  <si>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</si>
  <si>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</si>
  <si>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</si>
  <si>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</si>
  <si>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</si>
  <si>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</si>
  <si>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</si>
  <si>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</si>
  <si>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</si>
  <si>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</si>
  <si>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</si>
  <si>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</si>
  <si>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</si>
  <si>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</si>
  <si>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</si>
  <si>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</si>
  <si>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</si>
  <si>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</si>
  <si>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</si>
  <si>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</si>
  <si>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</si>
  <si>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</si>
  <si>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</si>
  <si>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</si>
  <si>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</si>
  <si>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</si>
  <si>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</si>
  <si>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</si>
  <si>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</si>
  <si>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</si>
  <si>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</si>
  <si>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</si>
  <si>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</si>
  <si>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</si>
  <si>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</si>
  <si>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</si>
  <si>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</si>
  <si>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</si>
  <si>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</si>
  <si>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</si>
  <si>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</si>
  <si>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</si>
  <si>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</si>
  <si>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</si>
  <si>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</si>
  <si>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</si>
  <si>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</si>
  <si>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</si>
  <si>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</si>
  <si>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</si>
  <si>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</si>
  <si>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</si>
  <si>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</si>
  <si>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</si>
  <si>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</si>
  <si>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</si>
  <si>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</si>
  <si>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</si>
  <si>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</si>
  <si>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</si>
  <si>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</si>
  <si>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</si>
  <si>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</si>
  <si>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</si>
  <si>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</si>
  <si>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</si>
  <si>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</si>
  <si>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</si>
  <si>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</si>
  <si>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</si>
  <si>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</si>
  <si>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</si>
  <si>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</si>
  <si>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</si>
  <si>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</si>
  <si>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</si>
  <si>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</si>
  <si>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</si>
  <si>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</si>
  <si>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</si>
  <si>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</si>
  <si>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</si>
  <si>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</si>
  <si>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</si>
  <si>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</si>
  <si>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</si>
  <si>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</si>
  <si>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</si>
  <si>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</si>
  <si>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</si>
  <si>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</si>
  <si>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</si>
  <si>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</si>
  <si>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</si>
  <si>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</si>
  <si>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</si>
  <si>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</si>
  <si>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</si>
  <si>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</si>
  <si>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</si>
  <si>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</si>
  <si>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</si>
  <si>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</si>
  <si>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</si>
  <si>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</si>
  <si>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</si>
  <si>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</si>
  <si>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</si>
  <si>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</si>
  <si>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</si>
  <si>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</si>
  <si>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</si>
  <si>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</si>
  <si>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</si>
  <si>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</si>
  <si>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</si>
  <si>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</si>
  <si>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</si>
  <si>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</si>
  <si>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</si>
  <si>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</si>
  <si>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</si>
  <si>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</si>
  <si>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</si>
  <si>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</si>
  <si>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</si>
  <si>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</si>
  <si>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</si>
  <si>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</si>
  <si>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</si>
  <si>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</si>
  <si>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</si>
  <si>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</si>
  <si>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</si>
  <si>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</si>
  <si>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</si>
  <si>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</si>
  <si>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</si>
  <si>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</si>
  <si>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</si>
  <si>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</si>
  <si>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</si>
  <si>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</si>
  <si>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</si>
  <si>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</si>
  <si>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</si>
  <si>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</si>
  <si>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</si>
  <si>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</si>
  <si>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</si>
  <si>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</si>
  <si>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</si>
  <si>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</si>
  <si>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</si>
  <si>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</si>
  <si>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</si>
  <si>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</si>
  <si>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</si>
  <si>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</si>
  <si>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</si>
  <si>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</si>
  <si>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</si>
  <si>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</si>
  <si>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</si>
  <si>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</si>
  <si>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</si>
  <si>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</si>
  <si>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</si>
  <si>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</si>
  <si>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</si>
  <si>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</si>
  <si>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</si>
  <si>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</si>
  <si>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</si>
  <si>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</si>
  <si>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</si>
  <si>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</si>
  <si>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</si>
  <si>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</si>
  <si>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</si>
  <si>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</si>
  <si>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</si>
  <si>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</si>
  <si>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</si>
  <si>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</si>
  <si>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</si>
  <si>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</si>
  <si>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</si>
  <si>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</si>
  <si>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</si>
  <si>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</si>
  <si>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</si>
  <si>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</si>
  <si>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</si>
  <si>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</si>
  <si>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</si>
  <si>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</si>
  <si>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</si>
  <si>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</si>
  <si>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</si>
  <si>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</si>
  <si>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</si>
  <si>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</si>
  <si>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</si>
  <si>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</si>
  <si>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</si>
  <si>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</si>
  <si>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</si>
  <si>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</si>
  <si>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</si>
  <si>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</si>
  <si>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</si>
  <si>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</si>
  <si>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</si>
  <si>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</si>
  <si>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</si>
  <si>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</si>
  <si>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</si>
  <si>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</si>
  <si>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</si>
  <si>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</si>
  <si>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</si>
  <si>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</si>
  <si>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</si>
  <si>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</si>
  <si>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</si>
  <si>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</si>
  <si>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</si>
  <si>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</si>
  <si>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</si>
  <si>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</si>
  <si>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</si>
  <si>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</si>
  <si>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</si>
  <si>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</si>
  <si>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</si>
  <si>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</si>
  <si>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</si>
  <si>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</si>
  <si>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</si>
  <si>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</si>
  <si>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</si>
  <si>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</si>
  <si>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</si>
  <si>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</si>
  <si>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</si>
  <si>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</si>
  <si>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</si>
  <si>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</si>
  <si>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</si>
  <si>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</si>
  <si>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</si>
  <si>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</si>
  <si>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</si>
  <si>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</si>
  <si>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</si>
  <si>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</si>
  <si>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</si>
  <si>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</si>
  <si>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</si>
  <si>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</si>
  <si>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</si>
  <si>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</si>
  <si>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</si>
  <si>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</si>
  <si>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</si>
  <si>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</si>
  <si>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</si>
  <si>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</si>
  <si>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</si>
  <si>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</si>
  <si>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</si>
  <si>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</si>
  <si>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</si>
  <si>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</si>
  <si>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</si>
  <si>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</si>
  <si>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</si>
  <si>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</si>
  <si>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</si>
  <si>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</si>
  <si>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</si>
  <si>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</si>
  <si>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</si>
  <si>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</si>
  <si>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</si>
  <si>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</si>
  <si>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</si>
  <si>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</si>
  <si>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</si>
  <si>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</si>
  <si>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</si>
  <si>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</si>
  <si>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</si>
  <si>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</si>
  <si>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</si>
  <si>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</si>
  <si>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</si>
  <si>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</si>
  <si>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</si>
  <si>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</si>
  <si>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</si>
  <si>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</si>
  <si>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</si>
  <si>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</si>
  <si>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</si>
  <si>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</si>
  <si>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</si>
  <si>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</si>
  <si>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</si>
  <si>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</si>
  <si>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</si>
  <si>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</si>
  <si>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</si>
  <si>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</si>
  <si>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</si>
  <si>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</si>
  <si>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</si>
  <si>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</si>
  <si>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</si>
  <si>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</si>
  <si>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</si>
  <si>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</si>
  <si>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</si>
  <si>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</si>
  <si>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</si>
  <si>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</si>
  <si>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</si>
  <si>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</si>
  <si>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</si>
  <si>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</si>
  <si>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</si>
  <si>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</si>
  <si>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</si>
  <si>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</si>
  <si>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</si>
  <si>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</si>
  <si>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</si>
  <si>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</si>
  <si>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</si>
  <si>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</si>
  <si>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</si>
  <si>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</si>
  <si>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</si>
  <si>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</si>
  <si>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</si>
  <si>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</si>
  <si>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</si>
  <si>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</si>
  <si>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</si>
  <si>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</si>
  <si>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</si>
  <si>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</si>
  <si>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</si>
  <si>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</si>
  <si>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</si>
  <si>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</si>
  <si>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</si>
  <si>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</si>
  <si>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</si>
  <si>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</si>
  <si>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</si>
  <si>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</si>
  <si>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</si>
  <si>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</si>
  <si>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</si>
  <si>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</si>
  <si>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</si>
  <si>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</si>
  <si>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</si>
  <si>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</si>
  <si>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</si>
  <si>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</si>
  <si>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</si>
  <si>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</si>
  <si>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</si>
  <si>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</si>
  <si>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</si>
  <si>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</si>
  <si>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</si>
  <si>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</si>
  <si>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</si>
  <si>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</si>
  <si>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</si>
  <si>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</si>
  <si>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</si>
  <si>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</si>
  <si>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</si>
  <si>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</si>
  <si>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</si>
  <si>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</si>
  <si>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</si>
  <si>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</si>
  <si>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</si>
  <si>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</si>
  <si>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</si>
  <si>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</si>
  <si>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</si>
  <si>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</si>
  <si>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</si>
  <si>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</si>
  <si>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</si>
  <si>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</si>
  <si>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</si>
  <si>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</si>
  <si>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</si>
  <si>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</si>
  <si>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</si>
  <si>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</si>
  <si>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</si>
  <si>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</si>
  <si>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</si>
  <si>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</si>
  <si>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</si>
  <si>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</si>
  <si>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</si>
  <si>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</si>
  <si>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</si>
  <si>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</si>
  <si>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</si>
  <si>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</si>
  <si>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</si>
  <si>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</si>
  <si>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</si>
  <si>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</si>
  <si>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</si>
  <si>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Harveys Supermarket</t>
  </si>
  <si>
    <t>Dollar General</t>
  </si>
  <si>
    <t>The Village on Park</t>
  </si>
  <si>
    <t>DCA Utility Allowances - Southern Region</t>
  </si>
  <si>
    <t>Electric Heat Pump</t>
  </si>
  <si>
    <t>Misc Administrative</t>
  </si>
  <si>
    <t>Cable TV &amp; Internet</t>
  </si>
  <si>
    <t>Holiday and semi-monthly birthday parties, pot-luck dinners</t>
  </si>
  <si>
    <t>Computer training, aerobics classes</t>
  </si>
  <si>
    <t>Agree</t>
  </si>
  <si>
    <t>Novogradac and Company, LLP</t>
  </si>
  <si>
    <t>12.31.2016</t>
  </si>
  <si>
    <t>The Village on Park, LP</t>
  </si>
  <si>
    <t>Georgia Power Company</t>
  </si>
  <si>
    <t>Washer and dryer in each unit</t>
  </si>
  <si>
    <t>Computer Center</t>
  </si>
  <si>
    <t>Equipped Fitness Facility</t>
  </si>
  <si>
    <t>MIDS Inc</t>
  </si>
  <si>
    <t>Competitive Round</t>
  </si>
  <si>
    <t>Earth Craft House Multifamily</t>
  </si>
  <si>
    <t>6.2.16</t>
  </si>
  <si>
    <t>Josh Thomason</t>
  </si>
  <si>
    <t>Upper</t>
  </si>
  <si>
    <t>A3</t>
  </si>
  <si>
    <t>Hahira Elementary School</t>
  </si>
  <si>
    <t>Hahira Middle School</t>
  </si>
  <si>
    <t>06, 07, 08</t>
  </si>
  <si>
    <t>PK, - 0.5</t>
  </si>
  <si>
    <t>09, 10, 11, 12</t>
  </si>
  <si>
    <t>Alga Development, LLC</t>
  </si>
  <si>
    <t>119 N. Robinson, Suite 630</t>
  </si>
  <si>
    <t>Oklahoma City</t>
  </si>
  <si>
    <t>Sterling Bank</t>
  </si>
  <si>
    <t>USDA RD 538</t>
  </si>
  <si>
    <t>Affordable Equity Partners, Inc</t>
  </si>
  <si>
    <t>GP &amp; LP Equity</t>
  </si>
  <si>
    <t>Amortizing</t>
  </si>
  <si>
    <t>State Boost</t>
  </si>
  <si>
    <t>206 Peach Way</t>
  </si>
  <si>
    <t>www.aepartners.com</t>
  </si>
  <si>
    <t>bkimes@aepartners.com</t>
  </si>
  <si>
    <t>Brian Kimes</t>
  </si>
  <si>
    <t>Vice President</t>
  </si>
  <si>
    <t>30.988020</t>
  </si>
  <si>
    <t>-.83.382642</t>
  </si>
  <si>
    <t>13185010202</t>
  </si>
  <si>
    <t>City of Hahira</t>
  </si>
  <si>
    <t>www.hahiraga.gov</t>
  </si>
  <si>
    <t>Mayor</t>
  </si>
  <si>
    <t>Bruce Cain</t>
  </si>
  <si>
    <t>bcain@hahiraga.gov</t>
  </si>
  <si>
    <t>102 South Church Street</t>
  </si>
  <si>
    <t>Member</t>
  </si>
  <si>
    <t>josh@peachtreehousing.com</t>
  </si>
  <si>
    <t>80 West Wieuca Road NE, Suite 204</t>
  </si>
  <si>
    <t>www.peachtreehousing.com</t>
  </si>
  <si>
    <t>Fairway Construction Co., Inc.</t>
  </si>
  <si>
    <t>www.fairwayconstruction.net</t>
  </si>
  <si>
    <t>Steven Hickey</t>
  </si>
  <si>
    <t>Director of Accounting and Operations</t>
  </si>
  <si>
    <t>shickey@fairwayconstuction.net</t>
  </si>
  <si>
    <t>Coleman Talley</t>
  </si>
  <si>
    <t>910 N. Patterson Street</t>
  </si>
  <si>
    <t>www.colemantalley.com</t>
  </si>
  <si>
    <t>tom.kurrie@colemantalley.com</t>
  </si>
  <si>
    <t>Thomas Kurrie, Jr.</t>
  </si>
  <si>
    <t>Managing Member</t>
  </si>
  <si>
    <t>Frost, Cummins, Tidwell Group</t>
  </si>
  <si>
    <t>2001 Park Place North</t>
  </si>
  <si>
    <t>Birmingham</t>
  </si>
  <si>
    <t>www.thefctgroup.com</t>
  </si>
  <si>
    <t>barry.tidwell@thefctgroup.com</t>
  </si>
  <si>
    <t>Barry Tidwell</t>
  </si>
  <si>
    <t>Martin Riley Associates Architects, PC</t>
  </si>
  <si>
    <t>215 Church St. Suite 200</t>
  </si>
  <si>
    <t>mriley@martinriley.com</t>
  </si>
  <si>
    <t>Mike Riley</t>
  </si>
  <si>
    <t>The Federal and State Syndicator and the Contractor are related parties.</t>
  </si>
  <si>
    <t>For Profit</t>
  </si>
  <si>
    <t>Ryan Hudspeth</t>
  </si>
  <si>
    <t>Village on Park GP, LLC</t>
  </si>
  <si>
    <t>Manager</t>
  </si>
  <si>
    <t>rhudspeth@belmontmgt.net</t>
  </si>
  <si>
    <t>W. Park Street</t>
  </si>
  <si>
    <t>908 W. Park Steet</t>
  </si>
  <si>
    <t>Direct</t>
  </si>
  <si>
    <t>The project team was qualified complete per pre-app number 2016PA-046, Taylor Landing Apartments. Since the pre-app application was submitted without a firm site committment, the site is now  W. Park Street, Hahira, GA, Lowndes County. The project team has not changed.</t>
  </si>
  <si>
    <t>119 N. Robinson Ave., Suite 630</t>
  </si>
  <si>
    <t>119 N Robinson  Ave., Suite 630</t>
  </si>
  <si>
    <t>The DCA Southern Region was used for this application.</t>
  </si>
  <si>
    <t>All financing commitments are provided in tab 01.</t>
  </si>
  <si>
    <t>This development meets the threshold for cost limits.</t>
  </si>
  <si>
    <t>This is a Family development.</t>
  </si>
  <si>
    <t>We agree to the required services selected above.</t>
  </si>
  <si>
    <t>The property was rezoned.</t>
  </si>
  <si>
    <t>Ground lease/Option</t>
  </si>
  <si>
    <t>N/Ap</t>
  </si>
  <si>
    <t>The property is zoned for multi-family, please see zoning letter and site plan in tab 10.</t>
  </si>
  <si>
    <t>n/a - This is a newconstruction development.</t>
  </si>
  <si>
    <t>Please see site plan in tab 16.</t>
  </si>
  <si>
    <t>The development will meet all energy requirements of the QAP and architectural manual.</t>
  </si>
  <si>
    <t>The development will meet all accessibility requirements.</t>
  </si>
  <si>
    <t>The development will meet all architectural design and standards.</t>
  </si>
  <si>
    <t>The project team is qualified w/o conditions. See tab 20 for qualification determination letter.</t>
  </si>
  <si>
    <t>All compliance history was submitted in the pre-application.</t>
  </si>
  <si>
    <t>n/a - This development is not in the CHDO set aside.</t>
  </si>
  <si>
    <t>n/a - This development is not for a non-profit entity.</t>
  </si>
  <si>
    <t>n/a -This development is not for a non-profit entity.</t>
  </si>
  <si>
    <t>Applicant agrees to optimal utilization of all resources. We utilized the GAP method to insure the project resources are efficient.</t>
  </si>
  <si>
    <t>Peachtree Housing Communities II, LLC</t>
  </si>
  <si>
    <t>Within City Limits</t>
  </si>
  <si>
    <t>Janice M. Butler, Personal Representative/Executor of the Estate of Herbert R. Butler</t>
  </si>
  <si>
    <t>605 West Main Street</t>
  </si>
  <si>
    <t>n/a - This is a new construction development, the property is vacant.</t>
  </si>
  <si>
    <t>www.midsinc.net/links/</t>
  </si>
  <si>
    <t>www.midsinc.net/service-areas/</t>
  </si>
  <si>
    <t>Land Lease</t>
  </si>
  <si>
    <t>2016PA-046</t>
  </si>
  <si>
    <t>Lowndes County - 692</t>
  </si>
  <si>
    <t>2-Story Walkup</t>
  </si>
  <si>
    <t>All services are available within 2 miles of the site, there are no undesirable activities. Please see tab 27 for Desirable/Undesirable Certification form. The proposed development is within 1.0 mile walking distance to at least three (3) desirable activities for the bonus point.</t>
  </si>
  <si>
    <t>Please see Tab 28 in this application for the Rural Transportation documentation.</t>
  </si>
  <si>
    <t>Please see tab 30 of the application for the scoring sheet for Earth Craft Multifamily and the Green Building for affordable Housing Certificate.</t>
  </si>
  <si>
    <t>The proposed development was annexed into the City of Hahira June 2, 2016. Please Tab 13 for evidence of the annexation. The City of Hahira has not received an award in the last Four (4) DCA funding cycles.</t>
  </si>
  <si>
    <t>Please see Tab 5 of the application for the market study.</t>
  </si>
  <si>
    <t>Please see Tab 00, Item Number 5 for Rural Designation proof. The proposed development consists of 64 units and is completely new construction.</t>
  </si>
  <si>
    <t>Please see Tab 42 for documentation confirming the proposed site is within the attendance zone of the elementary, middle and high schools and the 2014 CCRPI reports for the qualifying schools. All three schools have an CCRPI score that exceeds the state average threshold.</t>
  </si>
  <si>
    <t>Please see Tab 1, Item number 6 for real estate and insurance support documents.
*Building Design: Three-Story Walk-up. The applicant selected 2-story walk-up as the building design type to establish the correct cost limits for the proposed project.</t>
  </si>
  <si>
    <t>All commitment letters, USDA RD 538 and Equity, are provided in tab 01.</t>
  </si>
  <si>
    <t>&lt;65</t>
  </si>
  <si>
    <t>Geotechnical &amp; Environmental Consultants, Inc.</t>
  </si>
  <si>
    <t>Lowndes County High School</t>
  </si>
  <si>
    <t>1. APPLICATION COMPLETENESS: The applicant has reviewed the application and does not believe there are any missing or incomplete documents. Additionally, the applicant believes the application should not require any financial adjustments or other revisions.
2. DEEPER TARGETING / RENT / INCOME RESTRICTIONS: The applicant agrees to set income limits at 50% AMI and gross rents at or below 30% of the 50% income limit for at least 20% of total residential units.
7. STABLE COMMUNITIES: See Tab 31 of the application for the FFIEC Report and Census Tract for evidence the property is located within a Stable Communities Census Tract with less than 15% below poverty line and designated as a upper tract income level. Tab 31 of the application also contains the Public Health Map, which indicates that the property is located in the A3 Demographic Cluster. 
11. EXTENDED AFFORDABILITY COMMITMENT: The applicant agrees to forgo the cancellation option for at least five (5) years after the close of the compliance period.
17. INTEGRATED SUPPORTIVE HOUSING: The applicant agrees to accept Section 811 project based rental assistance or other DCA offered rental assistance for up to 10% of the units for the purpose of providing integrated housing opportunities to Persons with Disabilities. The applicant understands the requirements of HUD's Section 811 Project Rental Assistance (PRA) program, including the 30-year use restriction for all PRA units and applicant is willing to accept rents affordable to 50% AMI tenants.
20. COMPLIANCE / PERFORMANCE: Please see Tab 20 of the application for the Qualification Determination documentation.</t>
  </si>
  <si>
    <t>Magnolia Missionary Baptist Church</t>
  </si>
  <si>
    <t>8 Months</t>
  </si>
  <si>
    <t>Please see Tab 8 of the application fo site control documentation. The applicant is the entity with site control. The expiration date of 12.31.2016 is the initial closing date and applicant has the ability to extende the closing date twice for a period of 60 days each. The purchase and sale agreement was assigned to Village on Park GP, LLC, which then entered into a 50 year ground lease with the applicant, The Village on Park, LP ("Lessee") for an annual sum of $10 year.</t>
  </si>
  <si>
    <t>The site has road frontage on W. Park Street and W. Park Street, please see tab 09.</t>
  </si>
  <si>
    <t>5.31.16</t>
  </si>
  <si>
    <t>5.15.16</t>
  </si>
  <si>
    <t>Valdosta Daily Times</t>
  </si>
  <si>
    <t>Please see Tab 13 for documentation of public meeting notice and evidence of public meeting and presentation.</t>
  </si>
  <si>
    <t>Covered Porch</t>
  </si>
  <si>
    <t>Applicant agrees to Affirmatively Furthering Fair Housing.</t>
  </si>
  <si>
    <t>Please see Tab 37 of the Application for the appropriate documentation regarding the USDA-RD 538 loan, which includes the Notice of Funds Available Selection Letter and the related lender commitment.  In addition, the applicant has an option and legally binding long-term ground lease (for no less than 50 years) for nominal consideration and no other land costs for the entire property.</t>
  </si>
  <si>
    <t>Shawn Smith</t>
  </si>
  <si>
    <t>Manager of GP</t>
  </si>
  <si>
    <t>Randy Fleece</t>
  </si>
  <si>
    <t>President</t>
  </si>
  <si>
    <t>www.thegatewaycompanies.com</t>
  </si>
  <si>
    <t>rfleece@gatewaymgt.com</t>
  </si>
  <si>
    <t>22 Inverness Center Parkway, Suite 222</t>
  </si>
  <si>
    <t>The Federal and State Syndicator and the Construction Company are related parties.</t>
  </si>
  <si>
    <t>Please see Tab 1 for a schedule of values provided by Fairway Construction Co, Inc.
Per the QAP, a third party front-end analysis of the construction costs is required based on the IOI between the Federal and State Limited Partners and General Contractor. This is accounted for in the Accessibility Inspections and Plan Review line item.</t>
  </si>
  <si>
    <t>The project meets all of the market feasibility requirements. Please see Tab 5 for the market study.</t>
  </si>
  <si>
    <t>All locations are less than 65 DNL, therefore no interior or exterior noise mitigation is required.</t>
  </si>
  <si>
    <t>Please see availability letter from Georgia Power in Tab 11.</t>
  </si>
  <si>
    <t>Please see availability letter in Tab 12.</t>
  </si>
  <si>
    <t>5.13.16</t>
  </si>
  <si>
    <t>Public sign posted on site 5.13.16</t>
  </si>
  <si>
    <t>4.26.16</t>
  </si>
  <si>
    <t>Derrick Hamilton</t>
  </si>
  <si>
    <t>The Village on Park GP, LLC</t>
  </si>
  <si>
    <t>This section is not applicable.</t>
  </si>
  <si>
    <t>Gateway Management Company, LLC</t>
  </si>
  <si>
    <t>The Federal and State syndicator and the Construction Company are related parties.</t>
  </si>
  <si>
    <t xml:space="preserve">The Village on Park is a proposed 64 unit family housing development.  The Village on Park will be located in Hahira, Lowndes County, Georgia.  The property is located south of West Main, east of Union Road, and north of Park Street.  We believe that the development of The Village on Park will provide quality affordable housing to the residents of Lowndes County.  Not only will The Village on Park provide the needed housing and economic boost, but it will provide it in the most beneficial and desirous location.  There are a multitude of shopping and dining opportunities, a school and a library within two miles of The Village on Park.  
The families in Hahira need safer, quality affordable housing.  The Village on Park will meet those needs.
The Village on Park's site location is a USDA rural eligible location.  
The Village on Park will consist of three residential buildings and a clubhouse.  As stated previously, The Village on Park will be a family housing development and will have other amenities geared towards a family population, such as:  a playground, a covered porch for gathering, a clubhouse for community events, a fully equipped computer center, and a fitness center.
Furthermore, The Village on Park will also participate in the Earth Craft Multi-family program.  This will ensure that the property is developed in a sustainable manner and will extend the useful life of the development beyond what would be expected without the Earth Craft Multi-family program.  This will furthermore ensure that the residents of The Village on Park are afforded a more enjoyable and sustainable environment in which to live.  
The development team will include Village on Park GP, LLC as the managing general partner and Alga Development Company, LLC as the developer. Complementing Alga’s experience will be Fairway Construction Company, Inc. as the general contractor, bringing 27 years of experience with over 130 affordable housing developments completed to-date; Gateway Management Company, LLC, Affordable Equity Partners, Inc. as the syndicator, with over $3 billion State and Federal tax credits syndicated; and Martin Riley Associates Architects as architect, with over 1,000 successful projects
.
</t>
  </si>
  <si>
    <t xml:space="preserve">There is an identity of interest bewteen the Lessor and Lessee of the Long-Term Ground Lease; however, the Ground Lease is for nominal consideration and there is no opportunity for inflated land costs to the Owner. </t>
  </si>
  <si>
    <t>2016-028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</si>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</sst>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2" fillId="6" borderId="18"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The Village on Park</v>
      </c>
    </row>
    <row r="3" spans="1:6" ht="15" customHeight="1">
      <c r="A3" s="1151" t="str">
        <f>CONCATENATE('Part I-Project Information'!F28,", ", 'Part I-Project Information'!J29," County")</f>
        <v>Hahira, Lowndes County</v>
      </c>
    </row>
    <row r="4" spans="1:6" ht="12" customHeight="1"/>
    <row r="5" spans="1:6" ht="111" customHeight="1">
      <c r="A5" s="2617" t="s">
        <v>4384</v>
      </c>
      <c r="B5" s="1442" t="s">
        <v>3066</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v2tcKFm9pXanjpX6OhnL4jwERVVP8AuYaZBOOjPunqKxaKRswp+eD7GnFWL3nXQpwpikZiSMz8YKrCsMYlnBLQ==" saltValue="vXXXgBlo7IIrhJAIRCWFa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54" zoomScale="89" zoomScaleNormal="89" workbookViewId="0">
      <selection activeCell="A154"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2016-028 The Village on Park, Hahira, Lowndes County</v>
      </c>
      <c r="B1" s="1559"/>
      <c r="C1" s="1559"/>
      <c r="D1" s="1559"/>
      <c r="E1" s="1559"/>
      <c r="F1" s="1559"/>
      <c r="G1" s="1559"/>
      <c r="H1" s="1559"/>
      <c r="I1" s="1559"/>
      <c r="J1" s="1559"/>
      <c r="K1" s="1559"/>
      <c r="L1" s="1559"/>
      <c r="M1" s="1559"/>
      <c r="N1" s="1559"/>
      <c r="O1" s="1559"/>
      <c r="P1" s="1560"/>
      <c r="U1" s="1685" t="str">
        <f>A1</f>
        <v>PART SIX - PROJECTED REVENUES &amp; EXPENSES  -  2016-028 The Village on Park, Hahira, Lowndes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3663</v>
      </c>
      <c r="JD3" s="1678" t="s">
        <v>3664</v>
      </c>
      <c r="JE3" s="1678" t="s">
        <v>3665</v>
      </c>
      <c r="JF3" s="1678" t="s">
        <v>3666</v>
      </c>
      <c r="JG3" s="1678"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4153</v>
      </c>
      <c r="Q4" s="1411"/>
      <c r="R4" s="467"/>
      <c r="S4" s="467"/>
      <c r="T4" s="467"/>
      <c r="U4" s="467"/>
      <c r="V4" s="468"/>
      <c r="W4" s="1684" t="s">
        <v>952</v>
      </c>
      <c r="X4" s="1684" t="s">
        <v>786</v>
      </c>
      <c r="Y4" s="1684" t="s">
        <v>787</v>
      </c>
      <c r="Z4" s="1684" t="s">
        <v>788</v>
      </c>
      <c r="AA4" s="1684" t="s">
        <v>789</v>
      </c>
      <c r="AB4" s="1684" t="s">
        <v>953</v>
      </c>
      <c r="AC4" s="1684" t="s">
        <v>2390</v>
      </c>
      <c r="AD4" s="1684" t="s">
        <v>2391</v>
      </c>
      <c r="AE4" s="1684" t="s">
        <v>2392</v>
      </c>
      <c r="AF4" s="1684" t="s">
        <v>2393</v>
      </c>
      <c r="AG4" s="1684" t="s">
        <v>954</v>
      </c>
      <c r="AH4" s="1684" t="s">
        <v>2394</v>
      </c>
      <c r="AI4" s="1684" t="s">
        <v>2395</v>
      </c>
      <c r="AJ4" s="1684" t="s">
        <v>2396</v>
      </c>
      <c r="AK4" s="1684" t="s">
        <v>2397</v>
      </c>
      <c r="AL4" s="1684" t="s">
        <v>131</v>
      </c>
      <c r="AM4" s="1684" t="s">
        <v>2398</v>
      </c>
      <c r="AN4" s="1684" t="s">
        <v>2399</v>
      </c>
      <c r="AO4" s="1684" t="s">
        <v>2400</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2515</v>
      </c>
      <c r="BV4" s="1684" t="s">
        <v>2516</v>
      </c>
      <c r="BW4" s="1684" t="s">
        <v>2517</v>
      </c>
      <c r="BX4" s="1684" t="s">
        <v>2518</v>
      </c>
      <c r="BY4" s="1684" t="s">
        <v>2519</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2514</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2287</v>
      </c>
      <c r="EN4" s="1679" t="s">
        <v>2288</v>
      </c>
      <c r="EO4" s="1679" t="s">
        <v>2289</v>
      </c>
      <c r="EP4" s="1679" t="s">
        <v>1536</v>
      </c>
      <c r="EQ4" s="1679" t="s">
        <v>1537</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1683</v>
      </c>
      <c r="IE4" s="1678" t="s">
        <v>2611</v>
      </c>
      <c r="IF4" s="1678" t="s">
        <v>2612</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Finish Row!</v>
      </c>
      <c r="B5" s="4" t="s">
        <v>1916</v>
      </c>
      <c r="D5" s="1"/>
      <c r="E5" s="4"/>
      <c r="F5" s="1"/>
      <c r="G5" s="2964"/>
      <c r="H5" s="1690" t="s">
        <v>4215</v>
      </c>
      <c r="I5" s="1691"/>
      <c r="J5" s="1412" t="s">
        <v>3850</v>
      </c>
      <c r="M5" s="1426" t="s">
        <v>597</v>
      </c>
      <c r="O5" s="1414" t="s">
        <v>1072</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3658</v>
      </c>
      <c r="JI5" s="1683" t="s">
        <v>3659</v>
      </c>
      <c r="JJ5" s="1683" t="s">
        <v>3660</v>
      </c>
      <c r="JK5" s="1683" t="s">
        <v>3661</v>
      </c>
      <c r="JL5" s="1683" t="s">
        <v>3662</v>
      </c>
      <c r="JM5" s="1678" t="s">
        <v>3672</v>
      </c>
      <c r="JN5" s="1678" t="s">
        <v>3674</v>
      </c>
      <c r="JO5" s="1678" t="s">
        <v>3675</v>
      </c>
      <c r="JP5" s="1678" t="s">
        <v>3676</v>
      </c>
      <c r="JQ5" s="1678"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1872</v>
      </c>
      <c r="D6" s="1"/>
      <c r="E6" s="4"/>
      <c r="F6" s="2965" t="s">
        <v>3156</v>
      </c>
      <c r="G6" s="1412" t="s">
        <v>4100</v>
      </c>
      <c r="H6" s="1689" t="s">
        <v>4103</v>
      </c>
      <c r="J6" s="1412" t="s">
        <v>4105</v>
      </c>
      <c r="M6" s="1680" t="str">
        <f>'Part I-Project Information'!$O$30</f>
        <v>Valdosta</v>
      </c>
      <c r="N6" s="1680"/>
      <c r="O6" s="1168">
        <f>VLOOKUP('Part I-Project Information'!$O$30,'DCA Underwriting Assumptions'!$C$141:$D$251,2)</f>
        <v>50400</v>
      </c>
      <c r="P6" s="1686"/>
      <c r="Q6" s="1411"/>
      <c r="R6" s="100"/>
      <c r="S6" s="1681" t="s">
        <v>2801</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4101</v>
      </c>
      <c r="H7" s="1689"/>
      <c r="J7" s="1412" t="s">
        <v>4106</v>
      </c>
      <c r="M7" s="1"/>
      <c r="P7" s="1686"/>
      <c r="Q7" s="1411"/>
      <c r="R7" s="1159"/>
      <c r="S7" s="1160"/>
      <c r="T7" s="1165" t="s">
        <v>2798</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1535</v>
      </c>
      <c r="C8" s="1412" t="s">
        <v>177</v>
      </c>
      <c r="D8" s="1412" t="s">
        <v>564</v>
      </c>
      <c r="E8" s="1412" t="s">
        <v>1533</v>
      </c>
      <c r="F8" s="1412" t="s">
        <v>1533</v>
      </c>
      <c r="G8" s="1412" t="s">
        <v>1535</v>
      </c>
      <c r="H8" s="1412" t="s">
        <v>4101</v>
      </c>
      <c r="I8" s="1412" t="s">
        <v>830</v>
      </c>
      <c r="J8" s="1412" t="s">
        <v>2491</v>
      </c>
      <c r="K8" s="1682" t="s">
        <v>147</v>
      </c>
      <c r="L8" s="1682"/>
      <c r="M8" s="1412" t="s">
        <v>2450</v>
      </c>
      <c r="N8" s="1412" t="s">
        <v>551</v>
      </c>
      <c r="O8" s="1412" t="s">
        <v>397</v>
      </c>
      <c r="P8" s="1686"/>
      <c r="Q8" s="1682" t="s">
        <v>3861</v>
      </c>
      <c r="R8" s="1682"/>
      <c r="S8" s="1412" t="s">
        <v>2797</v>
      </c>
      <c r="T8" s="1412" t="s">
        <v>2799</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4" t="s">
        <v>2525</v>
      </c>
      <c r="EY8" s="514" t="s">
        <v>2526</v>
      </c>
      <c r="EZ8" s="514" t="s">
        <v>2527</v>
      </c>
      <c r="FA8" s="514" t="s">
        <v>2528</v>
      </c>
      <c r="FB8" s="1678" t="s">
        <v>2583</v>
      </c>
      <c r="FC8" s="1678" t="s">
        <v>2583</v>
      </c>
      <c r="FD8" s="1678" t="s">
        <v>2583</v>
      </c>
      <c r="FE8" s="1678" t="s">
        <v>2583</v>
      </c>
      <c r="FF8" s="1678" t="s">
        <v>2583</v>
      </c>
      <c r="FG8" s="1678" t="s">
        <v>3554</v>
      </c>
      <c r="FH8" s="1678" t="s">
        <v>3554</v>
      </c>
      <c r="FI8" s="1678" t="s">
        <v>3554</v>
      </c>
      <c r="FJ8" s="1678" t="s">
        <v>3554</v>
      </c>
      <c r="FK8" s="1678" t="s">
        <v>3554</v>
      </c>
      <c r="FL8" s="514" t="s">
        <v>587</v>
      </c>
      <c r="FM8" s="514" t="s">
        <v>2525</v>
      </c>
      <c r="FN8" s="514" t="s">
        <v>2526</v>
      </c>
      <c r="FO8" s="514" t="s">
        <v>2527</v>
      </c>
      <c r="FP8" s="514" t="s">
        <v>2528</v>
      </c>
      <c r="FQ8" s="514" t="s">
        <v>587</v>
      </c>
      <c r="FR8" s="514" t="s">
        <v>2525</v>
      </c>
      <c r="FS8" s="514" t="s">
        <v>2526</v>
      </c>
      <c r="FT8" s="514" t="s">
        <v>2527</v>
      </c>
      <c r="FU8" s="514" t="s">
        <v>2528</v>
      </c>
      <c r="FV8" s="1678" t="s">
        <v>2585</v>
      </c>
      <c r="FW8" s="1678" t="s">
        <v>2585</v>
      </c>
      <c r="FX8" s="1678" t="s">
        <v>2585</v>
      </c>
      <c r="FY8" s="1678" t="s">
        <v>2585</v>
      </c>
      <c r="FZ8" s="1678" t="s">
        <v>2585</v>
      </c>
      <c r="GA8" s="1678" t="s">
        <v>3550</v>
      </c>
      <c r="GB8" s="1678" t="s">
        <v>3550</v>
      </c>
      <c r="GC8" s="1678" t="s">
        <v>3550</v>
      </c>
      <c r="GD8" s="1678" t="s">
        <v>3550</v>
      </c>
      <c r="GE8" s="1678" t="s">
        <v>3550</v>
      </c>
      <c r="GF8" s="1678" t="s">
        <v>372</v>
      </c>
      <c r="GG8" s="1678" t="s">
        <v>372</v>
      </c>
      <c r="GH8" s="1678" t="s">
        <v>372</v>
      </c>
      <c r="GI8" s="1678" t="s">
        <v>372</v>
      </c>
      <c r="GJ8" s="1678" t="s">
        <v>372</v>
      </c>
      <c r="GK8" s="1678" t="s">
        <v>3549</v>
      </c>
      <c r="GL8" s="1678" t="s">
        <v>3549</v>
      </c>
      <c r="GM8" s="1678" t="s">
        <v>3549</v>
      </c>
      <c r="GN8" s="1678" t="s">
        <v>3549</v>
      </c>
      <c r="GO8" s="1678" t="s">
        <v>3549</v>
      </c>
      <c r="GP8" s="1678" t="s">
        <v>373</v>
      </c>
      <c r="GQ8" s="1678" t="s">
        <v>373</v>
      </c>
      <c r="GR8" s="1678" t="s">
        <v>373</v>
      </c>
      <c r="GS8" s="1678" t="s">
        <v>373</v>
      </c>
      <c r="GT8" s="1678" t="s">
        <v>373</v>
      </c>
      <c r="GU8" s="1678" t="s">
        <v>3548</v>
      </c>
      <c r="GV8" s="1678" t="s">
        <v>3548</v>
      </c>
      <c r="GW8" s="1678" t="s">
        <v>3548</v>
      </c>
      <c r="GX8" s="1678" t="s">
        <v>3548</v>
      </c>
      <c r="GY8" s="1678" t="s">
        <v>3548</v>
      </c>
      <c r="GZ8" s="1678" t="s">
        <v>374</v>
      </c>
      <c r="HA8" s="1678" t="s">
        <v>374</v>
      </c>
      <c r="HB8" s="1678" t="s">
        <v>374</v>
      </c>
      <c r="HC8" s="1678" t="s">
        <v>374</v>
      </c>
      <c r="HD8" s="1678" t="s">
        <v>374</v>
      </c>
      <c r="HE8" s="1678" t="s">
        <v>3551</v>
      </c>
      <c r="HF8" s="1678" t="s">
        <v>3551</v>
      </c>
      <c r="HG8" s="1678" t="s">
        <v>3551</v>
      </c>
      <c r="HH8" s="1678" t="s">
        <v>3551</v>
      </c>
      <c r="HI8" s="1678" t="s">
        <v>3551</v>
      </c>
      <c r="HJ8" s="1678" t="s">
        <v>375</v>
      </c>
      <c r="HK8" s="1678" t="s">
        <v>375</v>
      </c>
      <c r="HL8" s="1678" t="s">
        <v>375</v>
      </c>
      <c r="HM8" s="1678" t="s">
        <v>375</v>
      </c>
      <c r="HN8" s="1678" t="s">
        <v>375</v>
      </c>
      <c r="HO8" s="1678" t="s">
        <v>3552</v>
      </c>
      <c r="HP8" s="1678" t="s">
        <v>3552</v>
      </c>
      <c r="HQ8" s="1678" t="s">
        <v>3552</v>
      </c>
      <c r="HR8" s="1678" t="s">
        <v>3552</v>
      </c>
      <c r="HS8" s="1678" t="s">
        <v>3552</v>
      </c>
      <c r="HT8" s="1678" t="s">
        <v>1517</v>
      </c>
      <c r="HU8" s="1678" t="s">
        <v>1517</v>
      </c>
      <c r="HV8" s="1678" t="s">
        <v>1517</v>
      </c>
      <c r="HW8" s="1678" t="s">
        <v>1517</v>
      </c>
      <c r="HX8" s="1678" t="s">
        <v>1517</v>
      </c>
      <c r="HY8" s="1678" t="s">
        <v>3553</v>
      </c>
      <c r="HZ8" s="1678" t="s">
        <v>3553</v>
      </c>
      <c r="IA8" s="1678" t="s">
        <v>3553</v>
      </c>
      <c r="IB8" s="1678" t="s">
        <v>3553</v>
      </c>
      <c r="IC8" s="1678" t="s">
        <v>3553</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1345</v>
      </c>
      <c r="C9" s="1412" t="s">
        <v>176</v>
      </c>
      <c r="D9" s="1412" t="s">
        <v>178</v>
      </c>
      <c r="E9" s="1412" t="s">
        <v>1534</v>
      </c>
      <c r="F9" s="1412" t="s">
        <v>1326</v>
      </c>
      <c r="G9" s="1412" t="s">
        <v>4102</v>
      </c>
      <c r="H9" s="1412" t="s">
        <v>1535</v>
      </c>
      <c r="I9" s="1412" t="s">
        <v>831</v>
      </c>
      <c r="J9" s="506" t="s">
        <v>363</v>
      </c>
      <c r="K9" s="1412" t="s">
        <v>1587</v>
      </c>
      <c r="L9" s="1412" t="s">
        <v>558</v>
      </c>
      <c r="M9" s="1412" t="s">
        <v>1533</v>
      </c>
      <c r="N9" s="1412" t="s">
        <v>3498</v>
      </c>
      <c r="O9" s="1412" t="s">
        <v>398</v>
      </c>
      <c r="P9" s="1687"/>
      <c r="Q9" s="1412" t="s">
        <v>3862</v>
      </c>
      <c r="R9" s="1412" t="s">
        <v>1077</v>
      </c>
      <c r="S9" s="1412" t="s">
        <v>1535</v>
      </c>
      <c r="T9" s="1412" t="s">
        <v>2800</v>
      </c>
      <c r="U9" s="1518" t="s">
        <v>1915</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2582</v>
      </c>
      <c r="EY9" s="514" t="s">
        <v>2582</v>
      </c>
      <c r="EZ9" s="514" t="s">
        <v>2582</v>
      </c>
      <c r="FA9" s="514" t="s">
        <v>2582</v>
      </c>
      <c r="FB9" s="1678"/>
      <c r="FC9" s="1678"/>
      <c r="FD9" s="1678"/>
      <c r="FE9" s="1678"/>
      <c r="FF9" s="1678"/>
      <c r="FG9" s="1678"/>
      <c r="FH9" s="1678"/>
      <c r="FI9" s="1678"/>
      <c r="FJ9" s="1678"/>
      <c r="FK9" s="1678"/>
      <c r="FL9" s="514" t="s">
        <v>2584</v>
      </c>
      <c r="FM9" s="514" t="s">
        <v>2584</v>
      </c>
      <c r="FN9" s="514" t="s">
        <v>2584</v>
      </c>
      <c r="FO9" s="514" t="s">
        <v>2584</v>
      </c>
      <c r="FP9" s="514" t="s">
        <v>2584</v>
      </c>
      <c r="FQ9" s="514" t="s">
        <v>3555</v>
      </c>
      <c r="FR9" s="514" t="s">
        <v>3555</v>
      </c>
      <c r="FS9" s="514" t="s">
        <v>3555</v>
      </c>
      <c r="FT9" s="514" t="s">
        <v>3555</v>
      </c>
      <c r="FU9" s="514" t="s">
        <v>3555</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6" t="s">
        <v>120</v>
      </c>
      <c r="C10" s="2967">
        <v>1</v>
      </c>
      <c r="D10" s="2968">
        <v>1</v>
      </c>
      <c r="E10" s="2969">
        <v>2</v>
      </c>
      <c r="F10" s="2969">
        <v>750</v>
      </c>
      <c r="G10" s="2969">
        <v>456</v>
      </c>
      <c r="H10" s="2969">
        <v>456</v>
      </c>
      <c r="I10" s="2969">
        <v>149</v>
      </c>
      <c r="J10" s="2970"/>
      <c r="K10" s="792">
        <f t="shared" ref="K10:K47" si="1">MAX(0,H10-I10)</f>
        <v>307</v>
      </c>
      <c r="L10" s="792">
        <f t="shared" ref="L10:L47" si="2">MAX(0,E10*K10)</f>
        <v>614</v>
      </c>
      <c r="M10" s="2971" t="s">
        <v>3156</v>
      </c>
      <c r="N10" s="2971" t="s">
        <v>4338</v>
      </c>
      <c r="O10" s="2971" t="s">
        <v>2375</v>
      </c>
      <c r="P10" s="2972" t="s">
        <v>3156</v>
      </c>
      <c r="Q10" s="1258">
        <f t="shared" ref="Q10:Q47" si="3">IF(H10="","",H10*12/0.3)</f>
        <v>18240</v>
      </c>
      <c r="R10" s="1259">
        <f>IF(H10="","",IF(C10="Efficiency",Q10/($O$6*VLOOKUP(0,'DCA Underwriting Assumptions'!$J$132:$K$137,2,FALSE)),Q10/($O$6*VLOOKUP(C10,'DCA Underwriting Assumptions'!$J$132:$K$137,2,FALSE))))</f>
        <v>0.48253968253968255</v>
      </c>
      <c r="S10" s="2973"/>
      <c r="T10" s="2974"/>
      <c r="U10" s="2975"/>
      <c r="V10" s="2898"/>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1500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2</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2</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2</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6" t="s">
        <v>1191</v>
      </c>
      <c r="C11" s="2977">
        <v>1</v>
      </c>
      <c r="D11" s="2978">
        <v>1</v>
      </c>
      <c r="E11" s="2979">
        <v>4</v>
      </c>
      <c r="F11" s="2979">
        <v>750</v>
      </c>
      <c r="G11" s="2979">
        <v>548</v>
      </c>
      <c r="H11" s="2979">
        <v>548</v>
      </c>
      <c r="I11" s="2979">
        <v>149</v>
      </c>
      <c r="J11" s="2980"/>
      <c r="K11" s="793">
        <f t="shared" si="1"/>
        <v>399</v>
      </c>
      <c r="L11" s="793">
        <f t="shared" si="2"/>
        <v>1596</v>
      </c>
      <c r="M11" s="2981" t="s">
        <v>3156</v>
      </c>
      <c r="N11" s="2981" t="s">
        <v>4338</v>
      </c>
      <c r="O11" s="2981" t="s">
        <v>2375</v>
      </c>
      <c r="P11" s="2982" t="s">
        <v>3156</v>
      </c>
      <c r="Q11" s="1260">
        <f t="shared" si="3"/>
        <v>21920</v>
      </c>
      <c r="R11" s="1261">
        <f>IF(H11="","",IF(C11="Efficiency",Q11/($O$6*VLOOKUP(0,'DCA Underwriting Assumptions'!$J$132:$K$137,2,FALSE)),Q11/($O$6*VLOOKUP(C11,'DCA Underwriting Assumptions'!$J$132:$K$137,2,FALSE))))</f>
        <v>0.57989417989417991</v>
      </c>
      <c r="S11" s="2983"/>
      <c r="T11" s="2984"/>
      <c r="U11" s="2985"/>
      <c r="V11" s="2900"/>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3000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f t="shared" si="135"/>
        <v>4</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f t="shared" si="200"/>
        <v>4</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4</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f t="shared" si="0"/>
        <v>1</v>
      </c>
      <c r="B12" s="2976" t="s">
        <v>316</v>
      </c>
      <c r="C12" s="2977">
        <v>1</v>
      </c>
      <c r="D12" s="2978">
        <v>1</v>
      </c>
      <c r="E12" s="2979">
        <v>2</v>
      </c>
      <c r="F12" s="2979">
        <v>750</v>
      </c>
      <c r="G12" s="2979"/>
      <c r="H12" s="2979">
        <v>480</v>
      </c>
      <c r="I12" s="2979"/>
      <c r="J12" s="2980"/>
      <c r="K12" s="793">
        <f t="shared" si="1"/>
        <v>480</v>
      </c>
      <c r="L12" s="793">
        <f t="shared" si="2"/>
        <v>960</v>
      </c>
      <c r="M12" s="2981" t="s">
        <v>3156</v>
      </c>
      <c r="N12" s="2981" t="s">
        <v>4338</v>
      </c>
      <c r="O12" s="2981" t="s">
        <v>2375</v>
      </c>
      <c r="P12" s="2982" t="s">
        <v>3156</v>
      </c>
      <c r="Q12" s="1260">
        <f t="shared" si="3"/>
        <v>19200</v>
      </c>
      <c r="R12" s="1261">
        <f>IF(H12="","",IF(C12="Efficiency",Q12/($O$6*VLOOKUP(0,'DCA Underwriting Assumptions'!$J$132:$K$137,2,FALSE)),Q12/($O$6*VLOOKUP(C12,'DCA Underwriting Assumptions'!$J$132:$K$137,2,FALSE))))</f>
        <v>0.50793650793650791</v>
      </c>
      <c r="S12" s="2983"/>
      <c r="T12" s="2984"/>
      <c r="U12" s="2985"/>
      <c r="V12" s="2900"/>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2</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1500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2</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f t="shared" si="135"/>
        <v>2</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f t="shared" si="200"/>
        <v>2</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2</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6" t="s">
        <v>120</v>
      </c>
      <c r="C13" s="2977">
        <v>2</v>
      </c>
      <c r="D13" s="2978">
        <v>2</v>
      </c>
      <c r="E13" s="2979">
        <v>8</v>
      </c>
      <c r="F13" s="2979">
        <v>1050</v>
      </c>
      <c r="G13" s="2979">
        <v>548</v>
      </c>
      <c r="H13" s="2979">
        <v>548</v>
      </c>
      <c r="I13" s="2979">
        <v>192</v>
      </c>
      <c r="J13" s="2980"/>
      <c r="K13" s="793">
        <f t="shared" si="1"/>
        <v>356</v>
      </c>
      <c r="L13" s="793">
        <f t="shared" si="2"/>
        <v>2848</v>
      </c>
      <c r="M13" s="2981" t="s">
        <v>3156</v>
      </c>
      <c r="N13" s="2981" t="s">
        <v>4338</v>
      </c>
      <c r="O13" s="2981" t="s">
        <v>2375</v>
      </c>
      <c r="P13" s="2982" t="s">
        <v>3156</v>
      </c>
      <c r="Q13" s="1260">
        <f t="shared" si="3"/>
        <v>21920</v>
      </c>
      <c r="R13" s="1261">
        <f>IF(H13="","",IF(C13="Efficiency",Q13/($O$6*VLOOKUP(0,'DCA Underwriting Assumptions'!$J$132:$K$137,2,FALSE)),Q13/($O$6*VLOOKUP(C13,'DCA Underwriting Assumptions'!$J$132:$K$137,2,FALSE))))</f>
        <v>0.48324514991181655</v>
      </c>
      <c r="S13" s="2983"/>
      <c r="T13" s="2984"/>
      <c r="U13" s="2985"/>
      <c r="V13" s="2900"/>
      <c r="W13" s="158" t="str">
        <f t="shared" si="4"/>
        <v/>
      </c>
      <c r="X13" s="158" t="str">
        <f t="shared" si="5"/>
        <v/>
      </c>
      <c r="Y13" s="158" t="str">
        <f t="shared" si="6"/>
        <v/>
      </c>
      <c r="Z13" s="158" t="str">
        <f t="shared" si="7"/>
        <v/>
      </c>
      <c r="AA13" s="158" t="str">
        <f t="shared" si="8"/>
        <v/>
      </c>
      <c r="AB13" s="158" t="str">
        <f t="shared" si="9"/>
        <v/>
      </c>
      <c r="AC13" s="158" t="str">
        <f t="shared" si="10"/>
        <v/>
      </c>
      <c r="AD13" s="158">
        <f t="shared" si="11"/>
        <v>8</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8400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8</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f t="shared" si="136"/>
        <v>8</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f t="shared" si="201"/>
        <v>8</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8</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6" t="s">
        <v>1191</v>
      </c>
      <c r="C14" s="2977">
        <v>2</v>
      </c>
      <c r="D14" s="2978">
        <v>2</v>
      </c>
      <c r="E14" s="2979">
        <v>20</v>
      </c>
      <c r="F14" s="2979">
        <v>1050</v>
      </c>
      <c r="G14" s="2979">
        <v>658</v>
      </c>
      <c r="H14" s="2979">
        <v>658</v>
      </c>
      <c r="I14" s="2979">
        <v>192</v>
      </c>
      <c r="J14" s="2980"/>
      <c r="K14" s="793">
        <f t="shared" si="1"/>
        <v>466</v>
      </c>
      <c r="L14" s="793">
        <f t="shared" si="2"/>
        <v>9320</v>
      </c>
      <c r="M14" s="2981" t="s">
        <v>3156</v>
      </c>
      <c r="N14" s="2981" t="s">
        <v>4338</v>
      </c>
      <c r="O14" s="2981" t="s">
        <v>2375</v>
      </c>
      <c r="P14" s="2982" t="s">
        <v>3156</v>
      </c>
      <c r="Q14" s="1260">
        <f t="shared" si="3"/>
        <v>26320</v>
      </c>
      <c r="R14" s="1261">
        <f>IF(H14="","",IF(C14="Efficiency",Q14/($O$6*VLOOKUP(0,'DCA Underwriting Assumptions'!$J$132:$K$137,2,FALSE)),Q14/($O$6*VLOOKUP(C14,'DCA Underwriting Assumptions'!$J$132:$K$137,2,FALSE))))</f>
        <v>0.58024691358024694</v>
      </c>
      <c r="S14" s="2983"/>
      <c r="T14" s="2984"/>
      <c r="U14" s="2985"/>
      <c r="V14" s="2900"/>
      <c r="W14" s="158" t="str">
        <f t="shared" si="4"/>
        <v/>
      </c>
      <c r="X14" s="158" t="str">
        <f t="shared" si="5"/>
        <v/>
      </c>
      <c r="Y14" s="158">
        <f t="shared" si="6"/>
        <v>20</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21000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20</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f t="shared" si="136"/>
        <v>20</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f t="shared" si="201"/>
        <v>20</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20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f t="shared" si="0"/>
        <v>1</v>
      </c>
      <c r="B15" s="2976" t="s">
        <v>316</v>
      </c>
      <c r="C15" s="2977">
        <v>2</v>
      </c>
      <c r="D15" s="2978">
        <v>2</v>
      </c>
      <c r="E15" s="2979">
        <v>12</v>
      </c>
      <c r="F15" s="2979">
        <v>1050</v>
      </c>
      <c r="G15" s="2979"/>
      <c r="H15" s="2979">
        <v>560</v>
      </c>
      <c r="I15" s="2979"/>
      <c r="J15" s="2980"/>
      <c r="K15" s="793">
        <f t="shared" si="1"/>
        <v>560</v>
      </c>
      <c r="L15" s="793">
        <f t="shared" si="2"/>
        <v>6720</v>
      </c>
      <c r="M15" s="2981" t="s">
        <v>3156</v>
      </c>
      <c r="N15" s="2981" t="s">
        <v>4338</v>
      </c>
      <c r="O15" s="2981" t="s">
        <v>2375</v>
      </c>
      <c r="P15" s="2982" t="s">
        <v>3156</v>
      </c>
      <c r="Q15" s="1260">
        <f t="shared" si="3"/>
        <v>22400</v>
      </c>
      <c r="R15" s="1261">
        <f>IF(H15="","",IF(C15="Efficiency",Q15/($O$6*VLOOKUP(0,'DCA Underwriting Assumptions'!$J$132:$K$137,2,FALSE)),Q15/($O$6*VLOOKUP(C15,'DCA Underwriting Assumptions'!$J$132:$K$137,2,FALSE))))</f>
        <v>0.49382716049382713</v>
      </c>
      <c r="S15" s="2983"/>
      <c r="T15" s="2984"/>
      <c r="U15" s="2985"/>
      <c r="V15" s="2900"/>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12</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12600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12</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f t="shared" si="136"/>
        <v>12</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f t="shared" si="201"/>
        <v>12</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12</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6" t="s">
        <v>120</v>
      </c>
      <c r="C16" s="2977">
        <v>3</v>
      </c>
      <c r="D16" s="2978">
        <v>2</v>
      </c>
      <c r="E16" s="2979">
        <v>4</v>
      </c>
      <c r="F16" s="2979">
        <v>1160</v>
      </c>
      <c r="G16" s="2979">
        <v>633</v>
      </c>
      <c r="H16" s="2979">
        <v>633</v>
      </c>
      <c r="I16" s="2979">
        <v>234</v>
      </c>
      <c r="J16" s="2980"/>
      <c r="K16" s="793">
        <f t="shared" si="1"/>
        <v>399</v>
      </c>
      <c r="L16" s="793">
        <f t="shared" si="2"/>
        <v>1596</v>
      </c>
      <c r="M16" s="2981" t="s">
        <v>3156</v>
      </c>
      <c r="N16" s="2981" t="s">
        <v>4338</v>
      </c>
      <c r="O16" s="2981" t="s">
        <v>2375</v>
      </c>
      <c r="P16" s="2982" t="s">
        <v>3156</v>
      </c>
      <c r="Q16" s="1260">
        <f t="shared" si="3"/>
        <v>25320</v>
      </c>
      <c r="R16" s="1261">
        <f>IF(H16="","",IF(C16="Efficiency",Q16/($O$6*VLOOKUP(0,'DCA Underwriting Assumptions'!$J$132:$K$137,2,FALSE)),Q16/($O$6*VLOOKUP(C16,'DCA Underwriting Assumptions'!$J$132:$K$137,2,FALSE))))</f>
        <v>0.48305860805860806</v>
      </c>
      <c r="S16" s="2983"/>
      <c r="T16" s="2984"/>
      <c r="U16" s="2985"/>
      <c r="V16" s="2900"/>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4</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4640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4</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t="str">
        <f t="shared" si="136"/>
        <v/>
      </c>
      <c r="EZ16" s="515">
        <f t="shared" si="137"/>
        <v>4</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f t="shared" si="202"/>
        <v>4</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4</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6" t="s">
        <v>1191</v>
      </c>
      <c r="C17" s="2977">
        <v>3</v>
      </c>
      <c r="D17" s="2978">
        <v>2</v>
      </c>
      <c r="E17" s="2979">
        <v>7</v>
      </c>
      <c r="F17" s="2979">
        <v>1160</v>
      </c>
      <c r="G17" s="2979">
        <v>759</v>
      </c>
      <c r="H17" s="2979">
        <v>759</v>
      </c>
      <c r="I17" s="2979">
        <v>234</v>
      </c>
      <c r="J17" s="2980"/>
      <c r="K17" s="793">
        <f t="shared" si="1"/>
        <v>525</v>
      </c>
      <c r="L17" s="793">
        <f t="shared" si="2"/>
        <v>3675</v>
      </c>
      <c r="M17" s="2981" t="s">
        <v>3156</v>
      </c>
      <c r="N17" s="2981" t="s">
        <v>4338</v>
      </c>
      <c r="O17" s="2981" t="s">
        <v>2375</v>
      </c>
      <c r="P17" s="2982" t="s">
        <v>3156</v>
      </c>
      <c r="Q17" s="1260">
        <f t="shared" si="3"/>
        <v>30360</v>
      </c>
      <c r="R17" s="1261">
        <f>IF(H17="","",IF(C17="Efficiency",Q17/($O$6*VLOOKUP(0,'DCA Underwriting Assumptions'!$J$132:$K$137,2,FALSE)),Q17/($O$6*VLOOKUP(C17,'DCA Underwriting Assumptions'!$J$132:$K$137,2,FALSE))))</f>
        <v>0.57921245421245426</v>
      </c>
      <c r="S17" s="2983"/>
      <c r="T17" s="2984"/>
      <c r="U17" s="2985"/>
      <c r="V17" s="2900"/>
      <c r="W17" s="158" t="str">
        <f t="shared" si="4"/>
        <v/>
      </c>
      <c r="X17" s="158" t="str">
        <f t="shared" si="5"/>
        <v/>
      </c>
      <c r="Y17" s="158" t="str">
        <f t="shared" si="6"/>
        <v/>
      </c>
      <c r="Z17" s="158">
        <f t="shared" si="7"/>
        <v>7</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8120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f t="shared" si="92"/>
        <v>7</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t="str">
        <f t="shared" si="136"/>
        <v/>
      </c>
      <c r="EZ17" s="515">
        <f t="shared" si="137"/>
        <v>7</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f t="shared" si="202"/>
        <v>7</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7</v>
      </c>
      <c r="JL17" s="514">
        <f t="shared" si="253"/>
        <v>0</v>
      </c>
      <c r="JM17" s="514">
        <f t="shared" si="254"/>
        <v>0</v>
      </c>
      <c r="JN17" s="514">
        <f t="shared" si="255"/>
        <v>0</v>
      </c>
      <c r="JO17" s="514">
        <f t="shared" si="256"/>
        <v>0</v>
      </c>
      <c r="JP17" s="514">
        <f t="shared" si="257"/>
        <v>0</v>
      </c>
      <c r="JQ17" s="514">
        <f t="shared" si="258"/>
        <v>0</v>
      </c>
    </row>
    <row r="18" spans="1:277" ht="12" customHeight="1">
      <c r="A18" s="115">
        <f t="shared" si="0"/>
        <v>1</v>
      </c>
      <c r="B18" s="2976" t="s">
        <v>316</v>
      </c>
      <c r="C18" s="2977">
        <v>3</v>
      </c>
      <c r="D18" s="2978">
        <v>2</v>
      </c>
      <c r="E18" s="2979">
        <v>5</v>
      </c>
      <c r="F18" s="2979">
        <v>1160</v>
      </c>
      <c r="G18" s="2979"/>
      <c r="H18" s="2979">
        <v>630</v>
      </c>
      <c r="I18" s="2979"/>
      <c r="J18" s="2980"/>
      <c r="K18" s="793">
        <f t="shared" si="1"/>
        <v>630</v>
      </c>
      <c r="L18" s="793">
        <f t="shared" si="2"/>
        <v>3150</v>
      </c>
      <c r="M18" s="2981" t="s">
        <v>3156</v>
      </c>
      <c r="N18" s="2981" t="s">
        <v>4338</v>
      </c>
      <c r="O18" s="2981" t="s">
        <v>2375</v>
      </c>
      <c r="P18" s="2982" t="s">
        <v>3156</v>
      </c>
      <c r="Q18" s="1260">
        <f t="shared" si="3"/>
        <v>25200</v>
      </c>
      <c r="R18" s="1261">
        <f>IF(H18="","",IF(C18="Efficiency",Q18/($O$6*VLOOKUP(0,'DCA Underwriting Assumptions'!$J$132:$K$137,2,FALSE)),Q18/($O$6*VLOOKUP(C18,'DCA Underwriting Assumptions'!$J$132:$K$137,2,FALSE))))</f>
        <v>0.48076923076923078</v>
      </c>
      <c r="S18" s="2983"/>
      <c r="T18" s="2984"/>
      <c r="U18" s="2985"/>
      <c r="V18" s="290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5</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5800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5</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f t="shared" si="137"/>
        <v>5</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f t="shared" si="202"/>
        <v>5</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5</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6" t="s">
        <v>1837</v>
      </c>
      <c r="C19" s="2977"/>
      <c r="D19" s="2978"/>
      <c r="E19" s="2979"/>
      <c r="F19" s="2979"/>
      <c r="G19" s="2979"/>
      <c r="H19" s="2979"/>
      <c r="I19" s="2979"/>
      <c r="J19" s="2980"/>
      <c r="K19" s="793">
        <f t="shared" si="1"/>
        <v>0</v>
      </c>
      <c r="L19" s="793">
        <f t="shared" si="2"/>
        <v>0</v>
      </c>
      <c r="M19" s="2981"/>
      <c r="N19" s="2981"/>
      <c r="O19" s="2981"/>
      <c r="P19" s="2982"/>
      <c r="Q19" s="1260" t="str">
        <f t="shared" si="3"/>
        <v/>
      </c>
      <c r="R19" s="1261" t="str">
        <f>IF(H19="","",IF(C19="Efficiency",Q19/($O$6*VLOOKUP(0,'DCA Underwriting Assumptions'!$J$132:$K$137,2,FALSE)),Q19/($O$6*VLOOKUP(C19,'DCA Underwriting Assumptions'!$J$132:$K$137,2,FALSE))))</f>
        <v/>
      </c>
      <c r="S19" s="2983"/>
      <c r="T19" s="2984"/>
      <c r="U19" s="2985"/>
      <c r="V19" s="2900"/>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6" t="s">
        <v>1837</v>
      </c>
      <c r="C20" s="2977"/>
      <c r="D20" s="2978"/>
      <c r="E20" s="2979"/>
      <c r="F20" s="2979"/>
      <c r="G20" s="2979"/>
      <c r="H20" s="2979"/>
      <c r="I20" s="2979"/>
      <c r="J20" s="2980"/>
      <c r="K20" s="793">
        <f t="shared" si="1"/>
        <v>0</v>
      </c>
      <c r="L20" s="793">
        <f t="shared" si="2"/>
        <v>0</v>
      </c>
      <c r="M20" s="2981"/>
      <c r="N20" s="2981"/>
      <c r="O20" s="2981"/>
      <c r="P20" s="2982"/>
      <c r="Q20" s="1260" t="str">
        <f t="shared" si="3"/>
        <v/>
      </c>
      <c r="R20" s="1261" t="str">
        <f>IF(H20="","",IF(C20="Efficiency",Q20/($O$6*VLOOKUP(0,'DCA Underwriting Assumptions'!$J$132:$K$137,2,FALSE)),Q20/($O$6*VLOOKUP(C20,'DCA Underwriting Assumptions'!$J$132:$K$137,2,FALSE))))</f>
        <v/>
      </c>
      <c r="S20" s="2983"/>
      <c r="T20" s="2984"/>
      <c r="U20" s="2985"/>
      <c r="V20" s="290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6" t="s">
        <v>1837</v>
      </c>
      <c r="C21" s="2977"/>
      <c r="D21" s="2978"/>
      <c r="E21" s="2979"/>
      <c r="F21" s="2979"/>
      <c r="G21" s="2979"/>
      <c r="H21" s="2979"/>
      <c r="I21" s="2979"/>
      <c r="J21" s="2980"/>
      <c r="K21" s="793">
        <f t="shared" si="1"/>
        <v>0</v>
      </c>
      <c r="L21" s="793">
        <f t="shared" si="2"/>
        <v>0</v>
      </c>
      <c r="M21" s="2981"/>
      <c r="N21" s="2981"/>
      <c r="O21" s="2981"/>
      <c r="P21" s="2982"/>
      <c r="Q21" s="1260" t="str">
        <f t="shared" si="3"/>
        <v/>
      </c>
      <c r="R21" s="1261" t="str">
        <f>IF(H21="","",IF(C21="Efficiency",Q21/($O$6*VLOOKUP(0,'DCA Underwriting Assumptions'!$J$132:$K$137,2,FALSE)),Q21/($O$6*VLOOKUP(C21,'DCA Underwriting Assumptions'!$J$132:$K$137,2,FALSE))))</f>
        <v/>
      </c>
      <c r="S21" s="2983"/>
      <c r="T21" s="2984"/>
      <c r="U21" s="2985"/>
      <c r="V21" s="290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6" t="s">
        <v>1837</v>
      </c>
      <c r="C22" s="2977"/>
      <c r="D22" s="2978"/>
      <c r="E22" s="2979"/>
      <c r="F22" s="2979"/>
      <c r="G22" s="2979"/>
      <c r="H22" s="2979"/>
      <c r="I22" s="2979"/>
      <c r="J22" s="2980"/>
      <c r="K22" s="793">
        <f t="shared" si="1"/>
        <v>0</v>
      </c>
      <c r="L22" s="793">
        <f t="shared" si="2"/>
        <v>0</v>
      </c>
      <c r="M22" s="2981"/>
      <c r="N22" s="2981"/>
      <c r="O22" s="2981"/>
      <c r="P22" s="2982"/>
      <c r="Q22" s="1260" t="str">
        <f t="shared" si="3"/>
        <v/>
      </c>
      <c r="R22" s="1261" t="str">
        <f>IF(H22="","",IF(C22="Efficiency",Q22/($O$6*VLOOKUP(0,'DCA Underwriting Assumptions'!$J$132:$K$137,2,FALSE)),Q22/($O$6*VLOOKUP(C22,'DCA Underwriting Assumptions'!$J$132:$K$137,2,FALSE))))</f>
        <v/>
      </c>
      <c r="S22" s="2983"/>
      <c r="T22" s="2984"/>
      <c r="U22" s="2985"/>
      <c r="V22" s="290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6" t="s">
        <v>1837</v>
      </c>
      <c r="C23" s="2977"/>
      <c r="D23" s="2978"/>
      <c r="E23" s="2979"/>
      <c r="F23" s="2979"/>
      <c r="G23" s="2979"/>
      <c r="H23" s="2979"/>
      <c r="I23" s="2979"/>
      <c r="J23" s="2980"/>
      <c r="K23" s="793">
        <f t="shared" si="1"/>
        <v>0</v>
      </c>
      <c r="L23" s="793">
        <f t="shared" si="2"/>
        <v>0</v>
      </c>
      <c r="M23" s="2981"/>
      <c r="N23" s="2981"/>
      <c r="O23" s="2981"/>
      <c r="P23" s="2982"/>
      <c r="Q23" s="1260" t="str">
        <f t="shared" si="3"/>
        <v/>
      </c>
      <c r="R23" s="1261" t="str">
        <f>IF(H23="","",IF(C23="Efficiency",Q23/($O$6*VLOOKUP(0,'DCA Underwriting Assumptions'!$J$132:$K$137,2,FALSE)),Q23/($O$6*VLOOKUP(C23,'DCA Underwriting Assumptions'!$J$132:$K$137,2,FALSE))))</f>
        <v/>
      </c>
      <c r="S23" s="2983"/>
      <c r="T23" s="2984"/>
      <c r="U23" s="2985"/>
      <c r="V23" s="2900"/>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6" t="s">
        <v>1837</v>
      </c>
      <c r="C24" s="2977"/>
      <c r="D24" s="2978"/>
      <c r="E24" s="2979"/>
      <c r="F24" s="2979"/>
      <c r="G24" s="2979"/>
      <c r="H24" s="2979"/>
      <c r="I24" s="2979"/>
      <c r="J24" s="2980"/>
      <c r="K24" s="793">
        <f t="shared" si="1"/>
        <v>0</v>
      </c>
      <c r="L24" s="793">
        <f t="shared" si="2"/>
        <v>0</v>
      </c>
      <c r="M24" s="2981"/>
      <c r="N24" s="2981"/>
      <c r="O24" s="2981"/>
      <c r="P24" s="2982"/>
      <c r="Q24" s="1260" t="str">
        <f t="shared" si="3"/>
        <v/>
      </c>
      <c r="R24" s="1261" t="str">
        <f>IF(H24="","",IF(C24="Efficiency",Q24/($O$6*VLOOKUP(0,'DCA Underwriting Assumptions'!$J$132:$K$137,2,FALSE)),Q24/($O$6*VLOOKUP(C24,'DCA Underwriting Assumptions'!$J$132:$K$137,2,FALSE))))</f>
        <v/>
      </c>
      <c r="S24" s="2983"/>
      <c r="T24" s="2984"/>
      <c r="U24" s="2985"/>
      <c r="V24" s="2900"/>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6" t="s">
        <v>1837</v>
      </c>
      <c r="C25" s="2977"/>
      <c r="D25" s="2978"/>
      <c r="E25" s="2979"/>
      <c r="F25" s="2979"/>
      <c r="G25" s="2979"/>
      <c r="H25" s="2979"/>
      <c r="I25" s="2979"/>
      <c r="J25" s="2980"/>
      <c r="K25" s="793">
        <f t="shared" si="1"/>
        <v>0</v>
      </c>
      <c r="L25" s="793">
        <f t="shared" si="2"/>
        <v>0</v>
      </c>
      <c r="M25" s="2981"/>
      <c r="N25" s="2981"/>
      <c r="O25" s="2981"/>
      <c r="P25" s="2982"/>
      <c r="Q25" s="1260" t="str">
        <f t="shared" si="3"/>
        <v/>
      </c>
      <c r="R25" s="1261" t="str">
        <f>IF(H25="","",IF(C25="Efficiency",Q25/($O$6*VLOOKUP(0,'DCA Underwriting Assumptions'!$J$132:$K$137,2,FALSE)),Q25/($O$6*VLOOKUP(C25,'DCA Underwriting Assumptions'!$J$132:$K$137,2,FALSE))))</f>
        <v/>
      </c>
      <c r="S25" s="2983"/>
      <c r="T25" s="2984"/>
      <c r="U25" s="2985"/>
      <c r="V25" s="2900"/>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6" t="s">
        <v>1837</v>
      </c>
      <c r="C26" s="2977"/>
      <c r="D26" s="2978"/>
      <c r="E26" s="2979"/>
      <c r="F26" s="2979"/>
      <c r="G26" s="2979"/>
      <c r="H26" s="2979"/>
      <c r="I26" s="2979"/>
      <c r="J26" s="2980"/>
      <c r="K26" s="793">
        <f t="shared" si="1"/>
        <v>0</v>
      </c>
      <c r="L26" s="793">
        <f t="shared" si="2"/>
        <v>0</v>
      </c>
      <c r="M26" s="2981"/>
      <c r="N26" s="2981"/>
      <c r="O26" s="2981"/>
      <c r="P26" s="2982"/>
      <c r="Q26" s="1260" t="str">
        <f t="shared" si="3"/>
        <v/>
      </c>
      <c r="R26" s="1261" t="str">
        <f>IF(H26="","",IF(C26="Efficiency",Q26/($O$6*VLOOKUP(0,'DCA Underwriting Assumptions'!$J$132:$K$137,2,FALSE)),Q26/($O$6*VLOOKUP(C26,'DCA Underwriting Assumptions'!$J$132:$K$137,2,FALSE))))</f>
        <v/>
      </c>
      <c r="S26" s="2983"/>
      <c r="T26" s="2984"/>
      <c r="U26" s="2985"/>
      <c r="V26" s="290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6" t="s">
        <v>1837</v>
      </c>
      <c r="C27" s="2977"/>
      <c r="D27" s="2978"/>
      <c r="E27" s="2979"/>
      <c r="F27" s="2979"/>
      <c r="G27" s="2979"/>
      <c r="H27" s="2979"/>
      <c r="I27" s="2979"/>
      <c r="J27" s="2980"/>
      <c r="K27" s="793">
        <f t="shared" si="1"/>
        <v>0</v>
      </c>
      <c r="L27" s="793">
        <f t="shared" si="2"/>
        <v>0</v>
      </c>
      <c r="M27" s="2981"/>
      <c r="N27" s="2981"/>
      <c r="O27" s="2981"/>
      <c r="P27" s="2982"/>
      <c r="Q27" s="1260" t="str">
        <f t="shared" si="3"/>
        <v/>
      </c>
      <c r="R27" s="1261" t="str">
        <f>IF(H27="","",IF(C27="Efficiency",Q27/($O$6*VLOOKUP(0,'DCA Underwriting Assumptions'!$J$132:$K$137,2,FALSE)),Q27/($O$6*VLOOKUP(C27,'DCA Underwriting Assumptions'!$J$132:$K$137,2,FALSE))))</f>
        <v/>
      </c>
      <c r="S27" s="2983"/>
      <c r="T27" s="2984"/>
      <c r="U27" s="2985"/>
      <c r="V27" s="290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6" t="s">
        <v>1837</v>
      </c>
      <c r="C28" s="2977"/>
      <c r="D28" s="2978"/>
      <c r="E28" s="2979"/>
      <c r="F28" s="2979"/>
      <c r="G28" s="2979"/>
      <c r="H28" s="2979"/>
      <c r="I28" s="2979"/>
      <c r="J28" s="2980"/>
      <c r="K28" s="793">
        <f t="shared" si="1"/>
        <v>0</v>
      </c>
      <c r="L28" s="793">
        <f t="shared" si="2"/>
        <v>0</v>
      </c>
      <c r="M28" s="2981"/>
      <c r="N28" s="2981"/>
      <c r="O28" s="2981"/>
      <c r="P28" s="2982"/>
      <c r="Q28" s="1260" t="str">
        <f t="shared" si="3"/>
        <v/>
      </c>
      <c r="R28" s="1261" t="str">
        <f>IF(H28="","",IF(C28="Efficiency",Q28/($O$6*VLOOKUP(0,'DCA Underwriting Assumptions'!$J$132:$K$137,2,FALSE)),Q28/($O$6*VLOOKUP(C28,'DCA Underwriting Assumptions'!$J$132:$K$137,2,FALSE))))</f>
        <v/>
      </c>
      <c r="S28" s="2983"/>
      <c r="T28" s="2984"/>
      <c r="U28" s="2985"/>
      <c r="V28" s="290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6" t="s">
        <v>1837</v>
      </c>
      <c r="C29" s="2977"/>
      <c r="D29" s="2978"/>
      <c r="E29" s="2979"/>
      <c r="F29" s="2979"/>
      <c r="G29" s="2979"/>
      <c r="H29" s="2979"/>
      <c r="I29" s="2979"/>
      <c r="J29" s="2980"/>
      <c r="K29" s="793">
        <f t="shared" si="1"/>
        <v>0</v>
      </c>
      <c r="L29" s="793">
        <f t="shared" si="2"/>
        <v>0</v>
      </c>
      <c r="M29" s="2981"/>
      <c r="N29" s="2981"/>
      <c r="O29" s="2981"/>
      <c r="P29" s="2982"/>
      <c r="Q29" s="1260" t="str">
        <f t="shared" si="3"/>
        <v/>
      </c>
      <c r="R29" s="1261" t="str">
        <f>IF(H29="","",IF(C29="Efficiency",Q29/($O$6*VLOOKUP(0,'DCA Underwriting Assumptions'!$J$132:$K$137,2,FALSE)),Q29/($O$6*VLOOKUP(C29,'DCA Underwriting Assumptions'!$J$132:$K$137,2,FALSE))))</f>
        <v/>
      </c>
      <c r="S29" s="2983"/>
      <c r="T29" s="2984"/>
      <c r="U29" s="2985"/>
      <c r="V29" s="290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6" t="s">
        <v>1837</v>
      </c>
      <c r="C30" s="2977"/>
      <c r="D30" s="2978"/>
      <c r="E30" s="2979"/>
      <c r="F30" s="2979"/>
      <c r="G30" s="2979"/>
      <c r="H30" s="2979"/>
      <c r="I30" s="2979"/>
      <c r="J30" s="2980"/>
      <c r="K30" s="793">
        <f t="shared" si="1"/>
        <v>0</v>
      </c>
      <c r="L30" s="793">
        <f t="shared" si="2"/>
        <v>0</v>
      </c>
      <c r="M30" s="2981"/>
      <c r="N30" s="2981"/>
      <c r="O30" s="2981"/>
      <c r="P30" s="2982"/>
      <c r="Q30" s="1260" t="str">
        <f t="shared" si="3"/>
        <v/>
      </c>
      <c r="R30" s="1261" t="str">
        <f>IF(H30="","",IF(C30="Efficiency",Q30/($O$6*VLOOKUP(0,'DCA Underwriting Assumptions'!$J$132:$K$137,2,FALSE)),Q30/($O$6*VLOOKUP(C30,'DCA Underwriting Assumptions'!$J$132:$K$137,2,FALSE))))</f>
        <v/>
      </c>
      <c r="S30" s="2983"/>
      <c r="T30" s="2984"/>
      <c r="U30" s="2985"/>
      <c r="V30" s="290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6" t="s">
        <v>1837</v>
      </c>
      <c r="C31" s="2977"/>
      <c r="D31" s="2978"/>
      <c r="E31" s="2979"/>
      <c r="F31" s="2979"/>
      <c r="G31" s="2979"/>
      <c r="H31" s="2979"/>
      <c r="I31" s="2979"/>
      <c r="J31" s="2980"/>
      <c r="K31" s="793">
        <f t="shared" si="1"/>
        <v>0</v>
      </c>
      <c r="L31" s="793">
        <f t="shared" si="2"/>
        <v>0</v>
      </c>
      <c r="M31" s="2981"/>
      <c r="N31" s="2981"/>
      <c r="O31" s="2981"/>
      <c r="P31" s="2982"/>
      <c r="Q31" s="1260" t="str">
        <f t="shared" si="3"/>
        <v/>
      </c>
      <c r="R31" s="1261" t="str">
        <f>IF(H31="","",IF(C31="Efficiency",Q31/($O$6*VLOOKUP(0,'DCA Underwriting Assumptions'!$J$132:$K$137,2,FALSE)),Q31/($O$6*VLOOKUP(C31,'DCA Underwriting Assumptions'!$J$132:$K$137,2,FALSE))))</f>
        <v/>
      </c>
      <c r="S31" s="2983"/>
      <c r="T31" s="2984"/>
      <c r="U31" s="2985"/>
      <c r="V31" s="290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6" t="s">
        <v>1837</v>
      </c>
      <c r="C32" s="2977"/>
      <c r="D32" s="2978"/>
      <c r="E32" s="2979"/>
      <c r="F32" s="2979"/>
      <c r="G32" s="2979"/>
      <c r="H32" s="2979"/>
      <c r="I32" s="2979"/>
      <c r="J32" s="2980"/>
      <c r="K32" s="793">
        <f t="shared" si="1"/>
        <v>0</v>
      </c>
      <c r="L32" s="793">
        <f t="shared" si="2"/>
        <v>0</v>
      </c>
      <c r="M32" s="2981"/>
      <c r="N32" s="2981"/>
      <c r="O32" s="2981"/>
      <c r="P32" s="2982"/>
      <c r="Q32" s="1260" t="str">
        <f t="shared" si="3"/>
        <v/>
      </c>
      <c r="R32" s="1261" t="str">
        <f>IF(H32="","",IF(C32="Efficiency",Q32/($O$6*VLOOKUP(0,'DCA Underwriting Assumptions'!$J$132:$K$137,2,FALSE)),Q32/($O$6*VLOOKUP(C32,'DCA Underwriting Assumptions'!$J$132:$K$137,2,FALSE))))</f>
        <v/>
      </c>
      <c r="S32" s="2983"/>
      <c r="T32" s="2984"/>
      <c r="U32" s="2985"/>
      <c r="V32" s="290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6" t="s">
        <v>1837</v>
      </c>
      <c r="C33" s="2977"/>
      <c r="D33" s="2978"/>
      <c r="E33" s="2979"/>
      <c r="F33" s="2979"/>
      <c r="G33" s="2979"/>
      <c r="H33" s="2979"/>
      <c r="I33" s="2979"/>
      <c r="J33" s="2980"/>
      <c r="K33" s="793">
        <f t="shared" si="1"/>
        <v>0</v>
      </c>
      <c r="L33" s="793">
        <f t="shared" si="2"/>
        <v>0</v>
      </c>
      <c r="M33" s="2981"/>
      <c r="N33" s="2981"/>
      <c r="O33" s="2981"/>
      <c r="P33" s="2982"/>
      <c r="Q33" s="1260" t="str">
        <f t="shared" si="3"/>
        <v/>
      </c>
      <c r="R33" s="1261" t="str">
        <f>IF(H33="","",IF(C33="Efficiency",Q33/($O$6*VLOOKUP(0,'DCA Underwriting Assumptions'!$J$132:$K$137,2,FALSE)),Q33/($O$6*VLOOKUP(C33,'DCA Underwriting Assumptions'!$J$132:$K$137,2,FALSE))))</f>
        <v/>
      </c>
      <c r="S33" s="2983"/>
      <c r="T33" s="2984"/>
      <c r="U33" s="2985"/>
      <c r="V33" s="290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6" t="s">
        <v>1837</v>
      </c>
      <c r="C34" s="2977"/>
      <c r="D34" s="2978"/>
      <c r="E34" s="2979"/>
      <c r="F34" s="2979"/>
      <c r="G34" s="2979"/>
      <c r="H34" s="2979"/>
      <c r="I34" s="2979"/>
      <c r="J34" s="2980"/>
      <c r="K34" s="793">
        <f t="shared" si="1"/>
        <v>0</v>
      </c>
      <c r="L34" s="793">
        <f t="shared" si="2"/>
        <v>0</v>
      </c>
      <c r="M34" s="2981"/>
      <c r="N34" s="2981"/>
      <c r="O34" s="2981"/>
      <c r="P34" s="2982"/>
      <c r="Q34" s="1260" t="str">
        <f t="shared" si="3"/>
        <v/>
      </c>
      <c r="R34" s="1261" t="str">
        <f>IF(H34="","",IF(C34="Efficiency",Q34/($O$6*VLOOKUP(0,'DCA Underwriting Assumptions'!$J$132:$K$137,2,FALSE)),Q34/($O$6*VLOOKUP(C34,'DCA Underwriting Assumptions'!$J$132:$K$137,2,FALSE))))</f>
        <v/>
      </c>
      <c r="S34" s="2983"/>
      <c r="T34" s="2984"/>
      <c r="U34" s="2985"/>
      <c r="V34" s="290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6" t="s">
        <v>1837</v>
      </c>
      <c r="C35" s="2977"/>
      <c r="D35" s="2978"/>
      <c r="E35" s="2979"/>
      <c r="F35" s="2979"/>
      <c r="G35" s="2979"/>
      <c r="H35" s="2979"/>
      <c r="I35" s="2979"/>
      <c r="J35" s="2980"/>
      <c r="K35" s="793">
        <f t="shared" si="1"/>
        <v>0</v>
      </c>
      <c r="L35" s="793">
        <f t="shared" si="2"/>
        <v>0</v>
      </c>
      <c r="M35" s="2981"/>
      <c r="N35" s="2981"/>
      <c r="O35" s="2981"/>
      <c r="P35" s="2982"/>
      <c r="Q35" s="1260" t="str">
        <f t="shared" si="3"/>
        <v/>
      </c>
      <c r="R35" s="1261" t="str">
        <f>IF(H35="","",IF(C35="Efficiency",Q35/($O$6*VLOOKUP(0,'DCA Underwriting Assumptions'!$J$132:$K$137,2,FALSE)),Q35/($O$6*VLOOKUP(C35,'DCA Underwriting Assumptions'!$J$132:$K$137,2,FALSE))))</f>
        <v/>
      </c>
      <c r="S35" s="2983"/>
      <c r="T35" s="2984"/>
      <c r="U35" s="2985"/>
      <c r="V35" s="290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6" t="s">
        <v>1837</v>
      </c>
      <c r="C36" s="2977"/>
      <c r="D36" s="2978"/>
      <c r="E36" s="2979"/>
      <c r="F36" s="2979"/>
      <c r="G36" s="2979"/>
      <c r="H36" s="2979"/>
      <c r="I36" s="2979"/>
      <c r="J36" s="2980"/>
      <c r="K36" s="793">
        <f t="shared" si="1"/>
        <v>0</v>
      </c>
      <c r="L36" s="793">
        <f t="shared" si="2"/>
        <v>0</v>
      </c>
      <c r="M36" s="2981"/>
      <c r="N36" s="2981"/>
      <c r="O36" s="2981"/>
      <c r="P36" s="2982"/>
      <c r="Q36" s="1260" t="str">
        <f t="shared" si="3"/>
        <v/>
      </c>
      <c r="R36" s="1261" t="str">
        <f>IF(H36="","",IF(C36="Efficiency",Q36/($O$6*VLOOKUP(0,'DCA Underwriting Assumptions'!$J$132:$K$137,2,FALSE)),Q36/($O$6*VLOOKUP(C36,'DCA Underwriting Assumptions'!$J$132:$K$137,2,FALSE))))</f>
        <v/>
      </c>
      <c r="S36" s="2983"/>
      <c r="T36" s="2984"/>
      <c r="U36" s="2985"/>
      <c r="V36" s="290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6" t="s">
        <v>1837</v>
      </c>
      <c r="C37" s="2977"/>
      <c r="D37" s="2978"/>
      <c r="E37" s="2979"/>
      <c r="F37" s="2979"/>
      <c r="G37" s="2979"/>
      <c r="H37" s="2979"/>
      <c r="I37" s="2979"/>
      <c r="J37" s="2980"/>
      <c r="K37" s="793">
        <f t="shared" si="1"/>
        <v>0</v>
      </c>
      <c r="L37" s="793">
        <f t="shared" si="2"/>
        <v>0</v>
      </c>
      <c r="M37" s="2981"/>
      <c r="N37" s="2981"/>
      <c r="O37" s="2981"/>
      <c r="P37" s="2982"/>
      <c r="Q37" s="1260" t="str">
        <f t="shared" si="3"/>
        <v/>
      </c>
      <c r="R37" s="1261" t="str">
        <f>IF(H37="","",IF(C37="Efficiency",Q37/($O$6*VLOOKUP(0,'DCA Underwriting Assumptions'!$J$132:$K$137,2,FALSE)),Q37/($O$6*VLOOKUP(C37,'DCA Underwriting Assumptions'!$J$132:$K$137,2,FALSE))))</f>
        <v/>
      </c>
      <c r="S37" s="2983"/>
      <c r="T37" s="2984"/>
      <c r="U37" s="2985"/>
      <c r="V37" s="290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6" t="s">
        <v>1837</v>
      </c>
      <c r="C38" s="2977"/>
      <c r="D38" s="2978"/>
      <c r="E38" s="2979"/>
      <c r="F38" s="2979"/>
      <c r="G38" s="2979"/>
      <c r="H38" s="2979"/>
      <c r="I38" s="2979"/>
      <c r="J38" s="2980"/>
      <c r="K38" s="793">
        <f t="shared" si="1"/>
        <v>0</v>
      </c>
      <c r="L38" s="793">
        <f t="shared" si="2"/>
        <v>0</v>
      </c>
      <c r="M38" s="2981"/>
      <c r="N38" s="2981"/>
      <c r="O38" s="2981"/>
      <c r="P38" s="2982"/>
      <c r="Q38" s="1260" t="str">
        <f t="shared" si="3"/>
        <v/>
      </c>
      <c r="R38" s="1261" t="str">
        <f>IF(H38="","",IF(C38="Efficiency",Q38/($O$6*VLOOKUP(0,'DCA Underwriting Assumptions'!$J$132:$K$137,2,FALSE)),Q38/($O$6*VLOOKUP(C38,'DCA Underwriting Assumptions'!$J$132:$K$137,2,FALSE))))</f>
        <v/>
      </c>
      <c r="S38" s="2983"/>
      <c r="T38" s="2984"/>
      <c r="U38" s="2985"/>
      <c r="V38" s="290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6" t="s">
        <v>1837</v>
      </c>
      <c r="C39" s="2977"/>
      <c r="D39" s="2978"/>
      <c r="E39" s="2979"/>
      <c r="F39" s="2979"/>
      <c r="G39" s="2979"/>
      <c r="H39" s="2979"/>
      <c r="I39" s="2979"/>
      <c r="J39" s="2980"/>
      <c r="K39" s="793">
        <f t="shared" si="1"/>
        <v>0</v>
      </c>
      <c r="L39" s="793">
        <f t="shared" si="2"/>
        <v>0</v>
      </c>
      <c r="M39" s="2981"/>
      <c r="N39" s="2981"/>
      <c r="O39" s="2981"/>
      <c r="P39" s="2982"/>
      <c r="Q39" s="1260" t="str">
        <f t="shared" si="3"/>
        <v/>
      </c>
      <c r="R39" s="1261" t="str">
        <f>IF(H39="","",IF(C39="Efficiency",Q39/($O$6*VLOOKUP(0,'DCA Underwriting Assumptions'!$J$132:$K$137,2,FALSE)),Q39/($O$6*VLOOKUP(C39,'DCA Underwriting Assumptions'!$J$132:$K$137,2,FALSE))))</f>
        <v/>
      </c>
      <c r="S39" s="2983"/>
      <c r="T39" s="2984"/>
      <c r="U39" s="2985"/>
      <c r="V39" s="290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6" t="s">
        <v>1837</v>
      </c>
      <c r="C40" s="2977"/>
      <c r="D40" s="2978"/>
      <c r="E40" s="2979"/>
      <c r="F40" s="2979"/>
      <c r="G40" s="2979"/>
      <c r="H40" s="2979"/>
      <c r="I40" s="2979"/>
      <c r="J40" s="2980"/>
      <c r="K40" s="793">
        <f t="shared" si="1"/>
        <v>0</v>
      </c>
      <c r="L40" s="793">
        <f t="shared" si="2"/>
        <v>0</v>
      </c>
      <c r="M40" s="2981"/>
      <c r="N40" s="2981"/>
      <c r="O40" s="2981"/>
      <c r="P40" s="2982"/>
      <c r="Q40" s="1260" t="str">
        <f t="shared" si="3"/>
        <v/>
      </c>
      <c r="R40" s="1261" t="str">
        <f>IF(H40="","",IF(C40="Efficiency",Q40/($O$6*VLOOKUP(0,'DCA Underwriting Assumptions'!$J$132:$K$137,2,FALSE)),Q40/($O$6*VLOOKUP(C40,'DCA Underwriting Assumptions'!$J$132:$K$137,2,FALSE))))</f>
        <v/>
      </c>
      <c r="S40" s="2983"/>
      <c r="T40" s="2984"/>
      <c r="U40" s="2985"/>
      <c r="V40" s="290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6" t="s">
        <v>1837</v>
      </c>
      <c r="C41" s="2977"/>
      <c r="D41" s="2978"/>
      <c r="E41" s="2979"/>
      <c r="F41" s="2979"/>
      <c r="G41" s="2979"/>
      <c r="H41" s="2979"/>
      <c r="I41" s="2979"/>
      <c r="J41" s="2980"/>
      <c r="K41" s="793">
        <f t="shared" si="1"/>
        <v>0</v>
      </c>
      <c r="L41" s="793">
        <f t="shared" si="2"/>
        <v>0</v>
      </c>
      <c r="M41" s="2981"/>
      <c r="N41" s="2981"/>
      <c r="O41" s="2981"/>
      <c r="P41" s="2982"/>
      <c r="Q41" s="1260" t="str">
        <f t="shared" si="3"/>
        <v/>
      </c>
      <c r="R41" s="1261" t="str">
        <f>IF(H41="","",IF(C41="Efficiency",Q41/($O$6*VLOOKUP(0,'DCA Underwriting Assumptions'!$J$132:$K$137,2,FALSE)),Q41/($O$6*VLOOKUP(C41,'DCA Underwriting Assumptions'!$J$132:$K$137,2,FALSE))))</f>
        <v/>
      </c>
      <c r="S41" s="2983"/>
      <c r="T41" s="2984"/>
      <c r="U41" s="2985"/>
      <c r="V41" s="290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6" t="s">
        <v>1837</v>
      </c>
      <c r="C42" s="2977"/>
      <c r="D42" s="2978"/>
      <c r="E42" s="2979"/>
      <c r="F42" s="2979"/>
      <c r="G42" s="2979"/>
      <c r="H42" s="2979"/>
      <c r="I42" s="2979"/>
      <c r="J42" s="2980"/>
      <c r="K42" s="793">
        <f t="shared" si="1"/>
        <v>0</v>
      </c>
      <c r="L42" s="793">
        <f t="shared" si="2"/>
        <v>0</v>
      </c>
      <c r="M42" s="2981"/>
      <c r="N42" s="2981"/>
      <c r="O42" s="2981"/>
      <c r="P42" s="2982"/>
      <c r="Q42" s="1260" t="str">
        <f t="shared" si="3"/>
        <v/>
      </c>
      <c r="R42" s="1261" t="str">
        <f>IF(H42="","",IF(C42="Efficiency",Q42/($O$6*VLOOKUP(0,'DCA Underwriting Assumptions'!$J$132:$K$137,2,FALSE)),Q42/($O$6*VLOOKUP(C42,'DCA Underwriting Assumptions'!$J$132:$K$137,2,FALSE))))</f>
        <v/>
      </c>
      <c r="S42" s="2983"/>
      <c r="T42" s="2984"/>
      <c r="U42" s="2985"/>
      <c r="V42" s="290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6" t="s">
        <v>1837</v>
      </c>
      <c r="C43" s="2977"/>
      <c r="D43" s="2978"/>
      <c r="E43" s="2979"/>
      <c r="F43" s="2979"/>
      <c r="G43" s="2979"/>
      <c r="H43" s="2979"/>
      <c r="I43" s="2979"/>
      <c r="J43" s="2980"/>
      <c r="K43" s="793">
        <f t="shared" si="1"/>
        <v>0</v>
      </c>
      <c r="L43" s="793">
        <f t="shared" si="2"/>
        <v>0</v>
      </c>
      <c r="M43" s="2981"/>
      <c r="N43" s="2981"/>
      <c r="O43" s="2981"/>
      <c r="P43" s="2982"/>
      <c r="Q43" s="1260" t="str">
        <f t="shared" si="3"/>
        <v/>
      </c>
      <c r="R43" s="1261" t="str">
        <f>IF(H43="","",IF(C43="Efficiency",Q43/($O$6*VLOOKUP(0,'DCA Underwriting Assumptions'!$J$132:$K$137,2,FALSE)),Q43/($O$6*VLOOKUP(C43,'DCA Underwriting Assumptions'!$J$132:$K$137,2,FALSE))))</f>
        <v/>
      </c>
      <c r="S43" s="2983"/>
      <c r="T43" s="2984"/>
      <c r="U43" s="2985"/>
      <c r="V43" s="290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6" t="s">
        <v>1837</v>
      </c>
      <c r="C44" s="2977"/>
      <c r="D44" s="2978"/>
      <c r="E44" s="2979"/>
      <c r="F44" s="2979"/>
      <c r="G44" s="2979"/>
      <c r="H44" s="2979"/>
      <c r="I44" s="2979"/>
      <c r="J44" s="2980"/>
      <c r="K44" s="793">
        <f t="shared" si="1"/>
        <v>0</v>
      </c>
      <c r="L44" s="793">
        <f t="shared" si="2"/>
        <v>0</v>
      </c>
      <c r="M44" s="2981"/>
      <c r="N44" s="2981"/>
      <c r="O44" s="2981"/>
      <c r="P44" s="2982"/>
      <c r="Q44" s="1260" t="str">
        <f t="shared" si="3"/>
        <v/>
      </c>
      <c r="R44" s="1261" t="str">
        <f>IF(H44="","",IF(C44="Efficiency",Q44/($O$6*VLOOKUP(0,'DCA Underwriting Assumptions'!$J$132:$K$137,2,FALSE)),Q44/($O$6*VLOOKUP(C44,'DCA Underwriting Assumptions'!$J$132:$K$137,2,FALSE))))</f>
        <v/>
      </c>
      <c r="S44" s="2983"/>
      <c r="T44" s="2984"/>
      <c r="U44" s="2985"/>
      <c r="V44" s="290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6" t="s">
        <v>1837</v>
      </c>
      <c r="C45" s="2977"/>
      <c r="D45" s="2978"/>
      <c r="E45" s="2979"/>
      <c r="F45" s="2979"/>
      <c r="G45" s="2979"/>
      <c r="H45" s="2979"/>
      <c r="I45" s="2979"/>
      <c r="J45" s="2980"/>
      <c r="K45" s="793">
        <f t="shared" si="1"/>
        <v>0</v>
      </c>
      <c r="L45" s="793">
        <f t="shared" si="2"/>
        <v>0</v>
      </c>
      <c r="M45" s="2981"/>
      <c r="N45" s="2981"/>
      <c r="O45" s="2981"/>
      <c r="P45" s="2982"/>
      <c r="Q45" s="1260" t="str">
        <f t="shared" si="3"/>
        <v/>
      </c>
      <c r="R45" s="1261" t="str">
        <f>IF(H45="","",IF(C45="Efficiency",Q45/($O$6*VLOOKUP(0,'DCA Underwriting Assumptions'!$J$132:$K$137,2,FALSE)),Q45/($O$6*VLOOKUP(C45,'DCA Underwriting Assumptions'!$J$132:$K$137,2,FALSE))))</f>
        <v/>
      </c>
      <c r="S45" s="2983"/>
      <c r="T45" s="2984"/>
      <c r="U45" s="2985"/>
      <c r="V45" s="290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6" t="s">
        <v>1837</v>
      </c>
      <c r="C46" s="2977"/>
      <c r="D46" s="2978"/>
      <c r="E46" s="2979"/>
      <c r="F46" s="2979"/>
      <c r="G46" s="2979"/>
      <c r="H46" s="2979"/>
      <c r="I46" s="2979"/>
      <c r="J46" s="2980"/>
      <c r="K46" s="793">
        <f t="shared" si="1"/>
        <v>0</v>
      </c>
      <c r="L46" s="793">
        <f t="shared" si="2"/>
        <v>0</v>
      </c>
      <c r="M46" s="2981"/>
      <c r="N46" s="2981"/>
      <c r="O46" s="2981"/>
      <c r="P46" s="2982"/>
      <c r="Q46" s="1260" t="str">
        <f t="shared" si="3"/>
        <v/>
      </c>
      <c r="R46" s="1261" t="str">
        <f>IF(H46="","",IF(C46="Efficiency",Q46/($O$6*VLOOKUP(0,'DCA Underwriting Assumptions'!$J$132:$K$137,2,FALSE)),Q46/($O$6*VLOOKUP(C46,'DCA Underwriting Assumptions'!$J$132:$K$137,2,FALSE))))</f>
        <v/>
      </c>
      <c r="S46" s="2983"/>
      <c r="T46" s="2984"/>
      <c r="U46" s="2985"/>
      <c r="V46" s="290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6" t="s">
        <v>1837</v>
      </c>
      <c r="C47" s="2987"/>
      <c r="D47" s="2988"/>
      <c r="E47" s="2989"/>
      <c r="F47" s="2989"/>
      <c r="G47" s="2989"/>
      <c r="H47" s="2989"/>
      <c r="I47" s="2989"/>
      <c r="J47" s="2990"/>
      <c r="K47" s="794">
        <f t="shared" si="1"/>
        <v>0</v>
      </c>
      <c r="L47" s="794">
        <f t="shared" si="2"/>
        <v>0</v>
      </c>
      <c r="M47" s="2991"/>
      <c r="N47" s="2991"/>
      <c r="O47" s="2991"/>
      <c r="P47" s="2992"/>
      <c r="Q47" s="1262" t="str">
        <f t="shared" si="3"/>
        <v/>
      </c>
      <c r="R47" s="1263" t="str">
        <f>IF(H47="","",IF(C47="Efficiency",Q47/($O$6*VLOOKUP(0,'DCA Underwriting Assumptions'!$J$132:$K$137,2,FALSE)),Q47/($O$6*VLOOKUP(C47,'DCA Underwriting Assumptions'!$J$132:$K$137,2,FALSE))))</f>
        <v/>
      </c>
      <c r="S47" s="2993"/>
      <c r="T47" s="2994"/>
      <c r="U47" s="2905"/>
      <c r="V47" s="2903"/>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3</v>
      </c>
      <c r="B48" s="753"/>
      <c r="C48" s="100"/>
      <c r="D48" s="149" t="s">
        <v>1055</v>
      </c>
      <c r="E48" s="134">
        <f>SUM(E10:E47)</f>
        <v>64</v>
      </c>
      <c r="F48" s="1308">
        <f>(E10*F10+E11*F11+E12*F12+E13*F13+E14*F14+E15*F15+E16*F16+E17*F17+E18*F18+E19*F19+E20*F20+E21*F21+E22*F22+E23*F23+E24*F24+E25*F25+E26*F26+E27*F27+E28*F28+E29*F29+E30*F30+E31*F31+E32*F32+E33*F33+E34*F34+E35*F35+E36*F36+E37*F37+E38*F38+E39*F39+E40*F40+E41*F41+E42*F42+E43*F43+E44*F44+E45*F45+E46*F46+E47*F47)</f>
        <v>66560</v>
      </c>
      <c r="G48" s="754"/>
      <c r="H48" s="755"/>
      <c r="I48" s="755"/>
      <c r="J48" s="755"/>
      <c r="K48" s="1311" t="s">
        <v>1351</v>
      </c>
      <c r="L48" s="133">
        <f>SUM(L10:L47)</f>
        <v>30479</v>
      </c>
      <c r="M48" s="100"/>
      <c r="N48" s="756"/>
      <c r="O48" s="100"/>
      <c r="P48" s="531"/>
      <c r="Q48" s="531"/>
      <c r="R48" s="531"/>
      <c r="S48" s="531"/>
      <c r="T48" s="531"/>
      <c r="U48" s="1221"/>
      <c r="V48" s="757"/>
      <c r="W48" s="758">
        <f t="shared" ref="W48:CH48" si="259">SUM(W10:W47)</f>
        <v>0</v>
      </c>
      <c r="X48" s="758">
        <f t="shared" si="259"/>
        <v>4</v>
      </c>
      <c r="Y48" s="758">
        <f t="shared" si="259"/>
        <v>20</v>
      </c>
      <c r="Z48" s="758">
        <f t="shared" si="259"/>
        <v>7</v>
      </c>
      <c r="AA48" s="758">
        <f t="shared" si="259"/>
        <v>0</v>
      </c>
      <c r="AB48" s="758">
        <f t="shared" si="259"/>
        <v>0</v>
      </c>
      <c r="AC48" s="758">
        <f t="shared" si="259"/>
        <v>2</v>
      </c>
      <c r="AD48" s="758">
        <f t="shared" si="259"/>
        <v>8</v>
      </c>
      <c r="AE48" s="758">
        <f t="shared" si="259"/>
        <v>4</v>
      </c>
      <c r="AF48" s="758">
        <f t="shared" si="259"/>
        <v>0</v>
      </c>
      <c r="AG48" s="758">
        <f t="shared" si="259"/>
        <v>0</v>
      </c>
      <c r="AH48" s="758">
        <f t="shared" si="259"/>
        <v>0</v>
      </c>
      <c r="AI48" s="758">
        <f t="shared" si="259"/>
        <v>0</v>
      </c>
      <c r="AJ48" s="758">
        <f t="shared" si="259"/>
        <v>0</v>
      </c>
      <c r="AK48" s="758">
        <f t="shared" si="259"/>
        <v>0</v>
      </c>
      <c r="AL48" s="758">
        <f t="shared" si="259"/>
        <v>0</v>
      </c>
      <c r="AM48" s="758">
        <f t="shared" si="259"/>
        <v>2</v>
      </c>
      <c r="AN48" s="758">
        <f t="shared" si="259"/>
        <v>12</v>
      </c>
      <c r="AO48" s="758">
        <f t="shared" si="259"/>
        <v>5</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3000</v>
      </c>
      <c r="CB48" s="758">
        <f t="shared" si="259"/>
        <v>21000</v>
      </c>
      <c r="CC48" s="758">
        <f t="shared" si="259"/>
        <v>8120</v>
      </c>
      <c r="CD48" s="758">
        <f t="shared" si="259"/>
        <v>0</v>
      </c>
      <c r="CE48" s="758">
        <f t="shared" si="259"/>
        <v>0</v>
      </c>
      <c r="CF48" s="758">
        <f t="shared" si="259"/>
        <v>1500</v>
      </c>
      <c r="CG48" s="758">
        <f t="shared" si="259"/>
        <v>8400</v>
      </c>
      <c r="CH48" s="758">
        <f t="shared" si="259"/>
        <v>4640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1500</v>
      </c>
      <c r="CQ48" s="758">
        <f t="shared" si="260"/>
        <v>12600</v>
      </c>
      <c r="CR48" s="758">
        <f t="shared" si="260"/>
        <v>5800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6</v>
      </c>
      <c r="DF48" s="758">
        <f t="shared" si="260"/>
        <v>28</v>
      </c>
      <c r="DG48" s="758">
        <f t="shared" si="260"/>
        <v>11</v>
      </c>
      <c r="DH48" s="758">
        <f t="shared" si="260"/>
        <v>0</v>
      </c>
      <c r="DI48" s="758">
        <f t="shared" si="260"/>
        <v>0</v>
      </c>
      <c r="DJ48" s="758">
        <f t="shared" si="260"/>
        <v>2</v>
      </c>
      <c r="DK48" s="758">
        <f t="shared" si="260"/>
        <v>12</v>
      </c>
      <c r="DL48" s="758">
        <f t="shared" si="260"/>
        <v>5</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8</v>
      </c>
      <c r="EY48" s="517">
        <f t="shared" si="261"/>
        <v>40</v>
      </c>
      <c r="EZ48" s="517">
        <f t="shared" si="261"/>
        <v>16</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8</v>
      </c>
      <c r="HL48" s="517">
        <f t="shared" si="262"/>
        <v>40</v>
      </c>
      <c r="HM48" s="517">
        <f t="shared" si="262"/>
        <v>16</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v>
      </c>
      <c r="JJ48" s="517">
        <f t="shared" si="262"/>
        <v>40</v>
      </c>
      <c r="JK48" s="517">
        <f t="shared" si="262"/>
        <v>16</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365748</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5" t="s">
        <v>2709</v>
      </c>
      <c r="B51" s="2995"/>
      <c r="C51" s="2995"/>
      <c r="D51" s="2995"/>
      <c r="E51" s="2995"/>
      <c r="F51" s="2995"/>
      <c r="G51" s="2995"/>
      <c r="H51" s="2995"/>
      <c r="I51" s="2995"/>
      <c r="J51" s="2995"/>
      <c r="K51" s="2995"/>
      <c r="L51" s="2995"/>
      <c r="M51" s="2995"/>
      <c r="N51" s="2995"/>
      <c r="O51" s="2995"/>
      <c r="P51" s="2995"/>
      <c r="Q51" s="2996"/>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5"/>
      <c r="B52" s="2995"/>
      <c r="C52" s="2995"/>
      <c r="D52" s="2995"/>
      <c r="E52" s="2995"/>
      <c r="F52" s="2995"/>
      <c r="G52" s="2995"/>
      <c r="H52" s="2995"/>
      <c r="I52" s="2995"/>
      <c r="J52" s="2995"/>
      <c r="K52" s="2995"/>
      <c r="L52" s="2995"/>
      <c r="M52" s="2995"/>
      <c r="N52" s="2995"/>
      <c r="O52" s="2995"/>
      <c r="P52" s="2995"/>
      <c r="Q52" s="2996"/>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6"/>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7"/>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7"/>
      <c r="S55" s="535"/>
      <c r="T55" s="535"/>
      <c r="U55" s="1518" t="s">
        <v>1915</v>
      </c>
      <c r="V55" s="1518"/>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4</v>
      </c>
      <c r="L56" s="795">
        <f>Y48</f>
        <v>20</v>
      </c>
      <c r="M56" s="795">
        <f>Z48</f>
        <v>7</v>
      </c>
      <c r="N56" s="795">
        <f>AA48</f>
        <v>0</v>
      </c>
      <c r="O56" s="795">
        <f t="shared" ref="O56:O62" si="263">SUM(J56:N56)</f>
        <v>31</v>
      </c>
      <c r="P56" s="1674" t="s">
        <v>4107</v>
      </c>
      <c r="Q56" s="1424"/>
      <c r="R56" s="457"/>
      <c r="S56" s="457"/>
      <c r="T56" s="457"/>
      <c r="U56" s="2897"/>
      <c r="V56" s="2898"/>
      <c r="W56" s="531"/>
      <c r="X56" s="531"/>
      <c r="Y56" s="531"/>
      <c r="Z56" s="531"/>
      <c r="AA56" s="54"/>
      <c r="AB56" s="755"/>
      <c r="AC56" s="755"/>
      <c r="AD56" s="755"/>
      <c r="AE56" s="755"/>
      <c r="AF56" s="755"/>
      <c r="AG56" s="755"/>
      <c r="AH56" s="54"/>
      <c r="AI56" s="100"/>
      <c r="IL56" s="518"/>
      <c r="JA56" s="505"/>
    </row>
    <row r="57" spans="1:296" ht="12" customHeight="1">
      <c r="A57" s="1662" t="s">
        <v>457</v>
      </c>
      <c r="B57" s="1662"/>
      <c r="C57" s="4"/>
      <c r="D57" s="1"/>
      <c r="E57" s="1"/>
      <c r="F57" s="1"/>
      <c r="G57" s="87"/>
      <c r="H57" s="37" t="s">
        <v>120</v>
      </c>
      <c r="I57" s="87"/>
      <c r="J57" s="796">
        <f>AB48</f>
        <v>0</v>
      </c>
      <c r="K57" s="796">
        <f>AC48</f>
        <v>2</v>
      </c>
      <c r="L57" s="796">
        <f>AD48</f>
        <v>8</v>
      </c>
      <c r="M57" s="796">
        <f>AE48</f>
        <v>4</v>
      </c>
      <c r="N57" s="796">
        <f>AF48</f>
        <v>0</v>
      </c>
      <c r="O57" s="796">
        <f t="shared" si="263"/>
        <v>14</v>
      </c>
      <c r="P57" s="1674"/>
      <c r="Q57" s="1424"/>
      <c r="R57" s="457"/>
      <c r="S57" s="457"/>
      <c r="T57" s="457"/>
      <c r="U57" s="2899"/>
      <c r="V57" s="2900"/>
      <c r="W57" s="10"/>
      <c r="X57" s="531"/>
      <c r="Y57" s="531"/>
      <c r="Z57" s="531"/>
      <c r="AA57" s="54"/>
      <c r="AB57" s="755"/>
      <c r="AC57" s="755"/>
      <c r="AD57" s="755"/>
      <c r="AE57" s="755"/>
      <c r="AF57" s="755"/>
      <c r="AG57" s="755"/>
      <c r="AH57" s="54"/>
      <c r="AI57" s="100"/>
      <c r="IL57" s="518"/>
      <c r="JA57" s="505"/>
    </row>
    <row r="58" spans="1:296" ht="12" customHeight="1">
      <c r="A58" s="1662"/>
      <c r="B58" s="1662"/>
      <c r="C58" s="4"/>
      <c r="D58" s="1"/>
      <c r="E58" s="1"/>
      <c r="F58" s="1"/>
      <c r="G58" s="87"/>
      <c r="H58" s="37" t="s">
        <v>558</v>
      </c>
      <c r="I58" s="87"/>
      <c r="J58" s="795">
        <f>SUM(J56:J57)</f>
        <v>0</v>
      </c>
      <c r="K58" s="795">
        <f>SUM(K56:K57)</f>
        <v>6</v>
      </c>
      <c r="L58" s="795">
        <f>SUM(L56:L57)</f>
        <v>28</v>
      </c>
      <c r="M58" s="795">
        <f>SUM(M56:M57)</f>
        <v>11</v>
      </c>
      <c r="N58" s="795">
        <f>SUM(N56:N57)</f>
        <v>0</v>
      </c>
      <c r="O58" s="795">
        <f t="shared" si="263"/>
        <v>45</v>
      </c>
      <c r="P58" s="1674"/>
      <c r="R58" s="457"/>
      <c r="S58" s="457"/>
      <c r="T58" s="457"/>
      <c r="U58" s="2899"/>
      <c r="V58" s="2900"/>
      <c r="W58" s="10"/>
      <c r="X58" s="531"/>
      <c r="Y58" s="531"/>
      <c r="Z58" s="531"/>
      <c r="AA58" s="54"/>
      <c r="AB58" s="755"/>
      <c r="AC58" s="755"/>
      <c r="AD58" s="755"/>
      <c r="AE58" s="755"/>
      <c r="AF58" s="755"/>
      <c r="AG58" s="755"/>
      <c r="AH58" s="54"/>
      <c r="AI58" s="100"/>
      <c r="IL58" s="518"/>
      <c r="JA58" s="505"/>
    </row>
    <row r="59" spans="1:296" ht="12" customHeight="1">
      <c r="A59" s="1662"/>
      <c r="B59" s="1662"/>
      <c r="C59" s="100" t="s">
        <v>316</v>
      </c>
      <c r="D59" s="1"/>
      <c r="E59" s="1"/>
      <c r="F59" s="1"/>
      <c r="G59" s="87"/>
      <c r="H59" s="37"/>
      <c r="I59" s="87"/>
      <c r="J59" s="797">
        <f>AL48</f>
        <v>0</v>
      </c>
      <c r="K59" s="797">
        <f>AM48</f>
        <v>2</v>
      </c>
      <c r="L59" s="797">
        <f>AN48</f>
        <v>12</v>
      </c>
      <c r="M59" s="797">
        <f>AO48</f>
        <v>5</v>
      </c>
      <c r="N59" s="797">
        <f>AP48</f>
        <v>0</v>
      </c>
      <c r="O59" s="797">
        <f t="shared" si="263"/>
        <v>19</v>
      </c>
      <c r="R59" s="457"/>
      <c r="S59" s="457"/>
      <c r="T59" s="457"/>
      <c r="U59" s="2899"/>
      <c r="V59" s="2900"/>
      <c r="W59" s="100"/>
      <c r="X59" s="531"/>
      <c r="Y59" s="531"/>
      <c r="Z59" s="531"/>
      <c r="AA59" s="54"/>
      <c r="AB59" s="755"/>
      <c r="AC59" s="755"/>
      <c r="AD59" s="755"/>
      <c r="AE59" s="755"/>
      <c r="AF59" s="755"/>
      <c r="AG59" s="755"/>
      <c r="AH59" s="466"/>
      <c r="AI59" s="100"/>
      <c r="IL59" s="518"/>
      <c r="JA59" s="505"/>
    </row>
    <row r="60" spans="1:296" ht="12" customHeight="1">
      <c r="A60" s="1662"/>
      <c r="B60" s="1662"/>
      <c r="C60" s="100" t="s">
        <v>1180</v>
      </c>
      <c r="D60" s="1"/>
      <c r="E60" s="1"/>
      <c r="F60" s="1"/>
      <c r="G60" s="87"/>
      <c r="H60" s="37"/>
      <c r="I60" s="87"/>
      <c r="J60" s="795">
        <f>SUM(J58:J59)</f>
        <v>0</v>
      </c>
      <c r="K60" s="795">
        <f>SUM(K58:K59)</f>
        <v>8</v>
      </c>
      <c r="L60" s="795">
        <f>SUM(L58:L59)</f>
        <v>40</v>
      </c>
      <c r="M60" s="795">
        <f>SUM(M58:M59)</f>
        <v>16</v>
      </c>
      <c r="N60" s="795">
        <f>SUM(N58:N59)</f>
        <v>0</v>
      </c>
      <c r="O60" s="795">
        <f t="shared" si="263"/>
        <v>64</v>
      </c>
      <c r="R60" s="457"/>
      <c r="S60" s="457"/>
      <c r="T60" s="457"/>
      <c r="U60" s="2899"/>
      <c r="V60" s="2900"/>
      <c r="W60" s="531"/>
      <c r="X60" s="531"/>
      <c r="Y60" s="531"/>
      <c r="Z60" s="531"/>
      <c r="AA60" s="54"/>
      <c r="AB60" s="755"/>
      <c r="AC60" s="755"/>
      <c r="AD60" s="755"/>
      <c r="AE60" s="755"/>
      <c r="AF60" s="755"/>
      <c r="AG60" s="755"/>
      <c r="AH60" s="466"/>
      <c r="AI60" s="100"/>
      <c r="IL60" s="518"/>
      <c r="JA60" s="505"/>
    </row>
    <row r="61" spans="1:296" ht="12" customHeight="1">
      <c r="A61" s="1662"/>
      <c r="B61" s="1662"/>
      <c r="C61" s="100" t="s">
        <v>2598</v>
      </c>
      <c r="D61" s="1"/>
      <c r="E61" s="1"/>
      <c r="F61" s="1"/>
      <c r="G61" s="87"/>
      <c r="H61" s="37"/>
      <c r="I61" s="87"/>
      <c r="J61" s="797">
        <f>BU48</f>
        <v>0</v>
      </c>
      <c r="K61" s="797">
        <f>BV48</f>
        <v>0</v>
      </c>
      <c r="L61" s="797">
        <f>BW48</f>
        <v>0</v>
      </c>
      <c r="M61" s="797">
        <f>BX48</f>
        <v>0</v>
      </c>
      <c r="N61" s="797">
        <f>BY48</f>
        <v>0</v>
      </c>
      <c r="O61" s="797">
        <f t="shared" si="263"/>
        <v>0</v>
      </c>
      <c r="P61" s="571" t="s">
        <v>4108</v>
      </c>
      <c r="R61" s="457"/>
      <c r="S61" s="457"/>
      <c r="T61" s="457"/>
      <c r="U61" s="2899"/>
      <c r="V61" s="2900"/>
      <c r="W61" s="531"/>
      <c r="X61" s="531"/>
      <c r="Y61" s="531"/>
      <c r="Z61" s="531"/>
      <c r="AA61" s="54"/>
      <c r="AB61" s="755"/>
      <c r="AC61" s="755"/>
      <c r="AD61" s="755"/>
      <c r="AE61" s="755"/>
      <c r="AF61" s="755"/>
      <c r="AG61" s="755"/>
      <c r="AH61" s="54"/>
      <c r="AI61" s="100"/>
      <c r="IL61" s="518"/>
      <c r="JA61" s="505"/>
    </row>
    <row r="62" spans="1:296" ht="12" customHeight="1">
      <c r="A62" s="1662"/>
      <c r="B62" s="1662"/>
      <c r="C62" s="100" t="s">
        <v>558</v>
      </c>
      <c r="D62" s="1"/>
      <c r="E62" s="1"/>
      <c r="F62" s="1"/>
      <c r="G62" s="87"/>
      <c r="H62" s="37"/>
      <c r="I62" s="87"/>
      <c r="J62" s="798">
        <f>SUM(J60:J61)</f>
        <v>0</v>
      </c>
      <c r="K62" s="798">
        <f>SUM(K60:K61)</f>
        <v>8</v>
      </c>
      <c r="L62" s="798">
        <f>SUM(L60:L61)</f>
        <v>40</v>
      </c>
      <c r="M62" s="798">
        <f>SUM(M60:M61)</f>
        <v>16</v>
      </c>
      <c r="N62" s="798">
        <f>SUM(N60:N61)</f>
        <v>0</v>
      </c>
      <c r="O62" s="798">
        <f t="shared" si="263"/>
        <v>64</v>
      </c>
      <c r="R62" s="457"/>
      <c r="S62" s="457"/>
      <c r="T62" s="457"/>
      <c r="U62" s="2902"/>
      <c r="V62" s="2903"/>
      <c r="W62" s="531"/>
      <c r="X62" s="531"/>
      <c r="Y62" s="531"/>
      <c r="Z62" s="531"/>
      <c r="AA62" s="54"/>
      <c r="AB62" s="755"/>
      <c r="AC62" s="755"/>
      <c r="AD62" s="755"/>
      <c r="AE62" s="755"/>
      <c r="AF62" s="755"/>
      <c r="AG62" s="755"/>
      <c r="AH62" s="529"/>
      <c r="AI62" s="100"/>
      <c r="IL62" s="518"/>
      <c r="JA62" s="505"/>
    </row>
    <row r="63" spans="1:296" ht="9" customHeight="1">
      <c r="A63" s="1662"/>
      <c r="B63" s="1662"/>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2"/>
      <c r="B64" s="1662"/>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897"/>
      <c r="V64" s="2898"/>
      <c r="W64" s="531"/>
      <c r="X64" s="531"/>
      <c r="Y64" s="109"/>
      <c r="Z64" s="531"/>
      <c r="AA64" s="54"/>
      <c r="AB64" s="755"/>
      <c r="AC64" s="755"/>
      <c r="AD64" s="755"/>
      <c r="AE64" s="755"/>
      <c r="AF64" s="755"/>
      <c r="AG64" s="755"/>
      <c r="AH64" s="54"/>
      <c r="AI64" s="100"/>
      <c r="IL64" s="518"/>
      <c r="JA64" s="505"/>
    </row>
    <row r="65" spans="1:261" ht="12" customHeight="1">
      <c r="A65" s="1662"/>
      <c r="B65" s="1662"/>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899"/>
      <c r="V65" s="2900"/>
      <c r="W65" s="54"/>
      <c r="X65" s="531"/>
      <c r="Y65" s="109"/>
      <c r="Z65" s="531"/>
      <c r="AA65" s="54"/>
      <c r="AB65" s="755"/>
      <c r="AC65" s="755"/>
      <c r="AD65" s="755"/>
      <c r="AE65" s="755"/>
      <c r="AF65" s="755"/>
      <c r="AG65" s="755"/>
      <c r="AH65" s="54"/>
      <c r="AI65" s="100"/>
      <c r="IL65" s="518"/>
      <c r="JA65" s="505"/>
    </row>
    <row r="66" spans="1:261" ht="12" customHeight="1">
      <c r="A66" s="1662"/>
      <c r="B66" s="1662"/>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2"/>
      <c r="V66" s="2903"/>
      <c r="W66" s="10"/>
      <c r="X66" s="531"/>
      <c r="Y66" s="109"/>
      <c r="Z66" s="531"/>
      <c r="AA66" s="54"/>
      <c r="AB66" s="755"/>
      <c r="AC66" s="755"/>
      <c r="AD66" s="755"/>
      <c r="AE66" s="755"/>
      <c r="AF66" s="755"/>
      <c r="AG66" s="755"/>
      <c r="AH66" s="54"/>
      <c r="AI66" s="100"/>
      <c r="IL66" s="518"/>
      <c r="JA66" s="505"/>
    </row>
    <row r="67" spans="1:261" ht="9" customHeight="1">
      <c r="A67" s="1662"/>
      <c r="B67" s="1662"/>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2"/>
      <c r="B68" s="1662"/>
      <c r="C68" s="1663" t="s">
        <v>923</v>
      </c>
      <c r="D68" s="1663"/>
      <c r="E68" s="1663"/>
      <c r="F68" s="1"/>
      <c r="G68" s="87"/>
      <c r="H68" s="37" t="s">
        <v>1191</v>
      </c>
      <c r="I68" s="87"/>
      <c r="J68" s="795">
        <f>BP48</f>
        <v>0</v>
      </c>
      <c r="K68" s="795">
        <f>BQ48</f>
        <v>0</v>
      </c>
      <c r="L68" s="795">
        <f>BR48</f>
        <v>0</v>
      </c>
      <c r="M68" s="795">
        <f>BS48</f>
        <v>0</v>
      </c>
      <c r="N68" s="795">
        <f>BT48</f>
        <v>0</v>
      </c>
      <c r="O68" s="795">
        <f>SUM(J68:N68)</f>
        <v>0</v>
      </c>
      <c r="R68" s="457"/>
      <c r="S68" s="457"/>
      <c r="T68" s="457"/>
      <c r="U68" s="2897"/>
      <c r="V68" s="2898"/>
      <c r="W68" s="100"/>
      <c r="X68" s="531"/>
      <c r="Y68" s="109"/>
      <c r="Z68" s="531"/>
      <c r="AA68" s="54"/>
      <c r="AB68" s="755"/>
      <c r="AC68" s="755"/>
      <c r="AD68" s="755"/>
      <c r="AE68" s="755"/>
      <c r="AF68" s="755"/>
      <c r="AG68" s="755"/>
      <c r="AH68" s="54"/>
      <c r="AI68" s="100"/>
      <c r="IL68" s="518"/>
      <c r="JA68" s="505"/>
    </row>
    <row r="69" spans="1:261" ht="12" customHeight="1">
      <c r="A69" s="1662"/>
      <c r="B69" s="1662"/>
      <c r="C69" s="1663"/>
      <c r="D69" s="1663"/>
      <c r="E69" s="1663"/>
      <c r="F69" s="1"/>
      <c r="G69" s="87"/>
      <c r="H69" s="37" t="s">
        <v>120</v>
      </c>
      <c r="I69" s="87"/>
      <c r="J69" s="796">
        <f>BK48</f>
        <v>0</v>
      </c>
      <c r="K69" s="796">
        <f>BL48</f>
        <v>0</v>
      </c>
      <c r="L69" s="796">
        <f>BM48</f>
        <v>0</v>
      </c>
      <c r="M69" s="796">
        <f>BN48</f>
        <v>0</v>
      </c>
      <c r="N69" s="796">
        <f>BO48</f>
        <v>0</v>
      </c>
      <c r="O69" s="800">
        <f>SUM(J69:N69)</f>
        <v>0</v>
      </c>
      <c r="R69" s="457"/>
      <c r="S69" s="457"/>
      <c r="T69" s="457"/>
      <c r="U69" s="2899"/>
      <c r="V69" s="2900"/>
      <c r="W69" s="37"/>
      <c r="X69" s="531"/>
      <c r="Y69" s="109"/>
      <c r="Z69" s="531"/>
      <c r="AA69" s="54"/>
      <c r="AB69" s="755"/>
      <c r="AC69" s="755"/>
      <c r="AD69" s="755"/>
      <c r="AE69" s="755"/>
      <c r="AF69" s="755"/>
      <c r="AG69" s="755"/>
      <c r="AH69" s="54"/>
      <c r="AI69" s="100"/>
      <c r="IL69" s="518"/>
      <c r="JA69" s="505"/>
    </row>
    <row r="70" spans="1:261" ht="12" customHeight="1">
      <c r="A70" s="1662"/>
      <c r="B70" s="1662"/>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2"/>
      <c r="V70" s="2903"/>
      <c r="W70" s="10"/>
      <c r="X70" s="531"/>
      <c r="Y70" s="109"/>
      <c r="Z70" s="531"/>
      <c r="AA70" s="54"/>
      <c r="AB70" s="755"/>
      <c r="AC70" s="755"/>
      <c r="AD70" s="755"/>
      <c r="AE70" s="755"/>
      <c r="AF70" s="755"/>
      <c r="AG70" s="755"/>
      <c r="AH70" s="54"/>
      <c r="AI70" s="100"/>
      <c r="IL70" s="518"/>
      <c r="JA70" s="505"/>
    </row>
    <row r="71" spans="1:261" ht="9" customHeight="1">
      <c r="A71" s="1662"/>
      <c r="B71" s="1662"/>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2"/>
      <c r="B72" s="1662"/>
      <c r="C72" s="1671" t="s">
        <v>40</v>
      </c>
      <c r="D72" s="1671"/>
      <c r="E72" s="109" t="s">
        <v>2375</v>
      </c>
      <c r="F72" s="1"/>
      <c r="G72" s="87"/>
      <c r="H72" s="37" t="s">
        <v>1486</v>
      </c>
      <c r="I72" s="87"/>
      <c r="J72" s="795">
        <f>DD48</f>
        <v>0</v>
      </c>
      <c r="K72" s="795">
        <f>DE48</f>
        <v>6</v>
      </c>
      <c r="L72" s="795">
        <f>DF48</f>
        <v>28</v>
      </c>
      <c r="M72" s="795">
        <f>DG48</f>
        <v>11</v>
      </c>
      <c r="N72" s="795">
        <f>DH48</f>
        <v>0</v>
      </c>
      <c r="O72" s="795">
        <f t="shared" ref="O72:O82" si="264">SUM(J72:N72)</f>
        <v>45</v>
      </c>
      <c r="R72" s="457"/>
      <c r="S72" s="457"/>
      <c r="T72" s="457"/>
      <c r="U72" s="2997"/>
      <c r="V72" s="2998"/>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2"/>
      <c r="B73" s="1662"/>
      <c r="C73" s="1671"/>
      <c r="D73" s="1671"/>
      <c r="E73" s="116"/>
      <c r="F73" s="1"/>
      <c r="G73" s="87"/>
      <c r="H73" s="37" t="s">
        <v>316</v>
      </c>
      <c r="I73" s="87"/>
      <c r="J73" s="797">
        <f>DI48</f>
        <v>0</v>
      </c>
      <c r="K73" s="797">
        <f>DJ48</f>
        <v>2</v>
      </c>
      <c r="L73" s="797">
        <f>DK48</f>
        <v>12</v>
      </c>
      <c r="M73" s="797">
        <f>DL48</f>
        <v>5</v>
      </c>
      <c r="N73" s="797">
        <f>DM48</f>
        <v>0</v>
      </c>
      <c r="O73" s="797">
        <f t="shared" si="264"/>
        <v>19</v>
      </c>
      <c r="R73" s="457"/>
      <c r="S73" s="457"/>
      <c r="T73" s="457"/>
      <c r="U73" s="2999"/>
      <c r="V73" s="3000"/>
      <c r="W73" s="531"/>
      <c r="X73" s="531"/>
      <c r="Y73" s="109"/>
      <c r="Z73" s="531"/>
      <c r="AA73" s="54"/>
      <c r="AB73" s="755"/>
      <c r="AC73" s="755"/>
      <c r="AD73" s="755"/>
      <c r="AE73" s="755"/>
      <c r="AF73" s="755"/>
      <c r="AG73" s="755"/>
      <c r="AH73" s="466"/>
      <c r="AI73" s="100"/>
      <c r="IL73" s="518"/>
      <c r="JA73" s="505"/>
    </row>
    <row r="74" spans="1:261" ht="12" customHeight="1">
      <c r="A74" s="1662"/>
      <c r="B74" s="1662"/>
      <c r="C74" s="1671"/>
      <c r="D74" s="1671"/>
      <c r="E74" s="116"/>
      <c r="F74" s="1"/>
      <c r="G74" s="87"/>
      <c r="H74" s="37" t="s">
        <v>33</v>
      </c>
      <c r="I74" s="87"/>
      <c r="J74" s="798">
        <f>SUM(J72:J73)+DN48</f>
        <v>0</v>
      </c>
      <c r="K74" s="798">
        <f>SUM(K72:K73)+DO48</f>
        <v>8</v>
      </c>
      <c r="L74" s="798">
        <f>SUM(L72:L73)+DP48</f>
        <v>40</v>
      </c>
      <c r="M74" s="798">
        <f>SUM(M72:M73)+DQ48</f>
        <v>16</v>
      </c>
      <c r="N74" s="798">
        <f>SUM(N72:N73)+DR48</f>
        <v>0</v>
      </c>
      <c r="O74" s="798">
        <f t="shared" si="264"/>
        <v>64</v>
      </c>
      <c r="R74" s="457"/>
      <c r="S74" s="457"/>
      <c r="T74" s="457"/>
      <c r="U74" s="2999"/>
      <c r="V74" s="3000"/>
      <c r="W74" s="10"/>
      <c r="X74" s="531"/>
      <c r="Y74" s="109"/>
      <c r="Z74" s="531"/>
      <c r="AA74" s="37"/>
      <c r="AB74" s="755"/>
      <c r="AC74" s="755"/>
      <c r="AD74" s="755"/>
      <c r="AE74" s="755"/>
      <c r="AF74" s="755"/>
      <c r="AG74" s="755"/>
      <c r="AH74" s="54"/>
      <c r="AI74" s="100"/>
      <c r="IL74" s="518"/>
      <c r="JA74" s="505"/>
    </row>
    <row r="75" spans="1:261" ht="12" customHeight="1">
      <c r="A75" s="1662"/>
      <c r="B75" s="1662"/>
      <c r="C75" s="1671"/>
      <c r="D75" s="1671"/>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2999"/>
      <c r="V75" s="3000"/>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2"/>
      <c r="B76" s="1662"/>
      <c r="C76" s="1671"/>
      <c r="D76" s="1671"/>
      <c r="E76" s="116"/>
      <c r="F76" s="1"/>
      <c r="G76" s="87"/>
      <c r="H76" s="37" t="s">
        <v>316</v>
      </c>
      <c r="I76" s="87"/>
      <c r="J76" s="797">
        <f>DX48</f>
        <v>0</v>
      </c>
      <c r="K76" s="797">
        <f>DY48</f>
        <v>0</v>
      </c>
      <c r="L76" s="797">
        <f>DZ48</f>
        <v>0</v>
      </c>
      <c r="M76" s="797">
        <f>EA48</f>
        <v>0</v>
      </c>
      <c r="N76" s="797">
        <f>EB48</f>
        <v>0</v>
      </c>
      <c r="O76" s="797">
        <f t="shared" si="264"/>
        <v>0</v>
      </c>
      <c r="R76" s="457"/>
      <c r="S76" s="457"/>
      <c r="T76" s="457"/>
      <c r="U76" s="2999"/>
      <c r="V76" s="3000"/>
      <c r="W76" s="531"/>
      <c r="X76" s="531"/>
      <c r="Y76" s="109"/>
      <c r="Z76" s="531"/>
      <c r="AA76" s="54"/>
      <c r="AB76" s="755"/>
      <c r="AC76" s="755"/>
      <c r="AD76" s="755"/>
      <c r="AE76" s="755"/>
      <c r="AF76" s="755"/>
      <c r="AG76" s="755"/>
      <c r="AH76" s="466"/>
      <c r="AI76" s="100"/>
      <c r="IL76" s="518"/>
      <c r="JA76" s="505"/>
    </row>
    <row r="77" spans="1:261" ht="12" customHeight="1">
      <c r="A77" s="1662"/>
      <c r="B77" s="1662"/>
      <c r="C77" s="1671"/>
      <c r="D77" s="1671"/>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2999"/>
      <c r="V77" s="3000"/>
      <c r="W77" s="10"/>
      <c r="X77" s="531"/>
      <c r="Y77" s="109"/>
      <c r="Z77" s="531"/>
      <c r="AA77" s="37"/>
      <c r="AB77" s="755"/>
      <c r="AC77" s="755"/>
      <c r="AD77" s="755"/>
      <c r="AE77" s="755"/>
      <c r="AF77" s="755"/>
      <c r="AG77" s="755"/>
      <c r="AH77" s="54"/>
      <c r="AI77" s="100"/>
      <c r="IL77" s="518"/>
      <c r="JA77" s="505"/>
    </row>
    <row r="78" spans="1:261" ht="12" customHeight="1">
      <c r="A78" s="1662"/>
      <c r="B78" s="1662"/>
      <c r="C78" s="1309"/>
      <c r="D78" s="1"/>
      <c r="E78" s="1672" t="s">
        <v>1473</v>
      </c>
      <c r="F78" s="1672"/>
      <c r="G78" s="87"/>
      <c r="H78" s="37" t="s">
        <v>1486</v>
      </c>
      <c r="I78" s="87"/>
      <c r="J78" s="795">
        <f>EH48</f>
        <v>0</v>
      </c>
      <c r="K78" s="795">
        <f>EI48</f>
        <v>0</v>
      </c>
      <c r="L78" s="795">
        <f>EJ48</f>
        <v>0</v>
      </c>
      <c r="M78" s="795">
        <f>EK48</f>
        <v>0</v>
      </c>
      <c r="N78" s="795">
        <f>EL48</f>
        <v>0</v>
      </c>
      <c r="O78" s="795">
        <f t="shared" si="264"/>
        <v>0</v>
      </c>
      <c r="R78" s="457"/>
      <c r="S78" s="457"/>
      <c r="T78" s="457"/>
      <c r="U78" s="2999"/>
      <c r="V78" s="3000"/>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2"/>
      <c r="B79" s="1662"/>
      <c r="C79" s="1309"/>
      <c r="D79" s="1"/>
      <c r="E79" s="1672"/>
      <c r="F79" s="1672"/>
      <c r="G79" s="87"/>
      <c r="H79" s="37" t="s">
        <v>316</v>
      </c>
      <c r="I79" s="87"/>
      <c r="J79" s="797">
        <f>EM48</f>
        <v>0</v>
      </c>
      <c r="K79" s="797">
        <f>EN48</f>
        <v>0</v>
      </c>
      <c r="L79" s="797">
        <f>EO48</f>
        <v>0</v>
      </c>
      <c r="M79" s="797">
        <f>EP48</f>
        <v>0</v>
      </c>
      <c r="N79" s="797">
        <f>EQ48</f>
        <v>0</v>
      </c>
      <c r="O79" s="797">
        <f t="shared" si="264"/>
        <v>0</v>
      </c>
      <c r="R79" s="457"/>
      <c r="S79" s="457"/>
      <c r="T79" s="457"/>
      <c r="U79" s="2999"/>
      <c r="V79" s="3000"/>
      <c r="W79" s="531"/>
      <c r="X79" s="531"/>
      <c r="Y79" s="531"/>
      <c r="Z79" s="531"/>
      <c r="AA79" s="54"/>
      <c r="AB79" s="755"/>
      <c r="AC79" s="755"/>
      <c r="AD79" s="755"/>
      <c r="AE79" s="755"/>
      <c r="AF79" s="755"/>
      <c r="AG79" s="755"/>
      <c r="AH79" s="466"/>
      <c r="AI79" s="100"/>
      <c r="IL79" s="518"/>
      <c r="JA79" s="505"/>
    </row>
    <row r="80" spans="1:261" ht="12" customHeight="1">
      <c r="A80" s="1662"/>
      <c r="B80" s="1662"/>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2999"/>
      <c r="V80" s="3000"/>
      <c r="W80" s="10"/>
      <c r="X80" s="531"/>
      <c r="Y80" s="109"/>
      <c r="Z80" s="531"/>
      <c r="AA80" s="37"/>
      <c r="AB80" s="755"/>
      <c r="AC80" s="755"/>
      <c r="AD80" s="755"/>
      <c r="AE80" s="755"/>
      <c r="AF80" s="755"/>
      <c r="AG80" s="755"/>
      <c r="AH80" s="54"/>
      <c r="AI80" s="100"/>
      <c r="IL80" s="518"/>
      <c r="JA80" s="505"/>
    </row>
    <row r="81" spans="1:261" ht="12" customHeight="1">
      <c r="A81" s="1662"/>
      <c r="B81" s="1662"/>
      <c r="C81" s="1309"/>
      <c r="D81" s="1"/>
      <c r="E81" s="116" t="s">
        <v>379</v>
      </c>
      <c r="F81" s="1"/>
      <c r="G81" s="188"/>
      <c r="H81" s="87"/>
      <c r="I81" s="87"/>
      <c r="J81" s="3001"/>
      <c r="K81" s="3001"/>
      <c r="L81" s="3001"/>
      <c r="M81" s="3001"/>
      <c r="N81" s="3001"/>
      <c r="O81" s="795">
        <f t="shared" si="264"/>
        <v>0</v>
      </c>
      <c r="U81" s="2999"/>
      <c r="V81" s="3000"/>
      <c r="W81" s="531"/>
      <c r="X81" s="531"/>
      <c r="Y81" s="531"/>
      <c r="Z81" s="531"/>
      <c r="AA81" s="54"/>
      <c r="AB81" s="755"/>
      <c r="AC81" s="755"/>
      <c r="AD81" s="755"/>
      <c r="AE81" s="755"/>
      <c r="AF81" s="755"/>
      <c r="AG81" s="755"/>
      <c r="AH81" s="466"/>
      <c r="AI81" s="100"/>
      <c r="IL81" s="518"/>
      <c r="JA81" s="505"/>
    </row>
    <row r="82" spans="1:261" ht="12" customHeight="1">
      <c r="A82" s="1673" t="str">
        <f>IF(AND('Part IV-Uses of Funds'!$T$164="Yes",'Part IX A-Scoring Criteria'!$O$314&gt;0,O82&lt;1),"SHOW HISTORIC UNITS HERE &gt;&gt;&gt;&gt;","")</f>
        <v/>
      </c>
      <c r="B82" s="1673"/>
      <c r="C82" s="1673"/>
      <c r="D82" s="1673"/>
      <c r="E82" s="566" t="s">
        <v>3609</v>
      </c>
      <c r="F82" s="1"/>
      <c r="G82" s="188"/>
      <c r="H82" s="87"/>
      <c r="I82" s="87"/>
      <c r="J82" s="3002"/>
      <c r="K82" s="3002"/>
      <c r="L82" s="3002"/>
      <c r="M82" s="3002"/>
      <c r="N82" s="3002"/>
      <c r="O82" s="797">
        <f t="shared" si="264"/>
        <v>0</v>
      </c>
      <c r="U82" s="2999"/>
      <c r="V82" s="3000"/>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2999"/>
      <c r="V83" s="3000"/>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3"/>
      <c r="V84" s="3004"/>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1" t="s">
        <v>3839</v>
      </c>
      <c r="D86" s="1671"/>
      <c r="E86" s="109" t="s">
        <v>41</v>
      </c>
      <c r="F86" s="1"/>
      <c r="G86" s="188"/>
      <c r="H86" s="87"/>
      <c r="I86" s="87"/>
      <c r="J86" s="813">
        <f t="shared" ref="J86:O86" si="265">SUM(J87:J94)</f>
        <v>0</v>
      </c>
      <c r="K86" s="813">
        <f t="shared" si="265"/>
        <v>8</v>
      </c>
      <c r="L86" s="813">
        <f t="shared" si="265"/>
        <v>40</v>
      </c>
      <c r="M86" s="813">
        <f t="shared" si="265"/>
        <v>16</v>
      </c>
      <c r="N86" s="813">
        <f t="shared" si="265"/>
        <v>0</v>
      </c>
      <c r="O86" s="813">
        <f t="shared" si="265"/>
        <v>64</v>
      </c>
      <c r="R86" s="457"/>
      <c r="S86" s="457"/>
      <c r="T86" s="457"/>
      <c r="U86" s="2997"/>
      <c r="V86" s="2998"/>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1"/>
      <c r="D87" s="1671"/>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2999"/>
      <c r="V87" s="3000"/>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1"/>
      <c r="D88" s="1671"/>
      <c r="E88" s="109"/>
      <c r="F88" s="1"/>
      <c r="G88" s="87"/>
      <c r="H88" s="1207" t="s">
        <v>3544</v>
      </c>
      <c r="I88" s="87"/>
      <c r="J88" s="800">
        <f>GU48</f>
        <v>0</v>
      </c>
      <c r="K88" s="800">
        <f>GV48</f>
        <v>0</v>
      </c>
      <c r="L88" s="800">
        <f>GW48</f>
        <v>0</v>
      </c>
      <c r="M88" s="800">
        <f>GX48</f>
        <v>0</v>
      </c>
      <c r="N88" s="800">
        <f>GY48</f>
        <v>0</v>
      </c>
      <c r="O88" s="796">
        <f t="shared" si="266"/>
        <v>0</v>
      </c>
      <c r="R88" s="457"/>
      <c r="S88" s="457"/>
      <c r="T88" s="457"/>
      <c r="U88" s="2999"/>
      <c r="V88" s="3000"/>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1"/>
      <c r="D89" s="1671"/>
      <c r="E89" s="109"/>
      <c r="F89" s="1"/>
      <c r="G89" s="87"/>
      <c r="H89" s="41" t="s">
        <v>2693</v>
      </c>
      <c r="I89" s="87"/>
      <c r="J89" s="800">
        <f>GZ48</f>
        <v>0</v>
      </c>
      <c r="K89" s="800">
        <f>HA48</f>
        <v>0</v>
      </c>
      <c r="L89" s="800">
        <f>HB48</f>
        <v>0</v>
      </c>
      <c r="M89" s="800">
        <f>HC48</f>
        <v>0</v>
      </c>
      <c r="N89" s="800">
        <f>HD48</f>
        <v>0</v>
      </c>
      <c r="O89" s="796">
        <f t="shared" si="266"/>
        <v>0</v>
      </c>
      <c r="R89" s="457"/>
      <c r="S89" s="457"/>
      <c r="T89" s="457"/>
      <c r="U89" s="2999"/>
      <c r="V89" s="3000"/>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1"/>
      <c r="D90" s="1671"/>
      <c r="E90" s="109"/>
      <c r="F90" s="1"/>
      <c r="G90" s="87"/>
      <c r="H90" s="1207" t="s">
        <v>3544</v>
      </c>
      <c r="I90" s="87"/>
      <c r="J90" s="800">
        <f>HE48</f>
        <v>0</v>
      </c>
      <c r="K90" s="800">
        <f>HF48</f>
        <v>0</v>
      </c>
      <c r="L90" s="800">
        <f>HG48</f>
        <v>0</v>
      </c>
      <c r="M90" s="800">
        <f>HH48</f>
        <v>0</v>
      </c>
      <c r="N90" s="800">
        <f>HI48</f>
        <v>0</v>
      </c>
      <c r="O90" s="796">
        <f t="shared" si="266"/>
        <v>0</v>
      </c>
      <c r="R90" s="457"/>
      <c r="S90" s="457"/>
      <c r="T90" s="457"/>
      <c r="U90" s="2999"/>
      <c r="V90" s="3000"/>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1"/>
      <c r="D91" s="1671"/>
      <c r="E91" s="109"/>
      <c r="F91" s="1"/>
      <c r="G91" s="87"/>
      <c r="H91" s="41" t="s">
        <v>2695</v>
      </c>
      <c r="I91" s="87"/>
      <c r="J91" s="800">
        <f>HJ48</f>
        <v>0</v>
      </c>
      <c r="K91" s="800">
        <f>HK48</f>
        <v>8</v>
      </c>
      <c r="L91" s="800">
        <f>HL48</f>
        <v>40</v>
      </c>
      <c r="M91" s="800">
        <f>HM48</f>
        <v>16</v>
      </c>
      <c r="N91" s="800">
        <f>HN48</f>
        <v>0</v>
      </c>
      <c r="O91" s="796">
        <f t="shared" si="266"/>
        <v>64</v>
      </c>
      <c r="R91" s="457"/>
      <c r="S91" s="457"/>
      <c r="T91" s="457"/>
      <c r="U91" s="2999"/>
      <c r="V91" s="3000"/>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1"/>
      <c r="D92" s="1671"/>
      <c r="E92" s="109"/>
      <c r="F92" s="1"/>
      <c r="G92" s="87"/>
      <c r="H92" s="1207" t="s">
        <v>3544</v>
      </c>
      <c r="I92" s="87"/>
      <c r="J92" s="800">
        <f>HO48</f>
        <v>0</v>
      </c>
      <c r="K92" s="800">
        <f>HP48</f>
        <v>0</v>
      </c>
      <c r="L92" s="800">
        <f>HQ48</f>
        <v>0</v>
      </c>
      <c r="M92" s="800">
        <f>HR48</f>
        <v>0</v>
      </c>
      <c r="N92" s="800">
        <f>HS48</f>
        <v>0</v>
      </c>
      <c r="O92" s="796">
        <f t="shared" si="266"/>
        <v>0</v>
      </c>
      <c r="R92" s="457"/>
      <c r="S92" s="457"/>
      <c r="T92" s="457"/>
      <c r="U92" s="2999"/>
      <c r="V92" s="3000"/>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2999"/>
      <c r="V93" s="3000"/>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3544</v>
      </c>
      <c r="I94" s="87"/>
      <c r="J94" s="800">
        <f>HY48</f>
        <v>0</v>
      </c>
      <c r="K94" s="800">
        <f>HZ48</f>
        <v>0</v>
      </c>
      <c r="L94" s="800">
        <f>IA48</f>
        <v>0</v>
      </c>
      <c r="M94" s="800">
        <f>IB48</f>
        <v>0</v>
      </c>
      <c r="N94" s="800">
        <f>IC48</f>
        <v>0</v>
      </c>
      <c r="O94" s="796">
        <f t="shared" si="266"/>
        <v>0</v>
      </c>
      <c r="R94" s="457"/>
      <c r="S94" s="457"/>
      <c r="T94" s="457"/>
      <c r="U94" s="2999"/>
      <c r="V94" s="3000"/>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2999"/>
      <c r="V95" s="3000"/>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3544</v>
      </c>
      <c r="I96" s="87"/>
      <c r="J96" s="796">
        <f>FG48</f>
        <v>0</v>
      </c>
      <c r="K96" s="796">
        <f>FH48</f>
        <v>0</v>
      </c>
      <c r="L96" s="796">
        <f>FI48</f>
        <v>0</v>
      </c>
      <c r="M96" s="796">
        <f>FJ48</f>
        <v>0</v>
      </c>
      <c r="N96" s="796">
        <f>FK48</f>
        <v>0</v>
      </c>
      <c r="O96" s="796">
        <f t="shared" si="266"/>
        <v>0</v>
      </c>
      <c r="R96" s="457"/>
      <c r="S96" s="457"/>
      <c r="T96" s="457"/>
      <c r="U96" s="2999"/>
      <c r="V96" s="3000"/>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2999"/>
      <c r="V97" s="3000"/>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3544</v>
      </c>
      <c r="I98" s="87"/>
      <c r="J98" s="796">
        <f>GK48</f>
        <v>0</v>
      </c>
      <c r="K98" s="796">
        <f>GL48</f>
        <v>0</v>
      </c>
      <c r="L98" s="796">
        <f>GM48</f>
        <v>0</v>
      </c>
      <c r="M98" s="796">
        <f>GN48</f>
        <v>0</v>
      </c>
      <c r="N98" s="796">
        <f>GO48</f>
        <v>0</v>
      </c>
      <c r="O98" s="796">
        <f t="shared" si="266"/>
        <v>0</v>
      </c>
      <c r="R98" s="457"/>
      <c r="S98" s="457"/>
      <c r="T98" s="457"/>
      <c r="U98" s="2999"/>
      <c r="V98" s="3000"/>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2999"/>
      <c r="V99" s="3000"/>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3544</v>
      </c>
      <c r="I100" s="87"/>
      <c r="J100" s="801">
        <f>GA48</f>
        <v>0</v>
      </c>
      <c r="K100" s="801">
        <f>GB48</f>
        <v>0</v>
      </c>
      <c r="L100" s="801">
        <f>GC48</f>
        <v>0</v>
      </c>
      <c r="M100" s="801">
        <f>GD48</f>
        <v>0</v>
      </c>
      <c r="N100" s="801">
        <f>GE48</f>
        <v>0</v>
      </c>
      <c r="O100" s="796">
        <f t="shared" si="266"/>
        <v>0</v>
      </c>
      <c r="R100" s="457"/>
      <c r="S100" s="457"/>
      <c r="T100" s="457"/>
      <c r="U100" s="2999"/>
      <c r="V100" s="3000"/>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2999"/>
      <c r="V101" s="3000"/>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3544</v>
      </c>
      <c r="I102" s="87"/>
      <c r="J102" s="797">
        <f>FQ48</f>
        <v>0</v>
      </c>
      <c r="K102" s="797">
        <f>FR48</f>
        <v>0</v>
      </c>
      <c r="L102" s="797">
        <f>FS48</f>
        <v>0</v>
      </c>
      <c r="M102" s="797">
        <f>FT48</f>
        <v>0</v>
      </c>
      <c r="N102" s="797">
        <f>FU48</f>
        <v>0</v>
      </c>
      <c r="O102" s="797">
        <f t="shared" si="266"/>
        <v>0</v>
      </c>
      <c r="R102" s="457"/>
      <c r="S102" s="457"/>
      <c r="T102" s="457"/>
      <c r="U102" s="3003"/>
      <c r="V102" s="3004"/>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1" t="s">
        <v>4104</v>
      </c>
      <c r="D104" s="1671"/>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7"/>
      <c r="V104" s="2998"/>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1"/>
      <c r="D105" s="1671"/>
      <c r="E105" s="116"/>
      <c r="F105" s="188"/>
      <c r="G105" s="87"/>
      <c r="H105" s="1207"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2999"/>
      <c r="V105" s="3000"/>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1"/>
      <c r="D106" s="1671"/>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2999"/>
      <c r="V106" s="3000"/>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1"/>
      <c r="D107" s="1671"/>
      <c r="E107" s="116"/>
      <c r="F107" s="188"/>
      <c r="G107" s="87"/>
      <c r="H107" s="1207" t="s">
        <v>3544</v>
      </c>
      <c r="I107" s="87"/>
      <c r="J107" s="805">
        <f>J88+J98</f>
        <v>0</v>
      </c>
      <c r="K107" s="805">
        <f t="shared" si="269"/>
        <v>0</v>
      </c>
      <c r="L107" s="805">
        <f t="shared" si="269"/>
        <v>0</v>
      </c>
      <c r="M107" s="805">
        <f t="shared" si="269"/>
        <v>0</v>
      </c>
      <c r="N107" s="805">
        <f t="shared" si="269"/>
        <v>0</v>
      </c>
      <c r="O107" s="805">
        <f t="shared" si="268"/>
        <v>0</v>
      </c>
      <c r="R107" s="457"/>
      <c r="S107" s="457"/>
      <c r="T107" s="457"/>
      <c r="U107" s="2999"/>
      <c r="V107" s="3000"/>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1"/>
      <c r="D108" s="1671"/>
      <c r="E108" s="116" t="s">
        <v>3541</v>
      </c>
      <c r="F108" s="188"/>
      <c r="G108" s="87"/>
      <c r="H108" s="41"/>
      <c r="I108" s="87"/>
      <c r="J108" s="805">
        <f>J91</f>
        <v>0</v>
      </c>
      <c r="K108" s="805">
        <f t="shared" ref="K108:N109" si="270">K91</f>
        <v>8</v>
      </c>
      <c r="L108" s="805">
        <f t="shared" si="270"/>
        <v>40</v>
      </c>
      <c r="M108" s="805">
        <f t="shared" si="270"/>
        <v>16</v>
      </c>
      <c r="N108" s="805">
        <f t="shared" si="270"/>
        <v>0</v>
      </c>
      <c r="O108" s="805">
        <f t="shared" si="268"/>
        <v>64</v>
      </c>
      <c r="R108" s="457"/>
      <c r="S108" s="457"/>
      <c r="T108" s="457"/>
      <c r="U108" s="2999"/>
      <c r="V108" s="3000"/>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1"/>
      <c r="D109" s="1671"/>
      <c r="E109" s="116"/>
      <c r="F109" s="188"/>
      <c r="G109" s="87"/>
      <c r="H109" s="1207" t="s">
        <v>3544</v>
      </c>
      <c r="I109" s="87"/>
      <c r="J109" s="805">
        <f>J92</f>
        <v>0</v>
      </c>
      <c r="K109" s="805">
        <f t="shared" si="270"/>
        <v>0</v>
      </c>
      <c r="L109" s="805">
        <f t="shared" si="270"/>
        <v>0</v>
      </c>
      <c r="M109" s="805">
        <f t="shared" si="270"/>
        <v>0</v>
      </c>
      <c r="N109" s="805">
        <f t="shared" si="270"/>
        <v>0</v>
      </c>
      <c r="O109" s="805">
        <f t="shared" si="268"/>
        <v>0</v>
      </c>
      <c r="R109" s="457"/>
      <c r="S109" s="457"/>
      <c r="T109" s="457"/>
      <c r="U109" s="2999"/>
      <c r="V109" s="3000"/>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1"/>
      <c r="D110" s="1671"/>
      <c r="E110" s="116" t="s">
        <v>3542</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2999"/>
      <c r="V110" s="3000"/>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3544</v>
      </c>
      <c r="I111" s="87"/>
      <c r="J111" s="806">
        <f>J90+J94</f>
        <v>0</v>
      </c>
      <c r="K111" s="806">
        <f t="shared" si="271"/>
        <v>0</v>
      </c>
      <c r="L111" s="806">
        <f t="shared" si="271"/>
        <v>0</v>
      </c>
      <c r="M111" s="806">
        <f t="shared" si="271"/>
        <v>0</v>
      </c>
      <c r="N111" s="806">
        <f t="shared" si="271"/>
        <v>0</v>
      </c>
      <c r="O111" s="806">
        <f t="shared" si="268"/>
        <v>0</v>
      </c>
      <c r="R111" s="457"/>
      <c r="S111" s="457"/>
      <c r="T111" s="457"/>
      <c r="U111" s="3003"/>
      <c r="V111" s="3004"/>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3000</v>
      </c>
      <c r="L113" s="808">
        <f>CB48</f>
        <v>21000</v>
      </c>
      <c r="M113" s="808">
        <f>CC48</f>
        <v>8120</v>
      </c>
      <c r="N113" s="808">
        <f>CD48</f>
        <v>0</v>
      </c>
      <c r="O113" s="808">
        <f t="shared" ref="O113:O119" si="272">SUM(J113:N113)</f>
        <v>32120</v>
      </c>
      <c r="R113" s="457"/>
      <c r="S113" s="457"/>
      <c r="T113" s="457"/>
      <c r="U113" s="2897"/>
      <c r="V113" s="2898"/>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1500</v>
      </c>
      <c r="L114" s="809">
        <f>CG48</f>
        <v>8400</v>
      </c>
      <c r="M114" s="809">
        <f>CH48</f>
        <v>4640</v>
      </c>
      <c r="N114" s="809">
        <f>CI48</f>
        <v>0</v>
      </c>
      <c r="O114" s="809">
        <f t="shared" si="272"/>
        <v>14540</v>
      </c>
      <c r="R114" s="457"/>
      <c r="S114" s="457"/>
      <c r="T114" s="457"/>
      <c r="U114" s="2899"/>
      <c r="V114" s="2900"/>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4500</v>
      </c>
      <c r="L115" s="808">
        <f>SUM(L113:L114)</f>
        <v>29400</v>
      </c>
      <c r="M115" s="808">
        <f>SUM(M113:M114)</f>
        <v>12760</v>
      </c>
      <c r="N115" s="808">
        <f>SUM(N113:N114)</f>
        <v>0</v>
      </c>
      <c r="O115" s="808">
        <f t="shared" si="272"/>
        <v>46660</v>
      </c>
      <c r="R115" s="457"/>
      <c r="S115" s="457"/>
      <c r="T115" s="457"/>
      <c r="U115" s="2899"/>
      <c r="V115" s="2900"/>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1500</v>
      </c>
      <c r="L116" s="810">
        <f>CQ48</f>
        <v>12600</v>
      </c>
      <c r="M116" s="810">
        <f>CR48</f>
        <v>5800</v>
      </c>
      <c r="N116" s="810">
        <f>CS48</f>
        <v>0</v>
      </c>
      <c r="O116" s="810">
        <f t="shared" si="272"/>
        <v>19900</v>
      </c>
      <c r="R116" s="457"/>
      <c r="S116" s="457"/>
      <c r="T116" s="457"/>
      <c r="U116" s="2899"/>
      <c r="V116" s="2900"/>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6000</v>
      </c>
      <c r="L117" s="808">
        <f>SUM(L115:L116)</f>
        <v>42000</v>
      </c>
      <c r="M117" s="808">
        <f>SUM(M115:M116)</f>
        <v>18560</v>
      </c>
      <c r="N117" s="808">
        <f>SUM(N115:N116)</f>
        <v>0</v>
      </c>
      <c r="O117" s="808">
        <f t="shared" si="272"/>
        <v>66560</v>
      </c>
      <c r="R117" s="457"/>
      <c r="S117" s="457"/>
      <c r="T117" s="457"/>
      <c r="U117" s="2899"/>
      <c r="V117" s="2900"/>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899"/>
      <c r="V118" s="2900"/>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6000</v>
      </c>
      <c r="L119" s="811">
        <f>SUM(L117:L118)</f>
        <v>42000</v>
      </c>
      <c r="M119" s="811">
        <f>SUM(M117:M118)</f>
        <v>18560</v>
      </c>
      <c r="N119" s="811">
        <f>SUM(N117:N118)</f>
        <v>0</v>
      </c>
      <c r="O119" s="811">
        <f t="shared" si="272"/>
        <v>66560</v>
      </c>
      <c r="R119" s="457"/>
      <c r="S119" s="457"/>
      <c r="T119" s="457"/>
      <c r="U119" s="2902"/>
      <c r="V119" s="2903"/>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5">
        <f>'Part VII-Pro Forma'!B9*L49</f>
        <v>7314.96</v>
      </c>
      <c r="I122" s="3006"/>
      <c r="J122" s="95"/>
      <c r="K122" s="562" t="s">
        <v>2856</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07"/>
      <c r="H126" s="3007"/>
      <c r="I126" s="3007"/>
      <c r="J126" s="3007"/>
      <c r="K126" s="3008"/>
      <c r="L126" s="3007"/>
      <c r="M126" s="3007"/>
      <c r="N126" s="3007"/>
      <c r="O126" s="3007"/>
      <c r="P126" s="3007"/>
      <c r="Q126" s="1166"/>
      <c r="U126" s="2897"/>
      <c r="V126" s="2898"/>
    </row>
    <row r="127" spans="1:263" ht="11.25" customHeight="1">
      <c r="B127" s="116" t="s">
        <v>771</v>
      </c>
      <c r="C127" s="3009"/>
      <c r="D127" s="3010"/>
      <c r="E127" s="3010"/>
      <c r="F127" s="3011"/>
      <c r="G127" s="3012"/>
      <c r="H127" s="3012"/>
      <c r="I127" s="3012"/>
      <c r="J127" s="3012"/>
      <c r="K127" s="3013"/>
      <c r="L127" s="3012"/>
      <c r="M127" s="3012"/>
      <c r="N127" s="3012"/>
      <c r="O127" s="3012"/>
      <c r="P127" s="3012"/>
      <c r="Q127" s="1166"/>
      <c r="U127" s="2899"/>
      <c r="V127" s="2900"/>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2"/>
      <c r="V128" s="2903"/>
    </row>
    <row r="129" spans="2:22" ht="11.25" customHeight="1">
      <c r="B129" s="1322" t="s">
        <v>4109</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7"/>
      <c r="H130" s="3007"/>
      <c r="I130" s="3007"/>
      <c r="J130" s="3007"/>
      <c r="K130" s="3008"/>
      <c r="L130" s="3007"/>
      <c r="M130" s="3007"/>
      <c r="N130" s="3007"/>
      <c r="O130" s="3007"/>
      <c r="P130" s="3007"/>
      <c r="Q130" s="1166"/>
      <c r="U130" s="2897"/>
      <c r="V130" s="2898"/>
    </row>
    <row r="131" spans="2:22" ht="11.25" customHeight="1">
      <c r="B131" s="116" t="s">
        <v>771</v>
      </c>
      <c r="C131" s="3009"/>
      <c r="D131" s="3010"/>
      <c r="E131" s="3010"/>
      <c r="F131" s="3011"/>
      <c r="G131" s="3012"/>
      <c r="H131" s="3012"/>
      <c r="I131" s="3012"/>
      <c r="J131" s="3012"/>
      <c r="K131" s="3013"/>
      <c r="L131" s="3012"/>
      <c r="M131" s="3012"/>
      <c r="N131" s="3012"/>
      <c r="O131" s="3012"/>
      <c r="P131" s="3012"/>
      <c r="Q131" s="1166"/>
      <c r="U131" s="2899"/>
      <c r="V131" s="2900"/>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2"/>
      <c r="V132" s="2903"/>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07"/>
      <c r="H135" s="3007"/>
      <c r="I135" s="3007"/>
      <c r="J135" s="3007"/>
      <c r="K135" s="3008"/>
      <c r="L135" s="3007"/>
      <c r="M135" s="3007"/>
      <c r="N135" s="3007"/>
      <c r="O135" s="3007"/>
      <c r="P135" s="3007"/>
      <c r="Q135" s="1166"/>
      <c r="U135" s="2897"/>
      <c r="V135" s="2898"/>
    </row>
    <row r="136" spans="2:22" ht="11.25" customHeight="1">
      <c r="B136" s="116" t="s">
        <v>771</v>
      </c>
      <c r="C136" s="3009"/>
      <c r="D136" s="3010"/>
      <c r="E136" s="3010"/>
      <c r="F136" s="3011"/>
      <c r="G136" s="3012"/>
      <c r="H136" s="3012"/>
      <c r="I136" s="3012"/>
      <c r="J136" s="3012"/>
      <c r="K136" s="3013"/>
      <c r="L136" s="3012"/>
      <c r="M136" s="3012"/>
      <c r="N136" s="3012"/>
      <c r="O136" s="3012"/>
      <c r="P136" s="3012"/>
      <c r="Q136" s="1166"/>
      <c r="U136" s="2899"/>
      <c r="V136" s="2900"/>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2"/>
      <c r="V137" s="2903"/>
    </row>
    <row r="138" spans="2:22" ht="11.25" customHeight="1">
      <c r="B138" s="1322" t="s">
        <v>4109</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7"/>
      <c r="H139" s="3007"/>
      <c r="I139" s="3007"/>
      <c r="J139" s="3007"/>
      <c r="K139" s="3008"/>
      <c r="L139" s="3007"/>
      <c r="M139" s="3007"/>
      <c r="N139" s="3007"/>
      <c r="O139" s="3007"/>
      <c r="P139" s="3007"/>
      <c r="Q139" s="1166"/>
      <c r="U139" s="2897"/>
      <c r="V139" s="2898"/>
    </row>
    <row r="140" spans="2:22" ht="11.25" customHeight="1">
      <c r="B140" s="116" t="s">
        <v>771</v>
      </c>
      <c r="C140" s="3009"/>
      <c r="D140" s="3010"/>
      <c r="E140" s="3010"/>
      <c r="F140" s="3011"/>
      <c r="G140" s="3012"/>
      <c r="H140" s="3012"/>
      <c r="I140" s="3012"/>
      <c r="J140" s="3012"/>
      <c r="K140" s="3013"/>
      <c r="L140" s="3012"/>
      <c r="M140" s="3012"/>
      <c r="N140" s="3012"/>
      <c r="O140" s="3012"/>
      <c r="P140" s="3012"/>
      <c r="Q140" s="1166"/>
      <c r="U140" s="2899"/>
      <c r="V140" s="2900"/>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2"/>
      <c r="V141" s="2903"/>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07"/>
      <c r="H144" s="3007"/>
      <c r="I144" s="3007"/>
      <c r="J144" s="3007"/>
      <c r="K144" s="3008"/>
      <c r="L144" s="3007"/>
      <c r="M144" s="3007"/>
      <c r="N144" s="3007"/>
      <c r="O144" s="3007"/>
      <c r="P144" s="3007"/>
      <c r="Q144" s="1166"/>
      <c r="U144" s="2897"/>
      <c r="V144" s="2898"/>
    </row>
    <row r="145" spans="2:22" ht="11.25" customHeight="1">
      <c r="B145" s="116" t="s">
        <v>771</v>
      </c>
      <c r="C145" s="3009"/>
      <c r="D145" s="3010"/>
      <c r="E145" s="3010"/>
      <c r="F145" s="3011"/>
      <c r="G145" s="3012"/>
      <c r="H145" s="3012"/>
      <c r="I145" s="3012"/>
      <c r="J145" s="3012"/>
      <c r="K145" s="3013"/>
      <c r="L145" s="3012"/>
      <c r="M145" s="3012"/>
      <c r="N145" s="3012"/>
      <c r="O145" s="3012"/>
      <c r="P145" s="3012"/>
      <c r="Q145" s="1166"/>
      <c r="U145" s="2899"/>
      <c r="V145" s="2900"/>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2"/>
      <c r="V146" s="2903"/>
    </row>
    <row r="147" spans="2:22" ht="11.25" customHeight="1">
      <c r="B147" s="1322" t="s">
        <v>4109</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7"/>
      <c r="H148" s="3007"/>
      <c r="I148" s="3007"/>
      <c r="J148" s="3007"/>
      <c r="K148" s="3008"/>
      <c r="L148" s="3007"/>
      <c r="M148" s="3007"/>
      <c r="N148" s="3007"/>
      <c r="O148" s="3007"/>
      <c r="P148" s="3007"/>
      <c r="Q148" s="1166"/>
      <c r="U148" s="2897"/>
      <c r="V148" s="2898"/>
    </row>
    <row r="149" spans="2:22" ht="11.25" customHeight="1">
      <c r="B149" s="116" t="s">
        <v>771</v>
      </c>
      <c r="C149" s="3009"/>
      <c r="D149" s="3010"/>
      <c r="E149" s="3010"/>
      <c r="F149" s="3011"/>
      <c r="G149" s="3012"/>
      <c r="H149" s="3012"/>
      <c r="I149" s="3012"/>
      <c r="J149" s="3012"/>
      <c r="K149" s="3013"/>
      <c r="L149" s="3012"/>
      <c r="M149" s="3012"/>
      <c r="N149" s="3012"/>
      <c r="O149" s="3012"/>
      <c r="P149" s="3012"/>
      <c r="Q149" s="1166"/>
      <c r="U149" s="2899"/>
      <c r="V149" s="2900"/>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2"/>
      <c r="V150" s="2903"/>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07"/>
      <c r="H153" s="3007"/>
      <c r="I153" s="3007"/>
      <c r="J153" s="3007"/>
      <c r="K153" s="3008"/>
      <c r="L153" s="95"/>
      <c r="M153" s="95"/>
      <c r="N153" s="95"/>
      <c r="O153" s="95"/>
      <c r="P153" s="95"/>
      <c r="Q153" s="8"/>
      <c r="U153" s="2897"/>
      <c r="V153" s="2898"/>
    </row>
    <row r="154" spans="2:22" ht="11.25" customHeight="1">
      <c r="B154" s="116" t="s">
        <v>771</v>
      </c>
      <c r="C154" s="3009"/>
      <c r="D154" s="3010"/>
      <c r="E154" s="3010"/>
      <c r="F154" s="3011"/>
      <c r="G154" s="3012"/>
      <c r="H154" s="3012"/>
      <c r="I154" s="3012"/>
      <c r="J154" s="3012"/>
      <c r="K154" s="3013"/>
      <c r="L154" s="95"/>
      <c r="M154" s="95"/>
      <c r="N154" s="95"/>
      <c r="O154" s="95"/>
      <c r="P154" s="95"/>
      <c r="Q154" s="8"/>
      <c r="U154" s="2899"/>
      <c r="V154" s="2900"/>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2"/>
      <c r="V155" s="2903"/>
    </row>
    <row r="156" spans="2:22" ht="11.25" customHeight="1">
      <c r="B156" s="1322" t="s">
        <v>4109</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7"/>
      <c r="H157" s="3007"/>
      <c r="I157" s="3007"/>
      <c r="J157" s="3007"/>
      <c r="K157" s="3008"/>
      <c r="L157" s="95"/>
      <c r="M157" s="95"/>
      <c r="N157" s="95"/>
      <c r="O157" s="95"/>
      <c r="P157" s="95"/>
      <c r="Q157" s="8"/>
      <c r="U157" s="2897"/>
      <c r="V157" s="2898"/>
    </row>
    <row r="158" spans="2:22" ht="11.25" customHeight="1">
      <c r="B158" s="116" t="s">
        <v>771</v>
      </c>
      <c r="C158" s="3009"/>
      <c r="D158" s="3010"/>
      <c r="E158" s="3010"/>
      <c r="F158" s="3011"/>
      <c r="G158" s="3012"/>
      <c r="H158" s="3012"/>
      <c r="I158" s="3012"/>
      <c r="J158" s="3012"/>
      <c r="K158" s="3013"/>
      <c r="L158" s="95"/>
      <c r="M158" s="95"/>
      <c r="N158" s="95"/>
      <c r="O158" s="95"/>
      <c r="P158" s="95"/>
      <c r="Q158" s="8"/>
      <c r="U158" s="2899"/>
      <c r="V158" s="2900"/>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2"/>
      <c r="V159" s="2903"/>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8" t="s">
        <v>1915</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7"/>
      <c r="V163" s="2898"/>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4">
        <v>29975</v>
      </c>
      <c r="G164" s="3015"/>
      <c r="H164" s="1"/>
      <c r="I164" s="1" t="s">
        <v>1428</v>
      </c>
      <c r="J164" s="1"/>
      <c r="K164" s="3014"/>
      <c r="L164" s="3015"/>
      <c r="M164" s="1"/>
      <c r="N164" s="1" t="s">
        <v>962</v>
      </c>
      <c r="O164" s="1"/>
      <c r="P164" s="3016">
        <v>78400</v>
      </c>
      <c r="Q164" s="1166"/>
      <c r="U164" s="2899"/>
      <c r="V164" s="2900"/>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4">
        <v>15000</v>
      </c>
      <c r="G165" s="3015"/>
      <c r="H165" s="1"/>
      <c r="I165" s="1" t="s">
        <v>1429</v>
      </c>
      <c r="J165" s="1"/>
      <c r="K165" s="3014">
        <v>600</v>
      </c>
      <c r="L165" s="3015"/>
      <c r="M165" s="1"/>
      <c r="N165" s="1" t="s">
        <v>152</v>
      </c>
      <c r="O165" s="1"/>
      <c r="P165" s="3016">
        <v>17677</v>
      </c>
      <c r="Q165" s="1166"/>
      <c r="U165" s="2899"/>
      <c r="V165" s="2900"/>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4"/>
      <c r="G166" s="3015"/>
      <c r="H166" s="1"/>
      <c r="I166" s="1"/>
      <c r="J166" s="132" t="s">
        <v>197</v>
      </c>
      <c r="K166" s="1666">
        <f>SUM(K164:L165)</f>
        <v>600</v>
      </c>
      <c r="L166" s="1667"/>
      <c r="M166" s="1"/>
      <c r="N166" s="3017"/>
      <c r="O166" s="3018"/>
      <c r="P166" s="3019"/>
      <c r="Q166" s="1166"/>
      <c r="U166" s="2899"/>
      <c r="V166" s="2900"/>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0" t="s">
        <v>4224</v>
      </c>
      <c r="C167" s="3021"/>
      <c r="D167" s="3021"/>
      <c r="E167" s="3022"/>
      <c r="F167" s="3023">
        <v>6440</v>
      </c>
      <c r="G167" s="3024"/>
      <c r="H167" s="1"/>
      <c r="I167" s="1"/>
      <c r="J167" s="1"/>
      <c r="K167" s="1"/>
      <c r="L167" s="1"/>
      <c r="M167" s="1"/>
      <c r="N167" s="12" t="s">
        <v>197</v>
      </c>
      <c r="O167" s="1"/>
      <c r="P167" s="454">
        <f>SUM(P164:P166)</f>
        <v>96077</v>
      </c>
      <c r="Q167" s="1166"/>
      <c r="U167" s="2899"/>
      <c r="V167" s="2900"/>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6">
        <f>SUM(F164:G167)</f>
        <v>51415</v>
      </c>
      <c r="G168" s="1667"/>
      <c r="H168" s="1"/>
      <c r="I168" s="1"/>
      <c r="J168" s="13"/>
      <c r="K168" s="1"/>
      <c r="L168" s="1"/>
      <c r="M168" s="1"/>
      <c r="N168" s="1"/>
      <c r="O168" s="1"/>
      <c r="P168" s="1"/>
      <c r="Q168" s="1"/>
      <c r="U168" s="2899"/>
      <c r="V168" s="2900"/>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899"/>
      <c r="V169" s="290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24286</v>
      </c>
      <c r="Q170" s="1167"/>
      <c r="U170" s="2899"/>
      <c r="V170" s="2900"/>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4">
        <v>1750</v>
      </c>
      <c r="G171" s="3015"/>
      <c r="H171" s="1"/>
      <c r="I171" s="1" t="s">
        <v>1660</v>
      </c>
      <c r="J171" s="1"/>
      <c r="K171" s="3025">
        <v>1000</v>
      </c>
      <c r="L171" s="3026"/>
      <c r="M171" s="1"/>
      <c r="N171" s="439">
        <f>+P170/(O62*0.93)</f>
        <v>408.0309139784946</v>
      </c>
      <c r="O171" s="71" t="s">
        <v>2871</v>
      </c>
      <c r="P171" s="1"/>
      <c r="Q171" s="1"/>
      <c r="U171" s="2899"/>
      <c r="V171" s="2900"/>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4">
        <v>8000</v>
      </c>
      <c r="G172" s="3015"/>
      <c r="H172" s="1"/>
      <c r="I172" s="1" t="s">
        <v>2127</v>
      </c>
      <c r="J172" s="1"/>
      <c r="K172" s="3027">
        <v>7000</v>
      </c>
      <c r="L172" s="3028"/>
      <c r="M172" s="1"/>
      <c r="N172" s="439">
        <f>+P170/(O62*0.93)/12</f>
        <v>34.002576164874547</v>
      </c>
      <c r="O172" s="71" t="s">
        <v>2872</v>
      </c>
      <c r="P172" s="1"/>
      <c r="Q172" s="1"/>
      <c r="U172" s="2899"/>
      <c r="V172" s="2900"/>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4"/>
      <c r="G173" s="3015"/>
      <c r="H173" s="1"/>
      <c r="I173" s="1" t="s">
        <v>1661</v>
      </c>
      <c r="J173" s="1"/>
      <c r="K173" s="3027">
        <v>500</v>
      </c>
      <c r="L173" s="3028"/>
      <c r="M173" s="1"/>
      <c r="N173" s="1669" t="s">
        <v>2546</v>
      </c>
      <c r="O173" s="1670"/>
      <c r="P173" s="1670"/>
      <c r="Q173" s="1416"/>
      <c r="U173" s="2899"/>
      <c r="V173" s="2900"/>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4"/>
      <c r="G174" s="3015"/>
      <c r="H174" s="1"/>
      <c r="I174" s="3017" t="s">
        <v>4335</v>
      </c>
      <c r="J174" s="3018"/>
      <c r="K174" s="3025">
        <v>10</v>
      </c>
      <c r="L174" s="3026"/>
      <c r="M174" s="1"/>
      <c r="N174" s="1670"/>
      <c r="O174" s="1670"/>
      <c r="P174" s="1670"/>
      <c r="Q174" s="1416"/>
      <c r="U174" s="2899"/>
      <c r="V174" s="2900"/>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4"/>
      <c r="G175" s="3015"/>
      <c r="H175" s="1"/>
      <c r="I175" s="10"/>
      <c r="J175" s="12" t="s">
        <v>197</v>
      </c>
      <c r="K175" s="1664">
        <f>SUM(K171:K174)</f>
        <v>8510</v>
      </c>
      <c r="L175" s="1665"/>
      <c r="M175" s="1"/>
      <c r="U175" s="2902"/>
      <c r="V175" s="2903"/>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0" t="s">
        <v>53</v>
      </c>
      <c r="C176" s="3021"/>
      <c r="D176" s="3021"/>
      <c r="E176" s="3022"/>
      <c r="F176" s="3023"/>
      <c r="G176" s="3024"/>
      <c r="H176" s="1"/>
      <c r="I176" s="1"/>
      <c r="J176" s="13"/>
      <c r="K176" s="1"/>
      <c r="L176" s="1"/>
      <c r="M176" s="1"/>
      <c r="N176" s="10" t="s">
        <v>2265</v>
      </c>
      <c r="O176" s="5"/>
      <c r="P176" s="452">
        <f>F168+F177+F188+K166+K175+K185+P167+P170</f>
        <v>237488</v>
      </c>
      <c r="Q176" s="1166"/>
      <c r="U176" s="2897"/>
      <c r="V176" s="2898"/>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6">
        <f>SUM(F171:G176)</f>
        <v>9750</v>
      </c>
      <c r="G177" s="1667"/>
      <c r="H177" s="1"/>
      <c r="I177" s="1"/>
      <c r="J177" s="13"/>
      <c r="K177" s="1"/>
      <c r="L177" s="1"/>
      <c r="M177" s="1"/>
      <c r="N177" s="439">
        <f>+P176/O62</f>
        <v>3710.75</v>
      </c>
      <c r="O177" s="71" t="s">
        <v>2873</v>
      </c>
      <c r="U177" s="2899"/>
      <c r="V177" s="2900"/>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899"/>
      <c r="V178" s="290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2870</v>
      </c>
      <c r="K179" s="1"/>
      <c r="L179" s="1"/>
      <c r="M179" s="1"/>
      <c r="N179" s="10" t="s">
        <v>3751</v>
      </c>
      <c r="O179" s="10"/>
      <c r="P179" s="453">
        <f>P180*O62</f>
        <v>16000</v>
      </c>
      <c r="Q179" s="1167"/>
      <c r="U179" s="2899"/>
      <c r="V179" s="2900"/>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29">
        <v>4750</v>
      </c>
      <c r="G180" s="3030"/>
      <c r="H180" s="1"/>
      <c r="I180" s="1" t="s">
        <v>1418</v>
      </c>
      <c r="J180" s="522">
        <f>K180/12/O62</f>
        <v>9.375</v>
      </c>
      <c r="K180" s="3027">
        <v>7200</v>
      </c>
      <c r="L180" s="3028"/>
      <c r="M180" s="1"/>
      <c r="N180" s="109" t="s">
        <v>3752</v>
      </c>
      <c r="O180" s="1"/>
      <c r="P180" s="3031">
        <f>N181</f>
        <v>250</v>
      </c>
      <c r="Q180" s="3032"/>
      <c r="U180" s="2899"/>
      <c r="V180" s="2900"/>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29">
        <v>5000</v>
      </c>
      <c r="G181" s="3030"/>
      <c r="H181" s="1"/>
      <c r="I181" s="1" t="s">
        <v>1419</v>
      </c>
      <c r="J181" s="522">
        <f>K181/12/O62</f>
        <v>0</v>
      </c>
      <c r="K181" s="3027"/>
      <c r="L181" s="3028"/>
      <c r="M181" s="1"/>
      <c r="N181" s="847">
        <f>ROUND(P188/O62,0)</f>
        <v>250</v>
      </c>
      <c r="O181" s="71" t="s">
        <v>2873</v>
      </c>
      <c r="R181" s="846"/>
      <c r="U181" s="2899"/>
      <c r="V181" s="2900"/>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29">
        <v>10000</v>
      </c>
      <c r="G182" s="3030"/>
      <c r="H182" s="1"/>
      <c r="I182" s="1" t="s">
        <v>2434</v>
      </c>
      <c r="J182" s="522">
        <f>K182/12/O62</f>
        <v>10.286458333333334</v>
      </c>
      <c r="K182" s="3027">
        <v>7900</v>
      </c>
      <c r="L182" s="3028"/>
      <c r="M182" s="1"/>
      <c r="N182" s="854" t="s">
        <v>2820</v>
      </c>
      <c r="O182" s="855" t="s">
        <v>3678</v>
      </c>
      <c r="P182" s="856" t="s">
        <v>3679</v>
      </c>
      <c r="Q182" s="1162"/>
      <c r="U182" s="2899"/>
      <c r="V182" s="2900"/>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4">
        <v>5500</v>
      </c>
      <c r="G183" s="3015"/>
      <c r="H183" s="1"/>
      <c r="I183" s="1" t="s">
        <v>1421</v>
      </c>
      <c r="J183" s="1"/>
      <c r="K183" s="3027">
        <v>3900</v>
      </c>
      <c r="L183" s="3028"/>
      <c r="M183" s="1"/>
      <c r="N183" s="857" t="s">
        <v>41</v>
      </c>
      <c r="O183" s="858"/>
      <c r="P183" s="859"/>
      <c r="Q183" s="858"/>
      <c r="U183" s="2899"/>
      <c r="V183" s="2900"/>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4">
        <v>900</v>
      </c>
      <c r="G184" s="3015"/>
      <c r="H184" s="1"/>
      <c r="I184" s="3017" t="s">
        <v>4225</v>
      </c>
      <c r="J184" s="3018"/>
      <c r="K184" s="3025">
        <v>1200</v>
      </c>
      <c r="L184" s="3026"/>
      <c r="M184" s="1"/>
      <c r="N184" s="570" t="s">
        <v>3670</v>
      </c>
      <c r="O184" s="1171" t="str">
        <f>CONCATENATE(SUM(JC48:JG48)," units x $",'DCA Underwriting Assumptions'!$Q$62," =")</f>
        <v>0 units x $350 =</v>
      </c>
      <c r="P184" s="860">
        <f>SUM(JC48:JG48)*'DCA Underwriting Assumptions'!$Q$62</f>
        <v>0</v>
      </c>
      <c r="Q184" s="1171"/>
      <c r="U184" s="2899"/>
      <c r="V184" s="2900"/>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4"/>
      <c r="G185" s="3015"/>
      <c r="H185" s="1"/>
      <c r="I185" s="1"/>
      <c r="J185" s="12" t="s">
        <v>197</v>
      </c>
      <c r="K185" s="1664">
        <f>SUM(K180:K184)</f>
        <v>20200</v>
      </c>
      <c r="L185" s="1665"/>
      <c r="M185" s="1"/>
      <c r="N185" s="570" t="s">
        <v>3669</v>
      </c>
      <c r="O185" s="1171" t="str">
        <f>CONCATENATE(SUM(JH48:JL48)," units x $",'DCA Underwriting Assumptions'!$Q$63," =")</f>
        <v>64 units x $250 =</v>
      </c>
      <c r="P185" s="860">
        <f>SUM(JH48:JL48)*'DCA Underwriting Assumptions'!$Q$63</f>
        <v>16000</v>
      </c>
      <c r="Q185" s="1171"/>
      <c r="U185" s="2899"/>
      <c r="V185" s="2900"/>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4">
        <v>500</v>
      </c>
      <c r="G186" s="3015"/>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899"/>
      <c r="V186" s="2900"/>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0" t="s">
        <v>53</v>
      </c>
      <c r="C187" s="3021"/>
      <c r="D187" s="3021"/>
      <c r="E187" s="3022"/>
      <c r="F187" s="3023"/>
      <c r="G187" s="3024"/>
      <c r="H187" s="1"/>
      <c r="I187" s="1"/>
      <c r="J187" s="13"/>
      <c r="K187" s="1"/>
      <c r="L187" s="1"/>
      <c r="M187" s="1"/>
      <c r="N187" s="861" t="s">
        <v>3668</v>
      </c>
      <c r="O187" s="1171" t="str">
        <f>CONCATENATE(O84," units x $",'DCA Underwriting Assumptions'!$Q$64," =")</f>
        <v>0 units x $420 =</v>
      </c>
      <c r="P187" s="860">
        <f>O84*'DCA Underwriting Assumptions'!$Q$64</f>
        <v>0</v>
      </c>
      <c r="Q187" s="1171"/>
      <c r="U187" s="2899"/>
      <c r="V187" s="2900"/>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0">
        <f>SUM(F180:G187)</f>
        <v>26650</v>
      </c>
      <c r="G188" s="1661"/>
      <c r="H188" s="1"/>
      <c r="I188" s="1"/>
      <c r="J188" s="13"/>
      <c r="K188" s="1"/>
      <c r="L188" s="1"/>
      <c r="M188" s="1"/>
      <c r="N188" s="862" t="s">
        <v>2823</v>
      </c>
      <c r="O188" s="863">
        <f>SUM(JC48:JG48)+SUM(JH48:JL48)+SUM(JM48:JQ48)+O84</f>
        <v>64</v>
      </c>
      <c r="P188" s="864">
        <f>SUM(P184:P187)</f>
        <v>16000</v>
      </c>
      <c r="Q188" s="1171"/>
      <c r="U188" s="2902"/>
      <c r="V188" s="2903"/>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253488</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28" t="s">
        <v>4346</v>
      </c>
      <c r="B192" s="2729"/>
      <c r="C192" s="2729"/>
      <c r="D192" s="2729"/>
      <c r="E192" s="2729"/>
      <c r="F192" s="2729"/>
      <c r="G192" s="2729"/>
      <c r="H192" s="2729"/>
      <c r="I192" s="2729"/>
      <c r="J192" s="2730"/>
      <c r="K192" s="2731"/>
      <c r="L192" s="2732"/>
      <c r="M192" s="2732"/>
      <c r="N192" s="2732"/>
      <c r="O192" s="2732"/>
      <c r="P192" s="2733"/>
      <c r="Q192" s="1385"/>
      <c r="U192" s="1532" t="s">
        <v>2796</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J3X2AWXuPPREhtLopZBgJ/N2y1GjJs0lWWrIl9tSCOdR2XI0YuRlse1dupFsRGAXhcKeaUI/0G8hqsG2M17lyA==" saltValue="LoFMITOvtBMGXvC/YN3Ucg=="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2016-028 The Village on Park, Hahira, Lowndes County</v>
      </c>
      <c r="B1" s="3033"/>
      <c r="C1" s="3033"/>
      <c r="D1" s="3033"/>
      <c r="E1" s="3033"/>
      <c r="F1" s="3033"/>
      <c r="G1" s="3033"/>
      <c r="H1" s="3033"/>
      <c r="I1" s="3033"/>
      <c r="J1" s="3033"/>
      <c r="K1" s="3034"/>
      <c r="L1" s="10"/>
      <c r="M1" s="1692" t="str">
        <f>A1</f>
        <v>PART SEVEN - OPERATING PRO FORMA  -  2016-028 The Village on Park, Hahira, Lowndes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3747</v>
      </c>
      <c r="E5" s="1695"/>
      <c r="F5" s="1695"/>
      <c r="G5" s="3035">
        <v>5000</v>
      </c>
      <c r="H5" s="102" t="s">
        <v>1981</v>
      </c>
      <c r="K5" s="107">
        <f>IF(($B$14+$B$15+$B$16+$B$17)=0,"",B28/($B$14+$B$15+$B$16+$B$17))</f>
        <v>-1.4411358570739656E-2</v>
      </c>
      <c r="M5" s="2897"/>
      <c r="N5" s="2898"/>
    </row>
    <row r="6" spans="1:15">
      <c r="A6" s="17" t="s">
        <v>2268</v>
      </c>
      <c r="B6" s="82">
        <v>0.03</v>
      </c>
      <c r="C6" s="17"/>
      <c r="D6" s="1695"/>
      <c r="E6" s="1695"/>
      <c r="F6" s="1695"/>
      <c r="G6" s="17"/>
      <c r="H6" s="17"/>
      <c r="I6" s="17"/>
      <c r="J6" s="17"/>
      <c r="K6" s="17"/>
      <c r="M6" s="2899"/>
      <c r="N6" s="2900"/>
    </row>
    <row r="7" spans="1:15">
      <c r="A7" s="17" t="s">
        <v>2270</v>
      </c>
      <c r="B7" s="82">
        <v>0.03</v>
      </c>
      <c r="C7" s="17"/>
      <c r="D7" s="84" t="s">
        <v>282</v>
      </c>
      <c r="G7" s="86"/>
      <c r="H7" s="102" t="s">
        <v>2459</v>
      </c>
      <c r="K7" s="107">
        <f>IF(($B$14+$B$15+$B$16+$B$17)=0,"",-B20/($B$14+$B$15+$B$16+$B$17))</f>
        <v>6.9998850849796651E-2</v>
      </c>
      <c r="M7" s="2899"/>
      <c r="N7" s="2900"/>
    </row>
    <row r="8" spans="1:15" ht="13.15" customHeight="1">
      <c r="A8" s="17" t="s">
        <v>2269</v>
      </c>
      <c r="B8" s="3036">
        <v>7.0000000000000007E-2</v>
      </c>
      <c r="C8" s="17"/>
      <c r="D8" s="83" t="s">
        <v>2595</v>
      </c>
      <c r="G8" s="3037" t="s">
        <v>3156</v>
      </c>
      <c r="H8" s="177" t="s">
        <v>1500</v>
      </c>
      <c r="K8" s="3038">
        <v>0</v>
      </c>
      <c r="M8" s="2899"/>
      <c r="N8" s="2900"/>
    </row>
    <row r="9" spans="1:15">
      <c r="A9" s="17" t="s">
        <v>1472</v>
      </c>
      <c r="B9" s="82">
        <v>0.02</v>
      </c>
      <c r="D9" s="83" t="s">
        <v>1784</v>
      </c>
      <c r="G9" s="3037" t="s">
        <v>3153</v>
      </c>
      <c r="H9" s="177" t="s">
        <v>2439</v>
      </c>
      <c r="K9" s="3039">
        <v>7.0000000000000007E-2</v>
      </c>
      <c r="M9" s="2902"/>
      <c r="N9" s="2903"/>
    </row>
    <row r="10" spans="1:15" ht="13.5" customHeight="1" thickBot="1"/>
    <row r="11" spans="1:15" ht="13.5" thickBot="1">
      <c r="A11" s="14" t="s">
        <v>93</v>
      </c>
      <c r="C11" s="1463" t="s">
        <v>4215</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2712</v>
      </c>
      <c r="N13" s="1518"/>
    </row>
    <row r="14" spans="1:15" ht="13.15" customHeight="1">
      <c r="A14" s="19" t="s">
        <v>2489</v>
      </c>
      <c r="B14" s="20">
        <f>'Part VI-Revenues &amp; Expenses'!$L$49</f>
        <v>365748</v>
      </c>
      <c r="C14" s="20">
        <f t="shared" ref="C14:K14" si="1">$B$14*(1+$B$5)^(C13-1)</f>
        <v>373062.96</v>
      </c>
      <c r="D14" s="20">
        <f t="shared" si="1"/>
        <v>380524.21919999999</v>
      </c>
      <c r="E14" s="20">
        <f t="shared" si="1"/>
        <v>388134.703584</v>
      </c>
      <c r="F14" s="20">
        <f t="shared" si="1"/>
        <v>395897.39765568002</v>
      </c>
      <c r="G14" s="20">
        <f t="shared" si="1"/>
        <v>403815.34560879361</v>
      </c>
      <c r="H14" s="20">
        <f t="shared" si="1"/>
        <v>411891.65252096951</v>
      </c>
      <c r="I14" s="20">
        <f t="shared" si="1"/>
        <v>420129.4855713888</v>
      </c>
      <c r="J14" s="20">
        <f t="shared" si="1"/>
        <v>428532.0752828166</v>
      </c>
      <c r="K14" s="21">
        <f t="shared" si="1"/>
        <v>437102.71678847296</v>
      </c>
      <c r="M14" s="2897"/>
      <c r="N14" s="2898"/>
    </row>
    <row r="15" spans="1:15" ht="13.15" customHeight="1">
      <c r="A15" s="22" t="s">
        <v>1053</v>
      </c>
      <c r="B15" s="23">
        <f>MIN(B14*B9,'Part VI-Revenues &amp; Expenses'!$H$122)</f>
        <v>7314.96</v>
      </c>
      <c r="C15" s="23">
        <f t="shared" ref="C15:K15" si="2">$B$15*(1+$B$5)^(C13-1)</f>
        <v>7461.2592000000004</v>
      </c>
      <c r="D15" s="23">
        <f t="shared" si="2"/>
        <v>7610.4843840000003</v>
      </c>
      <c r="E15" s="23">
        <f t="shared" si="2"/>
        <v>7762.6940716799991</v>
      </c>
      <c r="F15" s="23">
        <f t="shared" si="2"/>
        <v>7917.9479531136003</v>
      </c>
      <c r="G15" s="23">
        <f t="shared" si="2"/>
        <v>8076.3069121758717</v>
      </c>
      <c r="H15" s="23">
        <f t="shared" si="2"/>
        <v>8237.8330504193891</v>
      </c>
      <c r="I15" s="23">
        <f t="shared" si="2"/>
        <v>8402.5897114277759</v>
      </c>
      <c r="J15" s="23">
        <f t="shared" si="2"/>
        <v>8570.6415056563328</v>
      </c>
      <c r="K15" s="24">
        <f t="shared" si="2"/>
        <v>8742.0543357694587</v>
      </c>
      <c r="M15" s="2899"/>
      <c r="N15" s="2900"/>
    </row>
    <row r="16" spans="1:15" ht="13.15" customHeight="1">
      <c r="A16" s="22" t="s">
        <v>2490</v>
      </c>
      <c r="B16" s="23">
        <f t="shared" ref="B16:K16" si="3">-(B14+B15)*$B$8</f>
        <v>-26114.407200000005</v>
      </c>
      <c r="C16" s="23">
        <f t="shared" si="3"/>
        <v>-26636.695344000007</v>
      </c>
      <c r="D16" s="23">
        <f t="shared" si="3"/>
        <v>-27169.429250880003</v>
      </c>
      <c r="E16" s="23">
        <f t="shared" si="3"/>
        <v>-27712.817835897604</v>
      </c>
      <c r="F16" s="23">
        <f t="shared" si="3"/>
        <v>-28267.074192615553</v>
      </c>
      <c r="G16" s="23">
        <f t="shared" si="3"/>
        <v>-28832.415676467863</v>
      </c>
      <c r="H16" s="23">
        <f t="shared" si="3"/>
        <v>-29409.063989997227</v>
      </c>
      <c r="I16" s="23">
        <f t="shared" si="3"/>
        <v>-29997.24526979716</v>
      </c>
      <c r="J16" s="23">
        <f t="shared" si="3"/>
        <v>-30597.190175193111</v>
      </c>
      <c r="K16" s="24">
        <f t="shared" si="3"/>
        <v>-31209.133978696969</v>
      </c>
      <c r="M16" s="2899"/>
      <c r="N16" s="2900"/>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9"/>
      <c r="N17" s="2900"/>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9"/>
      <c r="N18" s="2900"/>
    </row>
    <row r="19" spans="1:14" ht="13.15" customHeight="1">
      <c r="A19" s="22" t="s">
        <v>638</v>
      </c>
      <c r="B19" s="23">
        <f>-('Part VI-Revenues &amp; Expenses'!$P$176-'Part VI-Revenues &amp; Expenses'!$P$170)</f>
        <v>-213202</v>
      </c>
      <c r="C19" s="23">
        <f t="shared" ref="C19:K19" si="4">$B$19*(1+$B$6)^(C13-1)</f>
        <v>-219598.06</v>
      </c>
      <c r="D19" s="23">
        <f t="shared" si="4"/>
        <v>-226186.0018</v>
      </c>
      <c r="E19" s="23">
        <f t="shared" si="4"/>
        <v>-232971.58185399999</v>
      </c>
      <c r="F19" s="23">
        <f t="shared" si="4"/>
        <v>-239960.72930961999</v>
      </c>
      <c r="G19" s="23">
        <f t="shared" si="4"/>
        <v>-247159.55118890858</v>
      </c>
      <c r="H19" s="23">
        <f t="shared" si="4"/>
        <v>-254574.33772457583</v>
      </c>
      <c r="I19" s="23">
        <f t="shared" si="4"/>
        <v>-262211.56785631314</v>
      </c>
      <c r="J19" s="23">
        <f t="shared" si="4"/>
        <v>-270077.91489200247</v>
      </c>
      <c r="K19" s="24">
        <f t="shared" si="4"/>
        <v>-278180.25233876257</v>
      </c>
      <c r="M19" s="2899"/>
      <c r="N19" s="2900"/>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-24286</v>
      </c>
      <c r="C20" s="23">
        <f>IF(AND('Part VII-Pro Forma'!$G$8="Yes",'Part VII-Pro Forma'!$G$9="Yes"),"Choose One!",IF('Part VII-Pro Forma'!$G$8="Yes",ROUND((-$K$8*(1+'Part VII-Pro Forma'!$B$6)^('Part VII-Pro Forma'!C13-1)),),IF('Part VII-Pro Forma'!$G$9="Yes",ROUND((-(SUM(C14:C17)*'Part VII-Pro Forma'!$K$9)),),"Choose mgt fee")))</f>
        <v>-24772</v>
      </c>
      <c r="D20" s="23">
        <f>IF(AND('Part VII-Pro Forma'!$G$8="Yes",'Part VII-Pro Forma'!$G$9="Yes"),"Choose One!",IF('Part VII-Pro Forma'!$G$8="Yes",ROUND((-$K$8*(1+'Part VII-Pro Forma'!$B$6)^('Part VII-Pro Forma'!D13-1)),),IF('Part VII-Pro Forma'!$G$9="Yes",ROUND((-(SUM(D14:D17)*'Part VII-Pro Forma'!$K$9)),),"Choose mgt fee")))</f>
        <v>-25268</v>
      </c>
      <c r="E20" s="23">
        <f>IF(AND('Part VII-Pro Forma'!$G$8="Yes",'Part VII-Pro Forma'!$G$9="Yes"),"Choose One!",IF('Part VII-Pro Forma'!$G$8="Yes",ROUND((-$K$8*(1+'Part VII-Pro Forma'!$B$6)^('Part VII-Pro Forma'!E13-1)),),IF('Part VII-Pro Forma'!$G$9="Yes",ROUND((-(SUM(E14:E17)*'Part VII-Pro Forma'!$K$9)),),"Choose mgt fee")))</f>
        <v>-25773</v>
      </c>
      <c r="F20" s="23">
        <f>IF(AND('Part VII-Pro Forma'!$G$8="Yes",'Part VII-Pro Forma'!$G$9="Yes"),"Choose One!",IF('Part VII-Pro Forma'!$G$8="Yes",ROUND((-$K$8*(1+'Part VII-Pro Forma'!$B$6)^('Part VII-Pro Forma'!F13-1)),),IF('Part VII-Pro Forma'!$G$9="Yes",ROUND((-(SUM(F14:F17)*'Part VII-Pro Forma'!$K$9)),),"Choose mgt fee")))</f>
        <v>-26288</v>
      </c>
      <c r="G20" s="23">
        <f>IF(AND('Part VII-Pro Forma'!$G$8="Yes",'Part VII-Pro Forma'!$G$9="Yes"),"Choose One!",IF('Part VII-Pro Forma'!$G$8="Yes",ROUND((-$K$8*(1+'Part VII-Pro Forma'!$B$6)^('Part VII-Pro Forma'!G13-1)),),IF('Part VII-Pro Forma'!$G$9="Yes",ROUND((-(SUM(G14:G17)*'Part VII-Pro Forma'!$K$9)),),"Choose mgt fee")))</f>
        <v>-26814</v>
      </c>
      <c r="H20" s="23">
        <f>IF(AND('Part VII-Pro Forma'!$G$8="Yes",'Part VII-Pro Forma'!$G$9="Yes"),"Choose One!",IF('Part VII-Pro Forma'!$G$8="Yes",ROUND((-$K$8*(1+'Part VII-Pro Forma'!$B$6)^('Part VII-Pro Forma'!H13-1)),),IF('Part VII-Pro Forma'!$G$9="Yes",ROUND((-(SUM(H14:H17)*'Part VII-Pro Forma'!$K$9)),),"Choose mgt fee")))</f>
        <v>-27350</v>
      </c>
      <c r="I20" s="23">
        <f>IF(AND('Part VII-Pro Forma'!$G$8="Yes",'Part VII-Pro Forma'!$G$9="Yes"),"Choose One!",IF('Part VII-Pro Forma'!$G$8="Yes",ROUND((-$K$8*(1+'Part VII-Pro Forma'!$B$6)^('Part VII-Pro Forma'!I13-1)),),IF('Part VII-Pro Forma'!$G$9="Yes",ROUND((-(SUM(I14:I17)*'Part VII-Pro Forma'!$K$9)),),"Choose mgt fee")))</f>
        <v>-27897</v>
      </c>
      <c r="J20" s="23">
        <f>IF(AND('Part VII-Pro Forma'!$G$8="Yes",'Part VII-Pro Forma'!$G$9="Yes"),"Choose One!",IF('Part VII-Pro Forma'!$G$8="Yes",ROUND((-$K$8*(1+'Part VII-Pro Forma'!$B$6)^('Part VII-Pro Forma'!J13-1)),),IF('Part VII-Pro Forma'!$G$9="Yes",ROUND((-(SUM(J14:J17)*'Part VII-Pro Forma'!$K$9)),),"Choose mgt fee")))</f>
        <v>-28455</v>
      </c>
      <c r="K20" s="23">
        <f>IF(AND('Part VII-Pro Forma'!$G$8="Yes",'Part VII-Pro Forma'!$G$9="Yes"),"Choose One!",IF('Part VII-Pro Forma'!$G$8="Yes",ROUND((-$K$8*(1+'Part VII-Pro Forma'!$B$6)^('Part VII-Pro Forma'!K13-1)),),IF('Part VII-Pro Forma'!$G$9="Yes",ROUND((-(SUM(K14:K17)*'Part VII-Pro Forma'!$K$9)),),"Choose mgt fee")))</f>
        <v>-29024</v>
      </c>
      <c r="M20" s="2899"/>
      <c r="N20" s="2900"/>
    </row>
    <row r="21" spans="1:14" ht="13.15" customHeight="1">
      <c r="A21" s="22" t="s">
        <v>1247</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899"/>
      <c r="N21" s="2900"/>
    </row>
    <row r="22" spans="1:14" ht="13.15" customHeight="1">
      <c r="A22" s="22" t="s">
        <v>1248</v>
      </c>
      <c r="B22" s="23">
        <f t="shared" ref="B22:K22" si="6">SUM(B14:B21)</f>
        <v>93460.552800000005</v>
      </c>
      <c r="C22" s="23">
        <f t="shared" si="6"/>
        <v>93037.463856000046</v>
      </c>
      <c r="D22" s="23">
        <f t="shared" si="6"/>
        <v>92536.872533119982</v>
      </c>
      <c r="E22" s="23">
        <f t="shared" si="6"/>
        <v>91956.365965782417</v>
      </c>
      <c r="F22" s="23">
        <f t="shared" si="6"/>
        <v>91291.401146558055</v>
      </c>
      <c r="G22" s="23">
        <f t="shared" si="6"/>
        <v>90537.300466793007</v>
      </c>
      <c r="H22" s="23">
        <f t="shared" si="6"/>
        <v>89691.247112351877</v>
      </c>
      <c r="I22" s="23">
        <f t="shared" si="6"/>
        <v>88748.280309908325</v>
      </c>
      <c r="J22" s="23">
        <f t="shared" si="6"/>
        <v>87704.290419075493</v>
      </c>
      <c r="K22" s="24">
        <f t="shared" si="6"/>
        <v>86555.013865514964</v>
      </c>
      <c r="M22" s="2899"/>
      <c r="N22" s="2900"/>
    </row>
    <row r="23" spans="1:14" ht="13.15" customHeight="1">
      <c r="A23" s="471" t="s">
        <v>1648</v>
      </c>
      <c r="B23" s="3040">
        <f>IF('Part III-Sources of Funds'!$N$37="", 0,-'Part III-Sources of Funds'!$N$37)</f>
        <v>-64742.72941449302</v>
      </c>
      <c r="C23" s="3040">
        <f>IF('Part III-Sources of Funds'!$N$37="", 0,-'Part III-Sources of Funds'!$N$37)</f>
        <v>-64742.72941449302</v>
      </c>
      <c r="D23" s="3040">
        <f>IF('Part III-Sources of Funds'!$N$37="", 0,-'Part III-Sources of Funds'!$N$37)</f>
        <v>-64742.72941449302</v>
      </c>
      <c r="E23" s="3040">
        <f>IF('Part III-Sources of Funds'!$N$37="", 0,-'Part III-Sources of Funds'!$N$37)</f>
        <v>-64742.72941449302</v>
      </c>
      <c r="F23" s="3040">
        <f>IF('Part III-Sources of Funds'!$N$37="", 0,-'Part III-Sources of Funds'!$N$37)</f>
        <v>-64742.72941449302</v>
      </c>
      <c r="G23" s="3040">
        <f>IF('Part III-Sources of Funds'!$N$37="", 0,-'Part III-Sources of Funds'!$N$37)</f>
        <v>-64742.72941449302</v>
      </c>
      <c r="H23" s="3040">
        <f>IF('Part III-Sources of Funds'!$N$37="", 0,-'Part III-Sources of Funds'!$N$37)</f>
        <v>-64742.72941449302</v>
      </c>
      <c r="I23" s="3040">
        <f>IF('Part III-Sources of Funds'!$N$37="", 0,-'Part III-Sources of Funds'!$N$37)</f>
        <v>-64742.72941449302</v>
      </c>
      <c r="J23" s="3040">
        <f>IF('Part III-Sources of Funds'!$N$37="", 0,-'Part III-Sources of Funds'!$N$37)</f>
        <v>-64742.72941449302</v>
      </c>
      <c r="K23" s="3040">
        <f>IF('Part III-Sources of Funds'!$N$37="", 0,-'Part III-Sources of Funds'!$N$37)</f>
        <v>-64742.72941449302</v>
      </c>
      <c r="M23" s="2899"/>
      <c r="N23" s="2900"/>
    </row>
    <row r="24" spans="1:14" ht="13.15" customHeight="1">
      <c r="A24" s="471" t="s">
        <v>1649</v>
      </c>
      <c r="B24" s="3041">
        <f>IF('Part III-Sources of Funds'!$N$38="", 0,-'Part III-Sources of Funds'!$N$38)</f>
        <v>0</v>
      </c>
      <c r="C24" s="3041">
        <f>IF('Part III-Sources of Funds'!$N$38="", 0,-'Part III-Sources of Funds'!$N$38)</f>
        <v>0</v>
      </c>
      <c r="D24" s="3041">
        <f>IF('Part III-Sources of Funds'!$N$38="", 0,-'Part III-Sources of Funds'!$N$38)</f>
        <v>0</v>
      </c>
      <c r="E24" s="3041">
        <f>IF('Part III-Sources of Funds'!$N$38="", 0,-'Part III-Sources of Funds'!$N$38)</f>
        <v>0</v>
      </c>
      <c r="F24" s="3041">
        <f>IF('Part III-Sources of Funds'!$N$38="", 0,-'Part III-Sources of Funds'!$N$38)</f>
        <v>0</v>
      </c>
      <c r="G24" s="3041">
        <f>IF('Part III-Sources of Funds'!$N$38="", 0,-'Part III-Sources of Funds'!$N$38)</f>
        <v>0</v>
      </c>
      <c r="H24" s="3041">
        <f>IF('Part III-Sources of Funds'!$N$38="", 0,-'Part III-Sources of Funds'!$N$38)</f>
        <v>0</v>
      </c>
      <c r="I24" s="3041">
        <f>IF('Part III-Sources of Funds'!$N$38="", 0,-'Part III-Sources of Funds'!$N$38)</f>
        <v>0</v>
      </c>
      <c r="J24" s="3041">
        <f>IF('Part III-Sources of Funds'!$N$38="", 0,-'Part III-Sources of Funds'!$N$38)</f>
        <v>0</v>
      </c>
      <c r="K24" s="3041">
        <f>IF('Part III-Sources of Funds'!$N$38="", 0,-'Part III-Sources of Funds'!$N$38)</f>
        <v>0</v>
      </c>
      <c r="M24" s="2899"/>
      <c r="N24" s="2900"/>
    </row>
    <row r="25" spans="1:14" ht="13.15" customHeight="1">
      <c r="A25" s="471" t="s">
        <v>1650</v>
      </c>
      <c r="B25" s="3041">
        <f>IF('Part III-Sources of Funds'!$N$39="", 0,-'Part III-Sources of Funds'!$N$39)</f>
        <v>0</v>
      </c>
      <c r="C25" s="3041">
        <f>IF('Part III-Sources of Funds'!$N$39="", 0,-'Part III-Sources of Funds'!$N$39)</f>
        <v>0</v>
      </c>
      <c r="D25" s="3041">
        <f>IF('Part III-Sources of Funds'!$N$39="", 0,-'Part III-Sources of Funds'!$N$39)</f>
        <v>0</v>
      </c>
      <c r="E25" s="3041">
        <f>IF('Part III-Sources of Funds'!$N$39="", 0,-'Part III-Sources of Funds'!$N$39)</f>
        <v>0</v>
      </c>
      <c r="F25" s="3041">
        <f>IF('Part III-Sources of Funds'!$N$39="", 0,-'Part III-Sources of Funds'!$N$39)</f>
        <v>0</v>
      </c>
      <c r="G25" s="3041">
        <f>IF('Part III-Sources of Funds'!$N$39="", 0,-'Part III-Sources of Funds'!$N$39)</f>
        <v>0</v>
      </c>
      <c r="H25" s="3041">
        <f>IF('Part III-Sources of Funds'!$N$39="", 0,-'Part III-Sources of Funds'!$N$39)</f>
        <v>0</v>
      </c>
      <c r="I25" s="3041">
        <f>IF('Part III-Sources of Funds'!$N$39="", 0,-'Part III-Sources of Funds'!$N$39)</f>
        <v>0</v>
      </c>
      <c r="J25" s="3041">
        <f>IF('Part III-Sources of Funds'!$N$39="", 0,-'Part III-Sources of Funds'!$N$39)</f>
        <v>0</v>
      </c>
      <c r="K25" s="3041">
        <f>IF('Part III-Sources of Funds'!$N$39="", 0,-'Part III-Sources of Funds'!$N$39)</f>
        <v>0</v>
      </c>
      <c r="M25" s="2899"/>
      <c r="N25" s="2900"/>
    </row>
    <row r="26" spans="1:14" ht="13.15" customHeight="1">
      <c r="A26" s="22" t="s">
        <v>814</v>
      </c>
      <c r="B26" s="3041">
        <f>IF('Part III-Sources of Funds'!$N$40="", 0,-'Part III-Sources of Funds'!$N$40)</f>
        <v>0</v>
      </c>
      <c r="C26" s="3041">
        <f>IF('Part III-Sources of Funds'!$N$40="", 0,-'Part III-Sources of Funds'!$N$40)</f>
        <v>0</v>
      </c>
      <c r="D26" s="3041">
        <f>IF('Part III-Sources of Funds'!$N$40="", 0,-'Part III-Sources of Funds'!$N$40)</f>
        <v>0</v>
      </c>
      <c r="E26" s="3041">
        <f>IF('Part III-Sources of Funds'!$N$40="", 0,-'Part III-Sources of Funds'!$N$40)</f>
        <v>0</v>
      </c>
      <c r="F26" s="3041">
        <f>IF('Part III-Sources of Funds'!$N$40="", 0,-'Part III-Sources of Funds'!$N$40)</f>
        <v>0</v>
      </c>
      <c r="G26" s="3041">
        <f>IF('Part III-Sources of Funds'!$N$40="", 0,-'Part III-Sources of Funds'!$N$40)</f>
        <v>0</v>
      </c>
      <c r="H26" s="3041">
        <f>IF('Part III-Sources of Funds'!$N$40="", 0,-'Part III-Sources of Funds'!$N$40)</f>
        <v>0</v>
      </c>
      <c r="I26" s="3041">
        <f>IF('Part III-Sources of Funds'!$N$40="", 0,-'Part III-Sources of Funds'!$N$40)</f>
        <v>0</v>
      </c>
      <c r="J26" s="3041">
        <f>IF('Part III-Sources of Funds'!$N$40="", 0,-'Part III-Sources of Funds'!$N$40)</f>
        <v>0</v>
      </c>
      <c r="K26" s="3041">
        <f>IF('Part III-Sources of Funds'!$N$40="", 0,-'Part III-Sources of Funds'!$N$40)</f>
        <v>0</v>
      </c>
      <c r="M26" s="2899"/>
      <c r="N26" s="2900"/>
    </row>
    <row r="27" spans="1:14" ht="13.15" customHeight="1">
      <c r="A27" s="22" t="s">
        <v>794</v>
      </c>
      <c r="B27" s="3042"/>
      <c r="C27" s="3042"/>
      <c r="D27" s="3042"/>
      <c r="E27" s="3042"/>
      <c r="F27" s="3042"/>
      <c r="G27" s="3042"/>
      <c r="H27" s="3042"/>
      <c r="I27" s="3042"/>
      <c r="J27" s="3042"/>
      <c r="K27" s="3042"/>
      <c r="M27" s="2899"/>
      <c r="N27" s="2900"/>
    </row>
    <row r="28" spans="1:14" ht="13.15" customHeight="1">
      <c r="A28" s="22" t="s">
        <v>1206</v>
      </c>
      <c r="B28" s="3041">
        <f>-$G$5</f>
        <v>-5000</v>
      </c>
      <c r="C28" s="3041">
        <f t="shared" ref="C28:K28" si="7">+B28</f>
        <v>-5000</v>
      </c>
      <c r="D28" s="3041">
        <f t="shared" si="7"/>
        <v>-5000</v>
      </c>
      <c r="E28" s="3041">
        <f t="shared" si="7"/>
        <v>-5000</v>
      </c>
      <c r="F28" s="3041">
        <f t="shared" si="7"/>
        <v>-5000</v>
      </c>
      <c r="G28" s="3041">
        <f t="shared" si="7"/>
        <v>-5000</v>
      </c>
      <c r="H28" s="3041">
        <f t="shared" si="7"/>
        <v>-5000</v>
      </c>
      <c r="I28" s="3041">
        <f t="shared" si="7"/>
        <v>-5000</v>
      </c>
      <c r="J28" s="3041">
        <f t="shared" si="7"/>
        <v>-5000</v>
      </c>
      <c r="K28" s="3041">
        <f t="shared" si="7"/>
        <v>-5000</v>
      </c>
      <c r="M28" s="2899"/>
      <c r="N28" s="2900"/>
    </row>
    <row r="29" spans="1:14" ht="13.15" customHeight="1">
      <c r="A29" s="22" t="s">
        <v>1249</v>
      </c>
      <c r="B29" s="3043">
        <v>-15666</v>
      </c>
      <c r="C29" s="3044">
        <v>0</v>
      </c>
      <c r="D29" s="3044">
        <v>0</v>
      </c>
      <c r="E29" s="3044">
        <f>IF('Part III-Sources of Funds'!$N$42="", 0,-'Part III-Sources of Funds'!$N$42)</f>
        <v>0</v>
      </c>
      <c r="F29" s="3044">
        <f>IF('Part III-Sources of Funds'!$N$42="", 0,-'Part III-Sources of Funds'!$N$42)</f>
        <v>0</v>
      </c>
      <c r="G29" s="3044">
        <f>IF('Part III-Sources of Funds'!$N$42="", 0,-'Part III-Sources of Funds'!$N$42)</f>
        <v>0</v>
      </c>
      <c r="H29" s="3044">
        <f>IF('Part III-Sources of Funds'!$N$42="", 0,-'Part III-Sources of Funds'!$N$42)</f>
        <v>0</v>
      </c>
      <c r="I29" s="3044">
        <f>IF('Part III-Sources of Funds'!$N$42="", 0,-'Part III-Sources of Funds'!$N$42)</f>
        <v>0</v>
      </c>
      <c r="J29" s="3044">
        <f>IF('Part III-Sources of Funds'!$N$42="", 0,-'Part III-Sources of Funds'!$N$42)</f>
        <v>0</v>
      </c>
      <c r="K29" s="3044">
        <f>IF('Part III-Sources of Funds'!$N$42="", 0,-'Part III-Sources of Funds'!$N$42)</f>
        <v>0</v>
      </c>
      <c r="M29" s="2899"/>
      <c r="N29" s="2900"/>
    </row>
    <row r="30" spans="1:14" ht="13.15" customHeight="1">
      <c r="A30" s="22" t="s">
        <v>1207</v>
      </c>
      <c r="B30" s="23">
        <f t="shared" ref="B30:K30" si="8">SUM(B22:B29)</f>
        <v>8051.8233855069848</v>
      </c>
      <c r="C30" s="23">
        <f t="shared" si="8"/>
        <v>23294.734441507026</v>
      </c>
      <c r="D30" s="23">
        <f t="shared" si="8"/>
        <v>22794.143118626962</v>
      </c>
      <c r="E30" s="23">
        <f t="shared" si="8"/>
        <v>22213.636551289397</v>
      </c>
      <c r="F30" s="23">
        <f t="shared" si="8"/>
        <v>21548.671732065035</v>
      </c>
      <c r="G30" s="23">
        <f t="shared" si="8"/>
        <v>20794.571052299987</v>
      </c>
      <c r="H30" s="23">
        <f t="shared" si="8"/>
        <v>19948.517697858857</v>
      </c>
      <c r="I30" s="23">
        <f t="shared" si="8"/>
        <v>19005.550895415305</v>
      </c>
      <c r="J30" s="23">
        <f t="shared" si="8"/>
        <v>17961.561004582472</v>
      </c>
      <c r="K30" s="24">
        <f t="shared" si="8"/>
        <v>16812.284451021944</v>
      </c>
      <c r="M30" s="2899"/>
      <c r="N30" s="2900"/>
    </row>
    <row r="31" spans="1:14" ht="13.15" customHeight="1">
      <c r="A31" s="22" t="str">
        <f>IF('Part III-Sources of Funds'!$E$37 = "Neither", "", "DCR Mortgage A")</f>
        <v>DCR Mortgage A</v>
      </c>
      <c r="B31" s="25">
        <f>IF(B23=0,"",-B22/B23)</f>
        <v>1.4435683148551093</v>
      </c>
      <c r="C31" s="25">
        <f t="shared" ref="C31:K31" si="9">IF(C23=0,"",-C22/C23)</f>
        <v>1.4370333888823212</v>
      </c>
      <c r="D31" s="25">
        <f t="shared" si="9"/>
        <v>1.429301380556333</v>
      </c>
      <c r="E31" s="25">
        <f t="shared" si="9"/>
        <v>1.4203350213591315</v>
      </c>
      <c r="F31" s="25">
        <f t="shared" si="9"/>
        <v>1.4100641411346178</v>
      </c>
      <c r="G31" s="25">
        <f t="shared" si="9"/>
        <v>1.3984164907098546</v>
      </c>
      <c r="H31" s="25">
        <f t="shared" si="9"/>
        <v>1.3853485622784694</v>
      </c>
      <c r="I31" s="25">
        <f t="shared" si="9"/>
        <v>1.3707837329768418</v>
      </c>
      <c r="J31" s="25">
        <f t="shared" si="9"/>
        <v>1.3546585263277826</v>
      </c>
      <c r="K31" s="26">
        <f t="shared" si="9"/>
        <v>1.3369070882288003</v>
      </c>
      <c r="M31" s="2899"/>
      <c r="N31" s="2900"/>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9"/>
      <c r="N32" s="2900"/>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9"/>
      <c r="N33" s="2900"/>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9"/>
      <c r="N34" s="2900"/>
    </row>
    <row r="35" spans="1:14" ht="13.15" customHeight="1">
      <c r="A35" s="471" t="s">
        <v>4195</v>
      </c>
      <c r="B35" s="25">
        <f>IF(AND(B23=0,B24=0,B25=0,B26=0),"",-B22/(B23+B24+B25+B26))</f>
        <v>1.4435683148551093</v>
      </c>
      <c r="C35" s="25">
        <f t="shared" ref="C35:K35" si="13">IF(AND(C23=0,C24=0,C25=0,C26=0),"",-C22/(C23+C24+C25+C26))</f>
        <v>1.4370333888823212</v>
      </c>
      <c r="D35" s="25">
        <f t="shared" si="13"/>
        <v>1.429301380556333</v>
      </c>
      <c r="E35" s="25">
        <f t="shared" si="13"/>
        <v>1.4203350213591315</v>
      </c>
      <c r="F35" s="25">
        <f t="shared" si="13"/>
        <v>1.4100641411346178</v>
      </c>
      <c r="G35" s="25">
        <f t="shared" si="13"/>
        <v>1.3984164907098546</v>
      </c>
      <c r="H35" s="25">
        <f t="shared" si="13"/>
        <v>1.3853485622784694</v>
      </c>
      <c r="I35" s="25">
        <f t="shared" si="13"/>
        <v>1.3707837329768418</v>
      </c>
      <c r="J35" s="25">
        <f t="shared" si="13"/>
        <v>1.3546585263277826</v>
      </c>
      <c r="K35" s="26">
        <f t="shared" si="13"/>
        <v>1.3369070882288003</v>
      </c>
      <c r="M35" s="2899"/>
      <c r="N35" s="2900"/>
    </row>
    <row r="36" spans="1:14" ht="13.15" customHeight="1">
      <c r="A36" s="22" t="s">
        <v>801</v>
      </c>
      <c r="B36" s="293">
        <f>IF(OR(B20="Choose mgt fee",B20="Choose One!"),"",(B14+B15+B16+B17+B18) / -(B19+B20+B21))</f>
        <v>1.3686981348229501</v>
      </c>
      <c r="C36" s="293">
        <f t="shared" ref="C36:K36" si="14">IF(OR(C20="Choose mgt fee",C20="Choose One!"),"",(C14+C15+C16+C17+C18) / -(C19+C20+C21))</f>
        <v>1.3566702796848122</v>
      </c>
      <c r="D36" s="293">
        <f t="shared" si="14"/>
        <v>1.344735772789301</v>
      </c>
      <c r="E36" s="293">
        <f t="shared" si="14"/>
        <v>1.3328999767358516</v>
      </c>
      <c r="F36" s="293">
        <f t="shared" si="14"/>
        <v>1.3211581168116269</v>
      </c>
      <c r="G36" s="293">
        <f t="shared" si="14"/>
        <v>1.3095060206011009</v>
      </c>
      <c r="H36" s="293">
        <f t="shared" si="14"/>
        <v>1.2979486864372889</v>
      </c>
      <c r="I36" s="293">
        <f t="shared" si="14"/>
        <v>1.286482032208828</v>
      </c>
      <c r="J36" s="293">
        <f t="shared" si="14"/>
        <v>1.2751064941468693</v>
      </c>
      <c r="K36" s="294">
        <f t="shared" si="14"/>
        <v>1.2638223891437703</v>
      </c>
      <c r="M36" s="2899"/>
      <c r="N36" s="2900"/>
    </row>
    <row r="37" spans="1:14" ht="13.15" customHeight="1">
      <c r="A37" s="471" t="s">
        <v>2705</v>
      </c>
      <c r="B37" s="3045">
        <f>IF('Part III-Sources of Funds'!$I$37="","",-FV('Part III-Sources of Funds'!$K$37/12,12,B23/12,'Part III-Sources of Funds'!$I$37))</f>
        <v>1052308.7642380218</v>
      </c>
      <c r="C37" s="3045">
        <f>IF('Part III-Sources of Funds'!$I$37="","",-FV('Part III-Sources of Funds'!$K$37/12,12,C23/12,B37))</f>
        <v>1044191.7666457782</v>
      </c>
      <c r="D37" s="3045">
        <f>IF('Part III-Sources of Funds'!$I$37="","",-FV('Part III-Sources of Funds'!$K$37/12,12,D23/12,C37))</f>
        <v>1035625.4384312411</v>
      </c>
      <c r="E37" s="3045">
        <f>IF('Part III-Sources of Funds'!$I$37="","",-FV('Part III-Sources of Funds'!$K$37/12,12,E23/12,D37))</f>
        <v>1026584.9061106087</v>
      </c>
      <c r="F37" s="3045">
        <f>IF('Part III-Sources of Funds'!$I$37="","",-FV('Part III-Sources of Funds'!$K$37/12,12,F23/12,E37))</f>
        <v>1017043.9192848061</v>
      </c>
      <c r="G37" s="3045">
        <f>IF('Part III-Sources of Funds'!$I$37="","",-FV('Part III-Sources of Funds'!$K$37/12,12,G23/12,F37))</f>
        <v>1006974.7744179284</v>
      </c>
      <c r="H37" s="3045">
        <f>IF('Part III-Sources of Funds'!$I$37="","",-FV('Part III-Sources of Funds'!$K$37/12,12,H23/12,G37))</f>
        <v>996348.2343963054</v>
      </c>
      <c r="I37" s="3045">
        <f>IF('Part III-Sources of Funds'!$I$37="","",-FV('Part III-Sources of Funds'!$K$37/12,12,I23/12,H37))</f>
        <v>985133.44363461761</v>
      </c>
      <c r="J37" s="3045">
        <f>IF('Part III-Sources of Funds'!$I$37="","",-FV('Part III-Sources of Funds'!$K$37/12,12,J23/12,I37))</f>
        <v>973297.83848256269</v>
      </c>
      <c r="K37" s="3045">
        <f>IF('Part III-Sources of Funds'!$I$37="","",-FV('Part III-Sources of Funds'!$K$37/12,12,K23/12,J37))</f>
        <v>960807.05267192621</v>
      </c>
      <c r="M37" s="2899"/>
      <c r="N37" s="2900"/>
    </row>
    <row r="38" spans="1:14" ht="13.15" customHeight="1">
      <c r="A38" s="471" t="s">
        <v>2706</v>
      </c>
      <c r="B38" s="3041" t="str">
        <f>IF('Part III-Sources of Funds'!$I$38="","",-FV('Part III-Sources of Funds'!$K$38/12,12,B24/12,'Part III-Sources of Funds'!$I$38))</f>
        <v/>
      </c>
      <c r="C38" s="3041" t="str">
        <f>IF('Part III-Sources of Funds'!$I$38="","",-FV('Part III-Sources of Funds'!$K$38/12,12,C24/12,B38))</f>
        <v/>
      </c>
      <c r="D38" s="3041" t="str">
        <f>IF('Part III-Sources of Funds'!$I$38="","",-FV('Part III-Sources of Funds'!$K$38/12,12,D24/12,C38))</f>
        <v/>
      </c>
      <c r="E38" s="3041" t="str">
        <f>IF('Part III-Sources of Funds'!$I$38="","",-FV('Part III-Sources of Funds'!$K$38/12,12,E24/12,D38))</f>
        <v/>
      </c>
      <c r="F38" s="3041" t="str">
        <f>IF('Part III-Sources of Funds'!$I$38="","",-FV('Part III-Sources of Funds'!$K$38/12,12,F24/12,E38))</f>
        <v/>
      </c>
      <c r="G38" s="3041" t="str">
        <f>IF('Part III-Sources of Funds'!$I$38="","",-FV('Part III-Sources of Funds'!$K$38/12,12,G24/12,F38))</f>
        <v/>
      </c>
      <c r="H38" s="3041" t="str">
        <f>IF('Part III-Sources of Funds'!$I$38="","",-FV('Part III-Sources of Funds'!$K$38/12,12,H24/12,G38))</f>
        <v/>
      </c>
      <c r="I38" s="3041" t="str">
        <f>IF('Part III-Sources of Funds'!$I$38="","",-FV('Part III-Sources of Funds'!$K$38/12,12,I24/12,H38))</f>
        <v/>
      </c>
      <c r="J38" s="3041" t="str">
        <f>IF('Part III-Sources of Funds'!$I$38="","",-FV('Part III-Sources of Funds'!$K$38/12,12,J24/12,I38))</f>
        <v/>
      </c>
      <c r="K38" s="3041" t="str">
        <f>IF('Part III-Sources of Funds'!$I$38="","",-FV('Part III-Sources of Funds'!$K$38/12,12,K24/12,J38))</f>
        <v/>
      </c>
      <c r="M38" s="2899"/>
      <c r="N38" s="2900"/>
    </row>
    <row r="39" spans="1:14" ht="13.15" customHeight="1">
      <c r="A39" s="471" t="s">
        <v>2707</v>
      </c>
      <c r="B39" s="3041" t="str">
        <f>IF('Part III-Sources of Funds'!$I$39="","",-FV('Part III-Sources of Funds'!$K$39/12,12,B25/12,'Part III-Sources of Funds'!$I$39))</f>
        <v/>
      </c>
      <c r="C39" s="3041" t="str">
        <f>IF('Part III-Sources of Funds'!$I$39="","",-FV('Part III-Sources of Funds'!$K$39/12,12,C25/12,B39))</f>
        <v/>
      </c>
      <c r="D39" s="3041" t="str">
        <f>IF('Part III-Sources of Funds'!$I$39="","",-FV('Part III-Sources of Funds'!$K$39/12,12,D25/12,C39))</f>
        <v/>
      </c>
      <c r="E39" s="3041" t="str">
        <f>IF('Part III-Sources of Funds'!$I$39="","",-FV('Part III-Sources of Funds'!$K$39/12,12,E25/12,D39))</f>
        <v/>
      </c>
      <c r="F39" s="3041" t="str">
        <f>IF('Part III-Sources of Funds'!$I$39="","",-FV('Part III-Sources of Funds'!$K$39/12,12,F25/12,E39))</f>
        <v/>
      </c>
      <c r="G39" s="3041" t="str">
        <f>IF('Part III-Sources of Funds'!$I$39="","",-FV('Part III-Sources of Funds'!$K$39/12,12,G25/12,F39))</f>
        <v/>
      </c>
      <c r="H39" s="3041" t="str">
        <f>IF('Part III-Sources of Funds'!$I$39="","",-FV('Part III-Sources of Funds'!$K$39/12,12,H25/12,G39))</f>
        <v/>
      </c>
      <c r="I39" s="3041" t="str">
        <f>IF('Part III-Sources of Funds'!$I$39="","",-FV('Part III-Sources of Funds'!$K$39/12,12,I25/12,H39))</f>
        <v/>
      </c>
      <c r="J39" s="3041" t="str">
        <f>IF('Part III-Sources of Funds'!$I$39="","",-FV('Part III-Sources of Funds'!$K$39/12,12,J25/12,I39))</f>
        <v/>
      </c>
      <c r="K39" s="3041" t="str">
        <f>IF('Part III-Sources of Funds'!$I$39="","",-FV('Part III-Sources of Funds'!$K$39/12,12,K25/12,J39))</f>
        <v/>
      </c>
      <c r="M39" s="2899"/>
      <c r="N39" s="2900"/>
    </row>
    <row r="40" spans="1:14" ht="13.15" customHeight="1">
      <c r="A40" s="22" t="s">
        <v>816</v>
      </c>
      <c r="B40" s="3041" t="str">
        <f>IF('Part III-Sources of Funds'!$I$40="","",-FV('Part III-Sources of Funds'!$K$40/12,12,B24/12,'Part III-Sources of Funds'!$I$40))</f>
        <v/>
      </c>
      <c r="C40" s="3041" t="str">
        <f>IF('Part III-Sources of Funds'!$I$40="","",-FV('Part III-Sources of Funds'!$K$40/12,12,C26/12,B40))</f>
        <v/>
      </c>
      <c r="D40" s="3041" t="str">
        <f>IF('Part III-Sources of Funds'!$I$40="","",-FV('Part III-Sources of Funds'!$K$40/12,12,D26/12,C40))</f>
        <v/>
      </c>
      <c r="E40" s="3041" t="str">
        <f>IF('Part III-Sources of Funds'!$I$40="","",-FV('Part III-Sources of Funds'!$K$40/12,12,E26/12,D40))</f>
        <v/>
      </c>
      <c r="F40" s="3041" t="str">
        <f>IF('Part III-Sources of Funds'!$I$40="","",-FV('Part III-Sources of Funds'!$K$40/12,12,F26/12,E40))</f>
        <v/>
      </c>
      <c r="G40" s="3041" t="str">
        <f>IF('Part III-Sources of Funds'!$I$40="","",-FV('Part III-Sources of Funds'!$K$40/12,12,G26/12,F40))</f>
        <v/>
      </c>
      <c r="H40" s="3041" t="str">
        <f>IF('Part III-Sources of Funds'!$I$40="","",-FV('Part III-Sources of Funds'!$K$40/12,12,H26/12,G40))</f>
        <v/>
      </c>
      <c r="I40" s="3041" t="str">
        <f>IF('Part III-Sources of Funds'!$I$40="","",-FV('Part III-Sources of Funds'!$K$40/12,12,I26/12,H40))</f>
        <v/>
      </c>
      <c r="J40" s="3041" t="str">
        <f>IF('Part III-Sources of Funds'!$I$40="","",-FV('Part III-Sources of Funds'!$K$40/12,12,J26/12,I40))</f>
        <v/>
      </c>
      <c r="K40" s="3041" t="str">
        <f>IF('Part III-Sources of Funds'!$I$40="","",-FV('Part III-Sources of Funds'!$K$40/12,12,K26/12,J40))</f>
        <v/>
      </c>
      <c r="M40" s="2899"/>
      <c r="N40" s="2900"/>
    </row>
    <row r="41" spans="1:14" ht="13.15" customHeight="1">
      <c r="A41" s="27" t="s">
        <v>1284</v>
      </c>
      <c r="B41" s="3044">
        <f>IF('Part III-Sources of Funds'!$I$42="","",-FV('Part III-Sources of Funds'!$K$42/12,12,B29/12,'Part III-Sources of Funds'!$I$42))</f>
        <v>0</v>
      </c>
      <c r="C41" s="3044">
        <f>IF('Part III-Sources of Funds'!$I$42="","",-FV('Part III-Sources of Funds'!$K$42/12,12,C29/12,B41))</f>
        <v>0</v>
      </c>
      <c r="D41" s="3044">
        <f>IF('Part III-Sources of Funds'!$I$42="","",-FV('Part III-Sources of Funds'!$K$42/12,12,D29/12,C41))</f>
        <v>0</v>
      </c>
      <c r="E41" s="3044">
        <f>IF('Part III-Sources of Funds'!$I$42="","",-FV('Part III-Sources of Funds'!$K$42/12,12,E29/12,D41))</f>
        <v>0</v>
      </c>
      <c r="F41" s="3044">
        <f>IF('Part III-Sources of Funds'!$I$42="","",-FV('Part III-Sources of Funds'!$K$42/12,12,F29/12,E41))</f>
        <v>0</v>
      </c>
      <c r="G41" s="3044">
        <f>IF('Part III-Sources of Funds'!$I$42="","",-FV('Part III-Sources of Funds'!$K$42/12,12,G29/12,F41))</f>
        <v>0</v>
      </c>
      <c r="H41" s="3044">
        <f>IF('Part III-Sources of Funds'!$I$42="","",-FV('Part III-Sources of Funds'!$K$42/12,12,H29/12,G41))</f>
        <v>0</v>
      </c>
      <c r="I41" s="3044">
        <f>IF('Part III-Sources of Funds'!$I$42="","",-FV('Part III-Sources of Funds'!$K$42/12,12,I29/12,H41))</f>
        <v>0</v>
      </c>
      <c r="J41" s="3044">
        <f>IF('Part III-Sources of Funds'!$I$42="","",-FV('Part III-Sources of Funds'!$K$42/12,12,J29/12,I41))</f>
        <v>0</v>
      </c>
      <c r="K41" s="3044">
        <f>IF('Part III-Sources of Funds'!$I$42="","",-FV('Part III-Sources of Funds'!$K$42/12,12,K29/12,J41))</f>
        <v>0</v>
      </c>
      <c r="M41" s="2902"/>
      <c r="N41" s="2903"/>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2710</v>
      </c>
      <c r="N43" s="1518"/>
    </row>
    <row r="44" spans="1:14" ht="13.15" customHeight="1">
      <c r="A44" s="19" t="s">
        <v>2489</v>
      </c>
      <c r="B44" s="20">
        <f t="shared" ref="B44:K44" si="16">$B$14*(1+$B$5)^(B43-1)</f>
        <v>445844.7711242424</v>
      </c>
      <c r="C44" s="20">
        <f t="shared" si="16"/>
        <v>454761.66654672718</v>
      </c>
      <c r="D44" s="20">
        <f t="shared" si="16"/>
        <v>463856.89987766178</v>
      </c>
      <c r="E44" s="20">
        <f t="shared" si="16"/>
        <v>473134.037875215</v>
      </c>
      <c r="F44" s="20">
        <f t="shared" si="16"/>
        <v>482596.71863271936</v>
      </c>
      <c r="G44" s="20">
        <f t="shared" si="16"/>
        <v>492248.65300537361</v>
      </c>
      <c r="H44" s="20">
        <f t="shared" si="16"/>
        <v>502093.62606548116</v>
      </c>
      <c r="I44" s="20">
        <f t="shared" si="16"/>
        <v>512135.49858679081</v>
      </c>
      <c r="J44" s="20">
        <f t="shared" si="16"/>
        <v>522378.20855852659</v>
      </c>
      <c r="K44" s="21">
        <f t="shared" si="16"/>
        <v>532825.77272969706</v>
      </c>
      <c r="M44" s="2897"/>
      <c r="N44" s="2898"/>
    </row>
    <row r="45" spans="1:14" ht="13.15" customHeight="1">
      <c r="A45" s="22" t="s">
        <v>1053</v>
      </c>
      <c r="B45" s="23">
        <f t="shared" ref="B45:K45" si="17">$B$15*(1+$B$5)^(B43-1)</f>
        <v>8916.8954224848476</v>
      </c>
      <c r="C45" s="23">
        <f t="shared" si="17"/>
        <v>9095.2333309345431</v>
      </c>
      <c r="D45" s="23">
        <f t="shared" si="17"/>
        <v>9277.1379975532363</v>
      </c>
      <c r="E45" s="23">
        <f t="shared" si="17"/>
        <v>9462.6807575043003</v>
      </c>
      <c r="F45" s="23">
        <f t="shared" si="17"/>
        <v>9651.9343726543866</v>
      </c>
      <c r="G45" s="23">
        <f t="shared" si="17"/>
        <v>9844.9730601074716</v>
      </c>
      <c r="H45" s="23">
        <f t="shared" si="17"/>
        <v>10041.872521309624</v>
      </c>
      <c r="I45" s="23">
        <f t="shared" si="17"/>
        <v>10242.709971735816</v>
      </c>
      <c r="J45" s="23">
        <f t="shared" si="17"/>
        <v>10447.564171170532</v>
      </c>
      <c r="K45" s="24">
        <f t="shared" si="17"/>
        <v>10656.515454593942</v>
      </c>
      <c r="M45" s="2899"/>
      <c r="N45" s="2900"/>
    </row>
    <row r="46" spans="1:14" ht="13.15" customHeight="1">
      <c r="A46" s="22" t="s">
        <v>2490</v>
      </c>
      <c r="B46" s="23">
        <f t="shared" ref="B46:K46" si="18">-(B44+B45)*$B$8</f>
        <v>-31833.316658270909</v>
      </c>
      <c r="C46" s="23">
        <f t="shared" si="18"/>
        <v>-32469.982991436325</v>
      </c>
      <c r="D46" s="23">
        <f t="shared" si="18"/>
        <v>-33119.382651265056</v>
      </c>
      <c r="E46" s="23">
        <f t="shared" si="18"/>
        <v>-33781.770304290352</v>
      </c>
      <c r="F46" s="23">
        <f t="shared" si="18"/>
        <v>-34457.405710376166</v>
      </c>
      <c r="G46" s="23">
        <f t="shared" si="18"/>
        <v>-35146.55382458368</v>
      </c>
      <c r="H46" s="23">
        <f t="shared" si="18"/>
        <v>-35849.484901075361</v>
      </c>
      <c r="I46" s="23">
        <f t="shared" si="18"/>
        <v>-36566.474599096866</v>
      </c>
      <c r="J46" s="23">
        <f t="shared" si="18"/>
        <v>-37297.804091078804</v>
      </c>
      <c r="K46" s="24">
        <f t="shared" si="18"/>
        <v>-38043.760172900373</v>
      </c>
      <c r="M46" s="2899"/>
      <c r="N46" s="2900"/>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9"/>
      <c r="N47" s="2900"/>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9"/>
      <c r="N48" s="2900"/>
    </row>
    <row r="49" spans="1:14" ht="13.15" customHeight="1">
      <c r="A49" s="22" t="s">
        <v>638</v>
      </c>
      <c r="B49" s="23">
        <f t="shared" ref="B49:K49" si="19">$B$19*(1+$B$6)^(B43-1)</f>
        <v>-286525.65990892547</v>
      </c>
      <c r="C49" s="23">
        <f t="shared" si="19"/>
        <v>-295121.42970619322</v>
      </c>
      <c r="D49" s="23">
        <f t="shared" si="19"/>
        <v>-303975.07259737898</v>
      </c>
      <c r="E49" s="23">
        <f t="shared" si="19"/>
        <v>-313094.32477530034</v>
      </c>
      <c r="F49" s="23">
        <f t="shared" si="19"/>
        <v>-322487.1545185594</v>
      </c>
      <c r="G49" s="23">
        <f t="shared" si="19"/>
        <v>-332161.76915411616</v>
      </c>
      <c r="H49" s="23">
        <f t="shared" si="19"/>
        <v>-342126.62222873961</v>
      </c>
      <c r="I49" s="23">
        <f t="shared" si="19"/>
        <v>-352390.4208956018</v>
      </c>
      <c r="J49" s="23">
        <f t="shared" si="19"/>
        <v>-362962.13352246984</v>
      </c>
      <c r="K49" s="24">
        <f t="shared" si="19"/>
        <v>-373850.99752814393</v>
      </c>
      <c r="M49" s="2899"/>
      <c r="N49" s="2900"/>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-29605</v>
      </c>
      <c r="C50" s="23">
        <f>IF(AND('Part VII-Pro Forma'!$G$8="Yes",'Part VII-Pro Forma'!$G$9="Yes"),"Choose One!",IF('Part VII-Pro Forma'!$G$8="Yes",ROUND((-$K$8*(1+'Part VII-Pro Forma'!$B$6)^('Part VII-Pro Forma'!C43-1)),),IF('Part VII-Pro Forma'!$G$9="Yes",ROUND((-(SUM(C44:C47)*'Part VII-Pro Forma'!$K$9)),),"Choose mgt fee")))</f>
        <v>-30197</v>
      </c>
      <c r="D50" s="23">
        <f>IF(AND('Part VII-Pro Forma'!$G$8="Yes",'Part VII-Pro Forma'!$G$9="Yes"),"Choose One!",IF('Part VII-Pro Forma'!$G$8="Yes",ROUND((-$K$8*(1+'Part VII-Pro Forma'!$B$6)^('Part VII-Pro Forma'!D43-1)),),IF('Part VII-Pro Forma'!$G$9="Yes",ROUND((-(SUM(D44:D47)*'Part VII-Pro Forma'!$K$9)),),"Choose mgt fee")))</f>
        <v>-30801</v>
      </c>
      <c r="E50" s="23">
        <f>IF(AND('Part VII-Pro Forma'!$G$8="Yes",'Part VII-Pro Forma'!$G$9="Yes"),"Choose One!",IF('Part VII-Pro Forma'!$G$8="Yes",ROUND((-$K$8*(1+'Part VII-Pro Forma'!$B$6)^('Part VII-Pro Forma'!E43-1)),),IF('Part VII-Pro Forma'!$G$9="Yes",ROUND((-(SUM(E44:E47)*'Part VII-Pro Forma'!$K$9)),),"Choose mgt fee")))</f>
        <v>-31417</v>
      </c>
      <c r="F50" s="23">
        <f>IF(AND('Part VII-Pro Forma'!$G$8="Yes",'Part VII-Pro Forma'!$G$9="Yes"),"Choose One!",IF('Part VII-Pro Forma'!$G$8="Yes",ROUND((-$K$8*(1+'Part VII-Pro Forma'!$B$6)^('Part VII-Pro Forma'!F43-1)),),IF('Part VII-Pro Forma'!$G$9="Yes",ROUND((-(SUM(F44:F47)*'Part VII-Pro Forma'!$K$9)),),"Choose mgt fee")))</f>
        <v>-32045</v>
      </c>
      <c r="G50" s="23">
        <f>IF(AND('Part VII-Pro Forma'!$G$8="Yes",'Part VII-Pro Forma'!$G$9="Yes"),"Choose One!",IF('Part VII-Pro Forma'!$G$8="Yes",ROUND((-$K$8*(1+'Part VII-Pro Forma'!$B$6)^('Part VII-Pro Forma'!G43-1)),),IF('Part VII-Pro Forma'!$G$9="Yes",ROUND((-(SUM(G44:G47)*'Part VII-Pro Forma'!$K$9)),),"Choose mgt fee")))</f>
        <v>-32686</v>
      </c>
      <c r="H50" s="23">
        <f>IF(AND('Part VII-Pro Forma'!$G$8="Yes",'Part VII-Pro Forma'!$G$9="Yes"),"Choose One!",IF('Part VII-Pro Forma'!$G$8="Yes",ROUND((-$K$8*(1+'Part VII-Pro Forma'!$B$6)^('Part VII-Pro Forma'!H43-1)),),IF('Part VII-Pro Forma'!$G$9="Yes",ROUND((-(SUM(H44:H47)*'Part VII-Pro Forma'!$K$9)),),"Choose mgt fee")))</f>
        <v>-33340</v>
      </c>
      <c r="I50" s="23">
        <f>IF(AND('Part VII-Pro Forma'!$G$8="Yes",'Part VII-Pro Forma'!$G$9="Yes"),"Choose One!",IF('Part VII-Pro Forma'!$G$8="Yes",ROUND((-$K$8*(1+'Part VII-Pro Forma'!$B$6)^('Part VII-Pro Forma'!I43-1)),),IF('Part VII-Pro Forma'!$G$9="Yes",ROUND((-(SUM(I44:I47)*'Part VII-Pro Forma'!$K$9)),),"Choose mgt fee")))</f>
        <v>-34007</v>
      </c>
      <c r="J50" s="23">
        <f>IF(AND('Part VII-Pro Forma'!$G$8="Yes",'Part VII-Pro Forma'!$G$9="Yes"),"Choose One!",IF('Part VII-Pro Forma'!$G$8="Yes",ROUND((-$K$8*(1+'Part VII-Pro Forma'!$B$6)^('Part VII-Pro Forma'!J43-1)),),IF('Part VII-Pro Forma'!$G$9="Yes",ROUND((-(SUM(J44:J47)*'Part VII-Pro Forma'!$K$9)),),"Choose mgt fee")))</f>
        <v>-34687</v>
      </c>
      <c r="K50" s="23">
        <f>IF(AND('Part VII-Pro Forma'!$G$8="Yes",'Part VII-Pro Forma'!$G$9="Yes"),"Choose One!",IF('Part VII-Pro Forma'!$G$8="Yes",ROUND((-$K$8*(1+'Part VII-Pro Forma'!$B$6)^('Part VII-Pro Forma'!K43-1)),),IF('Part VII-Pro Forma'!$G$9="Yes",ROUND((-(SUM(K44:K47)*'Part VII-Pro Forma'!$K$9)),),"Choose mgt fee")))</f>
        <v>-35381</v>
      </c>
      <c r="M50" s="2899"/>
      <c r="N50" s="2900"/>
    </row>
    <row r="51" spans="1:14" ht="13.15" customHeight="1">
      <c r="A51" s="22" t="s">
        <v>1247</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M51" s="2899"/>
      <c r="N51" s="2900"/>
    </row>
    <row r="52" spans="1:14" ht="13.15" customHeight="1">
      <c r="A52" s="22" t="s">
        <v>1248</v>
      </c>
      <c r="B52" s="23">
        <f t="shared" ref="B52:K52" si="21">SUM(B44:B51)</f>
        <v>85295.027910024917</v>
      </c>
      <c r="C52" s="23">
        <f t="shared" si="21"/>
        <v>83920.745248441061</v>
      </c>
      <c r="D52" s="23">
        <f t="shared" si="21"/>
        <v>82426.408437032092</v>
      </c>
      <c r="E52" s="23">
        <f t="shared" si="21"/>
        <v>80807.084137903599</v>
      </c>
      <c r="F52" s="23">
        <f t="shared" si="21"/>
        <v>79057.657178756388</v>
      </c>
      <c r="G52" s="23">
        <f t="shared" si="21"/>
        <v>77171.824421169062</v>
      </c>
      <c r="H52" s="23">
        <f t="shared" si="21"/>
        <v>75144.088431395241</v>
      </c>
      <c r="I52" s="23">
        <f t="shared" si="21"/>
        <v>72968.750947479974</v>
      </c>
      <c r="J52" s="23">
        <f t="shared" si="21"/>
        <v>70639.906136310063</v>
      </c>
      <c r="K52" s="24">
        <f t="shared" si="21"/>
        <v>68150.433634013054</v>
      </c>
      <c r="M52" s="2899"/>
      <c r="N52" s="2900"/>
    </row>
    <row r="53" spans="1:14" ht="13.15" customHeight="1">
      <c r="A53" s="22" t="str">
        <f>$A23</f>
        <v>Mortgage A</v>
      </c>
      <c r="B53" s="3040">
        <f>IF('Part III-Sources of Funds'!$N$37="", 0,-'Part III-Sources of Funds'!$N$37)</f>
        <v>-64742.72941449302</v>
      </c>
      <c r="C53" s="3040">
        <f>IF('Part III-Sources of Funds'!$N$37="", 0,-'Part III-Sources of Funds'!$N$37)</f>
        <v>-64742.72941449302</v>
      </c>
      <c r="D53" s="3040">
        <f>IF('Part III-Sources of Funds'!$N$37="", 0,-'Part III-Sources of Funds'!$N$37)</f>
        <v>-64742.72941449302</v>
      </c>
      <c r="E53" s="3040">
        <f>IF('Part III-Sources of Funds'!$N$37="", 0,-'Part III-Sources of Funds'!$N$37)</f>
        <v>-64742.72941449302</v>
      </c>
      <c r="F53" s="3040">
        <f>IF('Part III-Sources of Funds'!$N$37="", 0,-'Part III-Sources of Funds'!$N$37)</f>
        <v>-64742.72941449302</v>
      </c>
      <c r="G53" s="3040">
        <f>IF('Part III-Sources of Funds'!$N$37="", 0,-'Part III-Sources of Funds'!$N$37)</f>
        <v>-64742.72941449302</v>
      </c>
      <c r="H53" s="3040">
        <f>IF('Part III-Sources of Funds'!$N$37="", 0,-'Part III-Sources of Funds'!$N$37)</f>
        <v>-64742.72941449302</v>
      </c>
      <c r="I53" s="3040">
        <f>IF('Part III-Sources of Funds'!$N$37="", 0,-'Part III-Sources of Funds'!$N$37)</f>
        <v>-64742.72941449302</v>
      </c>
      <c r="J53" s="3040">
        <f>IF('Part III-Sources of Funds'!$N$37="", 0,-'Part III-Sources of Funds'!$N$37)</f>
        <v>-64742.72941449302</v>
      </c>
      <c r="K53" s="3040">
        <f>IF('Part III-Sources of Funds'!$N$37="", 0,-'Part III-Sources of Funds'!$N$37)</f>
        <v>-64742.72941449302</v>
      </c>
      <c r="M53" s="2899"/>
      <c r="N53" s="2900"/>
    </row>
    <row r="54" spans="1:14" ht="13.15" customHeight="1">
      <c r="A54" s="22" t="str">
        <f>$A24</f>
        <v>Mortgage B</v>
      </c>
      <c r="B54" s="3041">
        <f>IF('Part III-Sources of Funds'!$N$38="", 0,-'Part III-Sources of Funds'!$N$38)</f>
        <v>0</v>
      </c>
      <c r="C54" s="3041">
        <f>IF('Part III-Sources of Funds'!$N$38="", 0,-'Part III-Sources of Funds'!$N$38)</f>
        <v>0</v>
      </c>
      <c r="D54" s="3041">
        <f>IF('Part III-Sources of Funds'!$N$38="", 0,-'Part III-Sources of Funds'!$N$38)</f>
        <v>0</v>
      </c>
      <c r="E54" s="3041">
        <f>IF('Part III-Sources of Funds'!$N$38="", 0,-'Part III-Sources of Funds'!$N$38)</f>
        <v>0</v>
      </c>
      <c r="F54" s="3041">
        <f>IF('Part III-Sources of Funds'!$N$38="", 0,-'Part III-Sources of Funds'!$N$38)</f>
        <v>0</v>
      </c>
      <c r="G54" s="3041">
        <f>IF('Part III-Sources of Funds'!$N$38="", 0,-'Part III-Sources of Funds'!$N$38)</f>
        <v>0</v>
      </c>
      <c r="H54" s="3041">
        <f>IF('Part III-Sources of Funds'!$N$38="", 0,-'Part III-Sources of Funds'!$N$38)</f>
        <v>0</v>
      </c>
      <c r="I54" s="3041">
        <f>IF('Part III-Sources of Funds'!$N$38="", 0,-'Part III-Sources of Funds'!$N$38)</f>
        <v>0</v>
      </c>
      <c r="J54" s="3041">
        <f>IF('Part III-Sources of Funds'!$N$38="", 0,-'Part III-Sources of Funds'!$N$38)</f>
        <v>0</v>
      </c>
      <c r="K54" s="3041">
        <f>IF('Part III-Sources of Funds'!$N$38="", 0,-'Part III-Sources of Funds'!$N$38)</f>
        <v>0</v>
      </c>
      <c r="M54" s="2899"/>
      <c r="N54" s="2900"/>
    </row>
    <row r="55" spans="1:14" ht="13.15" customHeight="1">
      <c r="A55" s="22" t="str">
        <f>$A25</f>
        <v>Mortgage C</v>
      </c>
      <c r="B55" s="3041">
        <f>IF('Part III-Sources of Funds'!$N$39="", 0,-'Part III-Sources of Funds'!$N$39)</f>
        <v>0</v>
      </c>
      <c r="C55" s="3041">
        <f>IF('Part III-Sources of Funds'!$N$39="", 0,-'Part III-Sources of Funds'!$N$39)</f>
        <v>0</v>
      </c>
      <c r="D55" s="3041">
        <f>IF('Part III-Sources of Funds'!$N$39="", 0,-'Part III-Sources of Funds'!$N$39)</f>
        <v>0</v>
      </c>
      <c r="E55" s="3041">
        <f>IF('Part III-Sources of Funds'!$N$39="", 0,-'Part III-Sources of Funds'!$N$39)</f>
        <v>0</v>
      </c>
      <c r="F55" s="3041">
        <f>IF('Part III-Sources of Funds'!$N$39="", 0,-'Part III-Sources of Funds'!$N$39)</f>
        <v>0</v>
      </c>
      <c r="G55" s="3041">
        <f>IF('Part III-Sources of Funds'!$N$39="", 0,-'Part III-Sources of Funds'!$N$39)</f>
        <v>0</v>
      </c>
      <c r="H55" s="3041">
        <f>IF('Part III-Sources of Funds'!$N$39="", 0,-'Part III-Sources of Funds'!$N$39)</f>
        <v>0</v>
      </c>
      <c r="I55" s="3041">
        <f>IF('Part III-Sources of Funds'!$N$39="", 0,-'Part III-Sources of Funds'!$N$39)</f>
        <v>0</v>
      </c>
      <c r="J55" s="3041">
        <f>IF('Part III-Sources of Funds'!$N$39="", 0,-'Part III-Sources of Funds'!$N$39)</f>
        <v>0</v>
      </c>
      <c r="K55" s="3041">
        <f>IF('Part III-Sources of Funds'!$N$39="", 0,-'Part III-Sources of Funds'!$N$39)</f>
        <v>0</v>
      </c>
      <c r="M55" s="2899"/>
      <c r="N55" s="2900"/>
    </row>
    <row r="56" spans="1:14" ht="13.15" customHeight="1">
      <c r="A56" s="22" t="str">
        <f>$A26</f>
        <v>D/S Other Source</v>
      </c>
      <c r="B56" s="3041">
        <f>IF('Part III-Sources of Funds'!$N$40="", 0,-'Part III-Sources of Funds'!$N$40)</f>
        <v>0</v>
      </c>
      <c r="C56" s="3041">
        <f>IF('Part III-Sources of Funds'!$N$40="", 0,-'Part III-Sources of Funds'!$N$40)</f>
        <v>0</v>
      </c>
      <c r="D56" s="3041">
        <f>IF('Part III-Sources of Funds'!$N$40="", 0,-'Part III-Sources of Funds'!$N$40)</f>
        <v>0</v>
      </c>
      <c r="E56" s="3041">
        <f>IF('Part III-Sources of Funds'!$N$40="", 0,-'Part III-Sources of Funds'!$N$40)</f>
        <v>0</v>
      </c>
      <c r="F56" s="3041">
        <f>IF('Part III-Sources of Funds'!$N$40="", 0,-'Part III-Sources of Funds'!$N$40)</f>
        <v>0</v>
      </c>
      <c r="G56" s="3041">
        <f>IF('Part III-Sources of Funds'!$N$40="", 0,-'Part III-Sources of Funds'!$N$40)</f>
        <v>0</v>
      </c>
      <c r="H56" s="3041">
        <f>IF('Part III-Sources of Funds'!$N$40="", 0,-'Part III-Sources of Funds'!$N$40)</f>
        <v>0</v>
      </c>
      <c r="I56" s="3041">
        <f>IF('Part III-Sources of Funds'!$N$40="", 0,-'Part III-Sources of Funds'!$N$40)</f>
        <v>0</v>
      </c>
      <c r="J56" s="3041">
        <f>IF('Part III-Sources of Funds'!$N$40="", 0,-'Part III-Sources of Funds'!$N$40)</f>
        <v>0</v>
      </c>
      <c r="K56" s="3041">
        <f>IF('Part III-Sources of Funds'!$N$40="", 0,-'Part III-Sources of Funds'!$N$40)</f>
        <v>0</v>
      </c>
      <c r="M56" s="2899"/>
      <c r="N56" s="2900"/>
    </row>
    <row r="57" spans="1:14" ht="13.15" customHeight="1">
      <c r="A57" s="22" t="s">
        <v>794</v>
      </c>
      <c r="B57" s="3042"/>
      <c r="C57" s="3042"/>
      <c r="D57" s="3042"/>
      <c r="E57" s="3042"/>
      <c r="F57" s="3042"/>
      <c r="G57" s="3042"/>
      <c r="H57" s="3042"/>
      <c r="I57" s="3042"/>
      <c r="J57" s="3042"/>
      <c r="K57" s="3042"/>
      <c r="M57" s="2899"/>
      <c r="N57" s="2900"/>
    </row>
    <row r="58" spans="1:14" ht="13.15" customHeight="1">
      <c r="A58" s="22" t="s">
        <v>1206</v>
      </c>
      <c r="B58" s="3041">
        <f>+K28</f>
        <v>-5000</v>
      </c>
      <c r="C58" s="3041">
        <f t="shared" ref="C58:K58" si="22">+B58</f>
        <v>-5000</v>
      </c>
      <c r="D58" s="3041">
        <f t="shared" si="22"/>
        <v>-5000</v>
      </c>
      <c r="E58" s="3041">
        <f t="shared" si="22"/>
        <v>-5000</v>
      </c>
      <c r="F58" s="3041">
        <f t="shared" si="22"/>
        <v>-5000</v>
      </c>
      <c r="G58" s="3041">
        <f t="shared" si="22"/>
        <v>-5000</v>
      </c>
      <c r="H58" s="3041">
        <f t="shared" si="22"/>
        <v>-5000</v>
      </c>
      <c r="I58" s="3041">
        <f t="shared" si="22"/>
        <v>-5000</v>
      </c>
      <c r="J58" s="3041">
        <f t="shared" si="22"/>
        <v>-5000</v>
      </c>
      <c r="K58" s="3041">
        <f t="shared" si="22"/>
        <v>-5000</v>
      </c>
      <c r="M58" s="2899"/>
      <c r="N58" s="2900"/>
    </row>
    <row r="59" spans="1:14" ht="13.15" customHeight="1">
      <c r="A59" s="22" t="s">
        <v>1249</v>
      </c>
      <c r="B59" s="3044">
        <f>IF('Part III-Sources of Funds'!$N$42="", 0,-'Part III-Sources of Funds'!$N$42)</f>
        <v>0</v>
      </c>
      <c r="C59" s="3044">
        <f>IF('Part III-Sources of Funds'!$N$42="", 0,-'Part III-Sources of Funds'!$N$42)</f>
        <v>0</v>
      </c>
      <c r="D59" s="3044">
        <f>IF('Part III-Sources of Funds'!$N$42="", 0,-'Part III-Sources of Funds'!$N$42)</f>
        <v>0</v>
      </c>
      <c r="E59" s="3044">
        <f>IF('Part III-Sources of Funds'!$N$42="", 0,-'Part III-Sources of Funds'!$N$42)</f>
        <v>0</v>
      </c>
      <c r="F59" s="3044">
        <f>IF('Part III-Sources of Funds'!$N$42="", 0,-'Part III-Sources of Funds'!$N$42)</f>
        <v>0</v>
      </c>
      <c r="G59" s="3044">
        <f>IF('Part III-Sources of Funds'!$N$42="", 0,-'Part III-Sources of Funds'!$N$42)</f>
        <v>0</v>
      </c>
      <c r="H59" s="3044">
        <f>IF('Part III-Sources of Funds'!$N$42="", 0,-'Part III-Sources of Funds'!$N$42)</f>
        <v>0</v>
      </c>
      <c r="I59" s="3044">
        <f>IF('Part III-Sources of Funds'!$N$42="", 0,-'Part III-Sources of Funds'!$N$42)</f>
        <v>0</v>
      </c>
      <c r="J59" s="3044">
        <f>IF('Part III-Sources of Funds'!$N$42="", 0,-'Part III-Sources of Funds'!$N$42)</f>
        <v>0</v>
      </c>
      <c r="K59" s="3041">
        <f>IF('Part III-Sources of Funds'!$N$42="", 0,-'Part III-Sources of Funds'!$N$42)</f>
        <v>0</v>
      </c>
      <c r="M59" s="2899"/>
      <c r="N59" s="2900"/>
    </row>
    <row r="60" spans="1:14" ht="13.15" customHeight="1">
      <c r="A60" s="22" t="s">
        <v>1207</v>
      </c>
      <c r="B60" s="23">
        <f t="shared" ref="B60:K60" si="23">SUM(B52:B59)</f>
        <v>15552.298495531897</v>
      </c>
      <c r="C60" s="23">
        <f t="shared" si="23"/>
        <v>14178.01583394804</v>
      </c>
      <c r="D60" s="23">
        <f t="shared" si="23"/>
        <v>12683.679022539072</v>
      </c>
      <c r="E60" s="23">
        <f t="shared" si="23"/>
        <v>11064.354723410579</v>
      </c>
      <c r="F60" s="23">
        <f t="shared" si="23"/>
        <v>9314.9277642633679</v>
      </c>
      <c r="G60" s="23">
        <f t="shared" si="23"/>
        <v>7429.0950066760415</v>
      </c>
      <c r="H60" s="23">
        <f t="shared" si="23"/>
        <v>5401.3590169022209</v>
      </c>
      <c r="I60" s="23">
        <f t="shared" si="23"/>
        <v>3226.0215329869534</v>
      </c>
      <c r="J60" s="23">
        <f t="shared" si="23"/>
        <v>897.17672181704256</v>
      </c>
      <c r="K60" s="21">
        <f t="shared" si="23"/>
        <v>-1592.2957804799662</v>
      </c>
      <c r="M60" s="2899"/>
      <c r="N60" s="2900"/>
    </row>
    <row r="61" spans="1:14" ht="13.15" customHeight="1">
      <c r="A61" s="22" t="str">
        <f>$A31</f>
        <v>DCR Mortgage A</v>
      </c>
      <c r="B61" s="25">
        <f>IF(B53=0,"",-B52/B53)</f>
        <v>1.3174456604069453</v>
      </c>
      <c r="C61" s="25">
        <f t="shared" ref="C61:K61" si="24">IF(C53=0,"",-C52/C53)</f>
        <v>1.2962188342596339</v>
      </c>
      <c r="D61" s="25">
        <f t="shared" si="24"/>
        <v>1.273137681751497</v>
      </c>
      <c r="E61" s="25">
        <f t="shared" si="24"/>
        <v>1.2481260037797308</v>
      </c>
      <c r="F61" s="25">
        <f t="shared" si="24"/>
        <v>1.2211047926728107</v>
      </c>
      <c r="G61" s="25">
        <f t="shared" si="24"/>
        <v>1.1919766917317163</v>
      </c>
      <c r="H61" s="25">
        <f t="shared" si="24"/>
        <v>1.1606567889702504</v>
      </c>
      <c r="I61" s="25">
        <f t="shared" si="24"/>
        <v>1.1270570704599536</v>
      </c>
      <c r="J61" s="25">
        <f t="shared" si="24"/>
        <v>1.0910863161801907</v>
      </c>
      <c r="K61" s="26">
        <f t="shared" si="24"/>
        <v>1.0526345467720921</v>
      </c>
      <c r="M61" s="2899"/>
      <c r="N61" s="2900"/>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9"/>
      <c r="N62" s="2900"/>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9"/>
      <c r="N63" s="2900"/>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9"/>
      <c r="N64" s="2900"/>
    </row>
    <row r="65" spans="1:14" ht="13.15" customHeight="1">
      <c r="A65" s="471" t="s">
        <v>4195</v>
      </c>
      <c r="B65" s="25">
        <f>IF(AND(B53=0,B54=0,B55=0,B56=0),"",-B52/(B53+B54+B55+B56))</f>
        <v>1.3174456604069453</v>
      </c>
      <c r="C65" s="25">
        <f t="shared" ref="C65:K65" si="28">IF(AND(C53=0,C54=0,C55=0,C56=0),"",-C52/(C53+C54+C55+C56))</f>
        <v>1.2962188342596339</v>
      </c>
      <c r="D65" s="25">
        <f t="shared" si="28"/>
        <v>1.273137681751497</v>
      </c>
      <c r="E65" s="25">
        <f t="shared" si="28"/>
        <v>1.2481260037797308</v>
      </c>
      <c r="F65" s="25">
        <f t="shared" si="28"/>
        <v>1.2211047926728107</v>
      </c>
      <c r="G65" s="25">
        <f t="shared" si="28"/>
        <v>1.1919766917317163</v>
      </c>
      <c r="H65" s="25">
        <f t="shared" si="28"/>
        <v>1.1606567889702504</v>
      </c>
      <c r="I65" s="25">
        <f t="shared" si="28"/>
        <v>1.1270570704599536</v>
      </c>
      <c r="J65" s="25">
        <f t="shared" si="28"/>
        <v>1.0910863161801907</v>
      </c>
      <c r="K65" s="26">
        <f t="shared" si="28"/>
        <v>1.0526345467720921</v>
      </c>
      <c r="M65" s="2899"/>
      <c r="N65" s="2900"/>
    </row>
    <row r="66" spans="1:14" ht="13.15" customHeight="1">
      <c r="A66" s="22" t="s">
        <v>801</v>
      </c>
      <c r="B66" s="293">
        <f>IF(OR(B50="Choose mgt fee",B50="Choose One!"),"",(B44+B45+B46+B47+B48) / -(B49+B50+B51))</f>
        <v>1.2526262141728821</v>
      </c>
      <c r="C66" s="293">
        <f t="shared" ref="C66:K66" si="29">IF(OR(C50="Choose mgt fee",C50="Choose One!"),"",(C44+C45+C46+C47+C48) / -(C49+C50+C51))</f>
        <v>1.2415220591198275</v>
      </c>
      <c r="D66" s="293">
        <f t="shared" si="29"/>
        <v>1.2305064810649353</v>
      </c>
      <c r="E66" s="293">
        <f t="shared" si="29"/>
        <v>1.2195797753280295</v>
      </c>
      <c r="F66" s="293">
        <f t="shared" si="29"/>
        <v>1.2087421323112426</v>
      </c>
      <c r="G66" s="293">
        <f t="shared" si="29"/>
        <v>1.1979905723948412</v>
      </c>
      <c r="H66" s="293">
        <f t="shared" si="29"/>
        <v>1.1873254419461505</v>
      </c>
      <c r="I66" s="293">
        <f t="shared" si="29"/>
        <v>1.176746981177025</v>
      </c>
      <c r="J66" s="293">
        <f t="shared" si="29"/>
        <v>1.1662553325699196</v>
      </c>
      <c r="K66" s="294">
        <f t="shared" si="29"/>
        <v>1.1558479055576563</v>
      </c>
      <c r="M66" s="2899"/>
      <c r="N66" s="2900"/>
    </row>
    <row r="67" spans="1:14" ht="13.15" customHeight="1">
      <c r="A67" s="471" t="s">
        <v>2705</v>
      </c>
      <c r="B67" s="3045">
        <f>IF('Part III-Sources of Funds'!$I$37="","",-FV('Part III-Sources of Funds'!$K$37/12,12,B53/12,K37))</f>
        <v>947624.81752950849</v>
      </c>
      <c r="C67" s="3045">
        <f>IF('Part III-Sources of Funds'!$I$37="","",-FV('Part III-Sources of Funds'!$K$37/12,12,C53/12,B67))</f>
        <v>933712.85666616401</v>
      </c>
      <c r="D67" s="3045">
        <f>IF('Part III-Sources of Funds'!$I$37="","",-FV('Part III-Sources of Funds'!$K$37/12,12,D53/12,C67))</f>
        <v>919030.77483616781</v>
      </c>
      <c r="E67" s="3045">
        <f>IF('Part III-Sources of Funds'!$I$37="","",-FV('Part III-Sources of Funds'!$K$37/12,12,E53/12,D67))</f>
        <v>903535.9406441974</v>
      </c>
      <c r="F67" s="3045">
        <f>IF('Part III-Sources of Funds'!$I$37="","",-FV('Part III-Sources of Funds'!$K$37/12,12,F53/12,E67))</f>
        <v>887183.36275935418</v>
      </c>
      <c r="G67" s="3045">
        <f>IF('Part III-Sources of Funds'!$I$37="","",-FV('Part III-Sources of Funds'!$K$37/12,12,G53/12,F67))</f>
        <v>869925.55927679501</v>
      </c>
      <c r="H67" s="3045">
        <f>IF('Part III-Sources of Funds'!$I$37="","",-FV('Part III-Sources of Funds'!$K$37/12,12,H53/12,G67))</f>
        <v>851712.41984764824</v>
      </c>
      <c r="I67" s="3045">
        <f>IF('Part III-Sources of Funds'!$I$37="","",-FV('Part III-Sources of Funds'!$K$37/12,12,I53/12,H67))</f>
        <v>832491.06017688953</v>
      </c>
      <c r="J67" s="3045">
        <f>IF('Part III-Sources of Funds'!$I$37="","",-FV('Part III-Sources of Funds'!$K$37/12,12,J53/12,I67))</f>
        <v>812205.66846669291</v>
      </c>
      <c r="K67" s="3045">
        <f>IF('Part III-Sources of Funds'!$I$37="","",-FV('Part III-Sources of Funds'!$K$37/12,12,K53/12,J67))</f>
        <v>790797.34335938434</v>
      </c>
      <c r="M67" s="2899"/>
      <c r="N67" s="2900"/>
    </row>
    <row r="68" spans="1:14" ht="13.15" customHeight="1">
      <c r="A68" s="471" t="s">
        <v>2706</v>
      </c>
      <c r="B68" s="3041" t="str">
        <f>IF('Part III-Sources of Funds'!$I$38="","",-FV('Part III-Sources of Funds'!$K$38/12,12,B54/12,K38))</f>
        <v/>
      </c>
      <c r="C68" s="3041" t="str">
        <f>IF('Part III-Sources of Funds'!$I$38="","",-FV('Part III-Sources of Funds'!$K$38/12,12,C54/12,B68))</f>
        <v/>
      </c>
      <c r="D68" s="3041" t="str">
        <f>IF('Part III-Sources of Funds'!$I$38="","",-FV('Part III-Sources of Funds'!$K$38/12,12,D54/12,C68))</f>
        <v/>
      </c>
      <c r="E68" s="3041" t="str">
        <f>IF('Part III-Sources of Funds'!$I$38="","",-FV('Part III-Sources of Funds'!$K$38/12,12,E54/12,D68))</f>
        <v/>
      </c>
      <c r="F68" s="3041" t="str">
        <f>IF('Part III-Sources of Funds'!$I$38="","",-FV('Part III-Sources of Funds'!$K$38/12,12,F54/12,E68))</f>
        <v/>
      </c>
      <c r="G68" s="3041" t="str">
        <f>IF('Part III-Sources of Funds'!$I$38="","",-FV('Part III-Sources of Funds'!$K$38/12,12,G54/12,F68))</f>
        <v/>
      </c>
      <c r="H68" s="3041" t="str">
        <f>IF('Part III-Sources of Funds'!$I$38="","",-FV('Part III-Sources of Funds'!$K$38/12,12,H54/12,G68))</f>
        <v/>
      </c>
      <c r="I68" s="3041" t="str">
        <f>IF('Part III-Sources of Funds'!$I$38="","",-FV('Part III-Sources of Funds'!$K$38/12,12,I54/12,H68))</f>
        <v/>
      </c>
      <c r="J68" s="3041" t="str">
        <f>IF('Part III-Sources of Funds'!$I$38="","",-FV('Part III-Sources of Funds'!$K$38/12,12,J54/12,I68))</f>
        <v/>
      </c>
      <c r="K68" s="3041" t="str">
        <f>IF('Part III-Sources of Funds'!$I$38="","",-FV('Part III-Sources of Funds'!$K$38/12,12,K54/12,J68))</f>
        <v/>
      </c>
      <c r="M68" s="2899"/>
      <c r="N68" s="2900"/>
    </row>
    <row r="69" spans="1:14" ht="13.15" customHeight="1">
      <c r="A69" s="471" t="s">
        <v>2707</v>
      </c>
      <c r="B69" s="3041" t="str">
        <f>IF('Part III-Sources of Funds'!$I$39="","",-FV('Part III-Sources of Funds'!$K$39/12,12,B55/12,K39))</f>
        <v/>
      </c>
      <c r="C69" s="3041" t="str">
        <f>IF('Part III-Sources of Funds'!$I$39="","",-FV('Part III-Sources of Funds'!$K$39/12,12,C55/12,B69))</f>
        <v/>
      </c>
      <c r="D69" s="3041" t="str">
        <f>IF('Part III-Sources of Funds'!$I$39="","",-FV('Part III-Sources of Funds'!$K$39/12,12,D55/12,C69))</f>
        <v/>
      </c>
      <c r="E69" s="3041" t="str">
        <f>IF('Part III-Sources of Funds'!$I$39="","",-FV('Part III-Sources of Funds'!$K$39/12,12,E55/12,D69))</f>
        <v/>
      </c>
      <c r="F69" s="3041" t="str">
        <f>IF('Part III-Sources of Funds'!$I$39="","",-FV('Part III-Sources of Funds'!$K$39/12,12,F55/12,E69))</f>
        <v/>
      </c>
      <c r="G69" s="3041" t="str">
        <f>IF('Part III-Sources of Funds'!$I$39="","",-FV('Part III-Sources of Funds'!$K$39/12,12,G55/12,F69))</f>
        <v/>
      </c>
      <c r="H69" s="3041" t="str">
        <f>IF('Part III-Sources of Funds'!$I$39="","",-FV('Part III-Sources of Funds'!$K$39/12,12,H55/12,G69))</f>
        <v/>
      </c>
      <c r="I69" s="3041" t="str">
        <f>IF('Part III-Sources of Funds'!$I$39="","",-FV('Part III-Sources of Funds'!$K$39/12,12,I55/12,H69))</f>
        <v/>
      </c>
      <c r="J69" s="3041" t="str">
        <f>IF('Part III-Sources of Funds'!$I$39="","",-FV('Part III-Sources of Funds'!$K$39/12,12,J55/12,I69))</f>
        <v/>
      </c>
      <c r="K69" s="3041" t="str">
        <f>IF('Part III-Sources of Funds'!$I$39="","",-FV('Part III-Sources of Funds'!$K$39/12,12,K55/12,J69))</f>
        <v/>
      </c>
      <c r="M69" s="2899"/>
      <c r="N69" s="2900"/>
    </row>
    <row r="70" spans="1:14" ht="13.15" customHeight="1">
      <c r="A70" s="22" t="s">
        <v>816</v>
      </c>
      <c r="B70" s="3041" t="str">
        <f>IF('Part III-Sources of Funds'!$I$40="","",-FV('Part III-Sources of Funds'!$K$40/12,12,B56/12,K40))</f>
        <v/>
      </c>
      <c r="C70" s="3041" t="str">
        <f>IF('Part III-Sources of Funds'!$I$40="","",-FV('Part III-Sources of Funds'!$K$40/12,12,C56/12,B70))</f>
        <v/>
      </c>
      <c r="D70" s="3041" t="str">
        <f>IF('Part III-Sources of Funds'!$I$40="","",-FV('Part III-Sources of Funds'!$K$40/12,12,D56/12,C70))</f>
        <v/>
      </c>
      <c r="E70" s="3041" t="str">
        <f>IF('Part III-Sources of Funds'!$I$40="","",-FV('Part III-Sources of Funds'!$K$40/12,12,E56/12,D70))</f>
        <v/>
      </c>
      <c r="F70" s="3041" t="str">
        <f>IF('Part III-Sources of Funds'!$I$40="","",-FV('Part III-Sources of Funds'!$K$40/12,12,F56/12,E70))</f>
        <v/>
      </c>
      <c r="G70" s="3041" t="str">
        <f>IF('Part III-Sources of Funds'!$I$40="","",-FV('Part III-Sources of Funds'!$K$40/12,12,G56/12,F70))</f>
        <v/>
      </c>
      <c r="H70" s="3041" t="str">
        <f>IF('Part III-Sources of Funds'!$I$40="","",-FV('Part III-Sources of Funds'!$K$40/12,12,H56/12,G70))</f>
        <v/>
      </c>
      <c r="I70" s="3041" t="str">
        <f>IF('Part III-Sources of Funds'!$I$40="","",-FV('Part III-Sources of Funds'!$K$40/12,12,I56/12,H70))</f>
        <v/>
      </c>
      <c r="J70" s="3041" t="str">
        <f>IF('Part III-Sources of Funds'!$I$40="","",-FV('Part III-Sources of Funds'!$K$40/12,12,J56/12,I70))</f>
        <v/>
      </c>
      <c r="K70" s="3041" t="str">
        <f>IF('Part III-Sources of Funds'!$I$40="","",-FV('Part III-Sources of Funds'!$K$40/12,12,K56/12,J70))</f>
        <v/>
      </c>
      <c r="M70" s="2899"/>
      <c r="N70" s="2900"/>
    </row>
    <row r="71" spans="1:14" ht="13.15" customHeight="1">
      <c r="A71" s="27" t="s">
        <v>1284</v>
      </c>
      <c r="B71" s="3044">
        <f>IF('Part III-Sources of Funds'!$I$42="","",-FV('Part III-Sources of Funds'!$K$42/12,12,B59/12,K41))</f>
        <v>0</v>
      </c>
      <c r="C71" s="3044">
        <f>IF('Part III-Sources of Funds'!$I$42="","",-FV('Part III-Sources of Funds'!$K$42/12,12,C59/12,B71))</f>
        <v>0</v>
      </c>
      <c r="D71" s="3044">
        <f>IF('Part III-Sources of Funds'!$I$42="","",-FV('Part III-Sources of Funds'!$K$42/12,12,D59/12,C71))</f>
        <v>0</v>
      </c>
      <c r="E71" s="3044">
        <f>IF('Part III-Sources of Funds'!$I$42="","",-FV('Part III-Sources of Funds'!$K$42/12,12,E59/12,D71))</f>
        <v>0</v>
      </c>
      <c r="F71" s="3044">
        <f>IF('Part III-Sources of Funds'!$I$42="","",-FV('Part III-Sources of Funds'!$K$42/12,12,F59/12,E71))</f>
        <v>0</v>
      </c>
      <c r="G71" s="3044">
        <f>IF('Part III-Sources of Funds'!$I$42="","",-FV('Part III-Sources of Funds'!$K$42/12,12,G59/12,F71))</f>
        <v>0</v>
      </c>
      <c r="H71" s="3044">
        <f>IF('Part III-Sources of Funds'!$I$42="","",-FV('Part III-Sources of Funds'!$K$42/12,12,H59/12,G71))</f>
        <v>0</v>
      </c>
      <c r="I71" s="3044">
        <f>IF('Part III-Sources of Funds'!$I$42="","",-FV('Part III-Sources of Funds'!$K$42/12,12,I59/12,H71))</f>
        <v>0</v>
      </c>
      <c r="J71" s="3044">
        <f>IF('Part III-Sources of Funds'!$I$42="","",-FV('Part III-Sources of Funds'!$K$42/12,12,J59/12,I71))</f>
        <v>0</v>
      </c>
      <c r="K71" s="3044">
        <f>IF('Part III-Sources of Funds'!$I$42="","",-FV('Part III-Sources of Funds'!$K$42/12,12,K59/12,J71))</f>
        <v>0</v>
      </c>
      <c r="M71" s="2902"/>
      <c r="N71" s="2903"/>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2711</v>
      </c>
      <c r="N73" s="1518"/>
    </row>
    <row r="74" spans="1:14" ht="13.15" customHeight="1">
      <c r="A74" s="19" t="s">
        <v>2489</v>
      </c>
      <c r="B74" s="20">
        <f t="shared" ref="B74:K74" si="31">$B$14*(1+$B$5)^(B73-1)</f>
        <v>543482.2881842911</v>
      </c>
      <c r="C74" s="20">
        <f t="shared" si="31"/>
        <v>554351.93394797691</v>
      </c>
      <c r="D74" s="20">
        <f t="shared" si="31"/>
        <v>565438.97262693651</v>
      </c>
      <c r="E74" s="20">
        <f t="shared" si="31"/>
        <v>576747.75207947509</v>
      </c>
      <c r="F74" s="20">
        <f t="shared" si="31"/>
        <v>588282.70712106465</v>
      </c>
      <c r="G74" s="20">
        <f t="shared" si="31"/>
        <v>600048.36126348586</v>
      </c>
      <c r="H74" s="20">
        <f t="shared" si="31"/>
        <v>612049.32848875574</v>
      </c>
      <c r="I74" s="20">
        <f t="shared" si="31"/>
        <v>624290.31505853066</v>
      </c>
      <c r="J74" s="20">
        <f t="shared" si="31"/>
        <v>636776.12135970138</v>
      </c>
      <c r="K74" s="21">
        <f t="shared" si="31"/>
        <v>649511.64378689532</v>
      </c>
      <c r="M74" s="2897"/>
      <c r="N74" s="2898"/>
    </row>
    <row r="75" spans="1:14" ht="13.15" customHeight="1">
      <c r="A75" s="22" t="s">
        <v>1053</v>
      </c>
      <c r="B75" s="23">
        <f t="shared" ref="B75:K75" si="32">$B$15*(1+$B$5)^(B73-1)</f>
        <v>10869.645763685821</v>
      </c>
      <c r="C75" s="23">
        <f t="shared" si="32"/>
        <v>11087.038678959538</v>
      </c>
      <c r="D75" s="23">
        <f t="shared" si="32"/>
        <v>11308.779452538729</v>
      </c>
      <c r="E75" s="23">
        <f t="shared" si="32"/>
        <v>11534.955041589501</v>
      </c>
      <c r="F75" s="23">
        <f t="shared" si="32"/>
        <v>11765.654142421292</v>
      </c>
      <c r="G75" s="23">
        <f t="shared" si="32"/>
        <v>12000.967225269718</v>
      </c>
      <c r="H75" s="23">
        <f t="shared" si="32"/>
        <v>12240.986569775114</v>
      </c>
      <c r="I75" s="23">
        <f t="shared" si="32"/>
        <v>12485.806301170614</v>
      </c>
      <c r="J75" s="23">
        <f t="shared" si="32"/>
        <v>12735.522427194028</v>
      </c>
      <c r="K75" s="24">
        <f t="shared" si="32"/>
        <v>12990.232875737907</v>
      </c>
      <c r="M75" s="2899"/>
      <c r="N75" s="2900"/>
    </row>
    <row r="76" spans="1:14" ht="13.15" customHeight="1">
      <c r="A76" s="22" t="s">
        <v>2490</v>
      </c>
      <c r="B76" s="23">
        <f t="shared" ref="B76:K76" si="33">-(B74+B75)*$B$8</f>
        <v>-38804.63537635839</v>
      </c>
      <c r="C76" s="23">
        <f t="shared" si="33"/>
        <v>-39580.728083885559</v>
      </c>
      <c r="D76" s="23">
        <f t="shared" si="33"/>
        <v>-40372.342645563265</v>
      </c>
      <c r="E76" s="23">
        <f t="shared" si="33"/>
        <v>-41179.789498474522</v>
      </c>
      <c r="F76" s="23">
        <f t="shared" si="33"/>
        <v>-42003.38528844402</v>
      </c>
      <c r="G76" s="23">
        <f t="shared" si="33"/>
        <v>-42843.452994212901</v>
      </c>
      <c r="H76" s="23">
        <f t="shared" si="33"/>
        <v>-43700.322054097167</v>
      </c>
      <c r="I76" s="23">
        <f t="shared" si="33"/>
        <v>-44574.328495179092</v>
      </c>
      <c r="J76" s="23">
        <f t="shared" si="33"/>
        <v>-45465.815065082686</v>
      </c>
      <c r="K76" s="24">
        <f t="shared" si="33"/>
        <v>-46375.131366384332</v>
      </c>
      <c r="M76" s="2899"/>
      <c r="N76" s="2900"/>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9"/>
      <c r="N77" s="2900"/>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9"/>
      <c r="N78" s="2900"/>
    </row>
    <row r="79" spans="1:14" ht="13.15" customHeight="1">
      <c r="A79" s="22" t="s">
        <v>638</v>
      </c>
      <c r="B79" s="23">
        <f t="shared" ref="B79:K79" si="34">$B$19*(1+$B$6)^(B73-1)</f>
        <v>-385066.52745398827</v>
      </c>
      <c r="C79" s="23">
        <f t="shared" si="34"/>
        <v>-396618.52327760786</v>
      </c>
      <c r="D79" s="23">
        <f t="shared" si="34"/>
        <v>-408517.07897593611</v>
      </c>
      <c r="E79" s="23">
        <f t="shared" si="34"/>
        <v>-420772.59134521423</v>
      </c>
      <c r="F79" s="23">
        <f t="shared" si="34"/>
        <v>-433395.76908557059</v>
      </c>
      <c r="G79" s="23">
        <f t="shared" si="34"/>
        <v>-446397.64215813769</v>
      </c>
      <c r="H79" s="23">
        <f t="shared" si="34"/>
        <v>-459789.57142288191</v>
      </c>
      <c r="I79" s="23">
        <f t="shared" si="34"/>
        <v>-473583.25856556831</v>
      </c>
      <c r="J79" s="23">
        <f t="shared" si="34"/>
        <v>-487790.75632253534</v>
      </c>
      <c r="K79" s="24">
        <f t="shared" si="34"/>
        <v>-502424.47901221138</v>
      </c>
      <c r="M79" s="2899"/>
      <c r="N79" s="2900"/>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-36088</v>
      </c>
      <c r="C80" s="23">
        <f>IF(AND('Part VII-Pro Forma'!$G$8="Yes",'Part VII-Pro Forma'!$G$9="Yes"),"Choose One!",IF('Part VII-Pro Forma'!$G$8="Yes",ROUND((-$K$8*(1+'Part VII-Pro Forma'!$B$6)^('Part VII-Pro Forma'!C73-1)),),IF('Part VII-Pro Forma'!$G$9="Yes",ROUND((-(SUM(C74:C77)*'Part VII-Pro Forma'!$K$9)),),"Choose mgt fee")))</f>
        <v>-36810</v>
      </c>
      <c r="D80" s="23">
        <f>IF(AND('Part VII-Pro Forma'!$G$8="Yes",'Part VII-Pro Forma'!$G$9="Yes"),"Choose One!",IF('Part VII-Pro Forma'!$G$8="Yes",ROUND((-$K$8*(1+'Part VII-Pro Forma'!$B$6)^('Part VII-Pro Forma'!D73-1)),),IF('Part VII-Pro Forma'!$G$9="Yes",ROUND((-(SUM(D74:D77)*'Part VII-Pro Forma'!$K$9)),),"Choose mgt fee")))</f>
        <v>-37546</v>
      </c>
      <c r="E80" s="23">
        <f>IF(AND('Part VII-Pro Forma'!$G$8="Yes",'Part VII-Pro Forma'!$G$9="Yes"),"Choose One!",IF('Part VII-Pro Forma'!$G$8="Yes",ROUND((-$K$8*(1+'Part VII-Pro Forma'!$B$6)^('Part VII-Pro Forma'!E73-1)),),IF('Part VII-Pro Forma'!$G$9="Yes",ROUND((-(SUM(E74:E77)*'Part VII-Pro Forma'!$K$9)),),"Choose mgt fee")))</f>
        <v>-38297</v>
      </c>
      <c r="F80" s="23">
        <f>IF(AND('Part VII-Pro Forma'!$G$8="Yes",'Part VII-Pro Forma'!$G$9="Yes"),"Choose One!",IF('Part VII-Pro Forma'!$G$8="Yes",ROUND((-$K$8*(1+'Part VII-Pro Forma'!$B$6)^('Part VII-Pro Forma'!F73-1)),),IF('Part VII-Pro Forma'!$G$9="Yes",ROUND((-(SUM(F74:F77)*'Part VII-Pro Forma'!$K$9)),),"Choose mgt fee")))</f>
        <v>-39063</v>
      </c>
      <c r="G80" s="23">
        <f>IF(AND('Part VII-Pro Forma'!$G$8="Yes",'Part VII-Pro Forma'!$G$9="Yes"),"Choose One!",IF('Part VII-Pro Forma'!$G$8="Yes",ROUND((-$K$8*(1+'Part VII-Pro Forma'!$B$6)^('Part VII-Pro Forma'!G73-1)),),IF('Part VII-Pro Forma'!$G$9="Yes",ROUND((-(SUM(G74:G77)*'Part VII-Pro Forma'!$K$9)),),"Choose mgt fee")))</f>
        <v>-39844</v>
      </c>
      <c r="H80" s="23">
        <f>IF(AND('Part VII-Pro Forma'!$G$8="Yes",'Part VII-Pro Forma'!$G$9="Yes"),"Choose One!",IF('Part VII-Pro Forma'!$G$8="Yes",ROUND((-$K$8*(1+'Part VII-Pro Forma'!$B$6)^('Part VII-Pro Forma'!H73-1)),),IF('Part VII-Pro Forma'!$G$9="Yes",ROUND((-(SUM(H74:H77)*'Part VII-Pro Forma'!$K$9)),),"Choose mgt fee")))</f>
        <v>-40641</v>
      </c>
      <c r="I80" s="23">
        <f>IF(AND('Part VII-Pro Forma'!$G$8="Yes",'Part VII-Pro Forma'!$G$9="Yes"),"Choose One!",IF('Part VII-Pro Forma'!$G$8="Yes",ROUND((-$K$8*(1+'Part VII-Pro Forma'!$B$6)^('Part VII-Pro Forma'!I73-1)),),IF('Part VII-Pro Forma'!$G$9="Yes",ROUND((-(SUM(I74:I77)*'Part VII-Pro Forma'!$K$9)),),"Choose mgt fee")))</f>
        <v>-41454</v>
      </c>
      <c r="J80" s="23">
        <f>IF(AND('Part VII-Pro Forma'!$G$8="Yes",'Part VII-Pro Forma'!$G$9="Yes"),"Choose One!",IF('Part VII-Pro Forma'!$G$8="Yes",ROUND((-$K$8*(1+'Part VII-Pro Forma'!$B$6)^('Part VII-Pro Forma'!J73-1)),),IF('Part VII-Pro Forma'!$G$9="Yes",ROUND((-(SUM(J74:J77)*'Part VII-Pro Forma'!$K$9)),),"Choose mgt fee")))</f>
        <v>-42283</v>
      </c>
      <c r="K80" s="23">
        <f>IF(AND('Part VII-Pro Forma'!$G$8="Yes",'Part VII-Pro Forma'!$G$9="Yes"),"Choose One!",IF('Part VII-Pro Forma'!$G$8="Yes",ROUND((-$K$8*(1+'Part VII-Pro Forma'!$B$6)^('Part VII-Pro Forma'!K73-1)),),IF('Part VII-Pro Forma'!$G$9="Yes",ROUND((-(SUM(K74:K77)*'Part VII-Pro Forma'!$K$9)),),"Choose mgt fee")))</f>
        <v>-43129</v>
      </c>
      <c r="M80" s="2899"/>
      <c r="N80" s="2900"/>
    </row>
    <row r="81" spans="1:14" ht="13.15" customHeight="1">
      <c r="A81" s="22" t="s">
        <v>1247</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M81" s="2899"/>
      <c r="N81" s="2900"/>
    </row>
    <row r="82" spans="1:14" ht="13.15" customHeight="1">
      <c r="A82" s="22" t="s">
        <v>1248</v>
      </c>
      <c r="B82" s="23">
        <f t="shared" ref="B82:K82" si="36">SUM(B74:B81)</f>
        <v>65494.991362919623</v>
      </c>
      <c r="C82" s="23">
        <f t="shared" si="36"/>
        <v>62665.008118091209</v>
      </c>
      <c r="D82" s="23">
        <f t="shared" si="36"/>
        <v>59654.675916203312</v>
      </c>
      <c r="E82" s="23">
        <f t="shared" si="36"/>
        <v>56455.942099350083</v>
      </c>
      <c r="F82" s="23">
        <f t="shared" si="36"/>
        <v>53061.501186104957</v>
      </c>
      <c r="G82" s="23">
        <f t="shared" si="36"/>
        <v>49463.786461937649</v>
      </c>
      <c r="H82" s="23">
        <f t="shared" si="36"/>
        <v>45653.961300850329</v>
      </c>
      <c r="I82" s="23">
        <f t="shared" si="36"/>
        <v>41623.910209831403</v>
      </c>
      <c r="J82" s="23">
        <f t="shared" si="36"/>
        <v>37365.22958748119</v>
      </c>
      <c r="K82" s="24">
        <f t="shared" si="36"/>
        <v>32868.218187887513</v>
      </c>
      <c r="M82" s="2899"/>
      <c r="N82" s="2900"/>
    </row>
    <row r="83" spans="1:14" ht="13.15" customHeight="1">
      <c r="A83" s="22" t="str">
        <f>$A53</f>
        <v>Mortgage A</v>
      </c>
      <c r="B83" s="3040">
        <f>IF('Part III-Sources of Funds'!$N$37="", 0,-'Part III-Sources of Funds'!$N$37)</f>
        <v>-64742.72941449302</v>
      </c>
      <c r="C83" s="3040">
        <f>IF('Part III-Sources of Funds'!$N$37="", 0,-'Part III-Sources of Funds'!$N$37)</f>
        <v>-64742.72941449302</v>
      </c>
      <c r="D83" s="3040">
        <f>IF('Part III-Sources of Funds'!$N$37="", 0,-'Part III-Sources of Funds'!$N$37)</f>
        <v>-64742.72941449302</v>
      </c>
      <c r="E83" s="3040">
        <f>IF('Part III-Sources of Funds'!$N$37="", 0,-'Part III-Sources of Funds'!$N$37)</f>
        <v>-64742.72941449302</v>
      </c>
      <c r="F83" s="3040">
        <f>IF('Part III-Sources of Funds'!$N$37="", 0,-'Part III-Sources of Funds'!$N$37)</f>
        <v>-64742.72941449302</v>
      </c>
      <c r="G83" s="3040">
        <f>IF('Part III-Sources of Funds'!$N$37="", 0,-'Part III-Sources of Funds'!$N$37)</f>
        <v>-64742.72941449302</v>
      </c>
      <c r="H83" s="3040">
        <f>IF('Part III-Sources of Funds'!$N$37="", 0,-'Part III-Sources of Funds'!$N$37)</f>
        <v>-64742.72941449302</v>
      </c>
      <c r="I83" s="3040">
        <f>IF('Part III-Sources of Funds'!$N$37="", 0,-'Part III-Sources of Funds'!$N$37)</f>
        <v>-64742.72941449302</v>
      </c>
      <c r="J83" s="3040">
        <f>IF('Part III-Sources of Funds'!$N$37="", 0,-'Part III-Sources of Funds'!$N$37)</f>
        <v>-64742.72941449302</v>
      </c>
      <c r="K83" s="3040">
        <f>IF('Part III-Sources of Funds'!$N$37="", 0,-'Part III-Sources of Funds'!$N$37)</f>
        <v>-64742.72941449302</v>
      </c>
      <c r="M83" s="2899"/>
      <c r="N83" s="2900"/>
    </row>
    <row r="84" spans="1:14" ht="13.15" customHeight="1">
      <c r="A84" s="22" t="str">
        <f>$A54</f>
        <v>Mortgage B</v>
      </c>
      <c r="B84" s="3041">
        <f>IF('Part III-Sources of Funds'!$N$38="", 0,-'Part III-Sources of Funds'!$N$38)</f>
        <v>0</v>
      </c>
      <c r="C84" s="3041">
        <f>IF('Part III-Sources of Funds'!$N$38="", 0,-'Part III-Sources of Funds'!$N$38)</f>
        <v>0</v>
      </c>
      <c r="D84" s="3041">
        <f>IF('Part III-Sources of Funds'!$N$38="", 0,-'Part III-Sources of Funds'!$N$38)</f>
        <v>0</v>
      </c>
      <c r="E84" s="3041">
        <f>IF('Part III-Sources of Funds'!$N$38="", 0,-'Part III-Sources of Funds'!$N$38)</f>
        <v>0</v>
      </c>
      <c r="F84" s="3041">
        <f>IF('Part III-Sources of Funds'!$N$38="", 0,-'Part III-Sources of Funds'!$N$38)</f>
        <v>0</v>
      </c>
      <c r="G84" s="3041">
        <f>IF('Part III-Sources of Funds'!$N$38="", 0,-'Part III-Sources of Funds'!$N$38)</f>
        <v>0</v>
      </c>
      <c r="H84" s="3041">
        <f>IF('Part III-Sources of Funds'!$N$38="", 0,-'Part III-Sources of Funds'!$N$38)</f>
        <v>0</v>
      </c>
      <c r="I84" s="3041">
        <f>IF('Part III-Sources of Funds'!$N$38="", 0,-'Part III-Sources of Funds'!$N$38)</f>
        <v>0</v>
      </c>
      <c r="J84" s="3041">
        <f>IF('Part III-Sources of Funds'!$N$38="", 0,-'Part III-Sources of Funds'!$N$38)</f>
        <v>0</v>
      </c>
      <c r="K84" s="3041">
        <f>IF('Part III-Sources of Funds'!$N$38="", 0,-'Part III-Sources of Funds'!$N$38)</f>
        <v>0</v>
      </c>
      <c r="M84" s="2899"/>
      <c r="N84" s="2900"/>
    </row>
    <row r="85" spans="1:14" ht="13.15" customHeight="1">
      <c r="A85" s="22" t="str">
        <f>$A55</f>
        <v>Mortgage C</v>
      </c>
      <c r="B85" s="3041">
        <f>IF('Part III-Sources of Funds'!$N$39="", 0,-'Part III-Sources of Funds'!$N$39)</f>
        <v>0</v>
      </c>
      <c r="C85" s="3041">
        <f>IF('Part III-Sources of Funds'!$N$39="", 0,-'Part III-Sources of Funds'!$N$39)</f>
        <v>0</v>
      </c>
      <c r="D85" s="3041">
        <f>IF('Part III-Sources of Funds'!$N$39="", 0,-'Part III-Sources of Funds'!$N$39)</f>
        <v>0</v>
      </c>
      <c r="E85" s="3041">
        <f>IF('Part III-Sources of Funds'!$N$39="", 0,-'Part III-Sources of Funds'!$N$39)</f>
        <v>0</v>
      </c>
      <c r="F85" s="3041">
        <f>IF('Part III-Sources of Funds'!$N$39="", 0,-'Part III-Sources of Funds'!$N$39)</f>
        <v>0</v>
      </c>
      <c r="G85" s="3041">
        <f>IF('Part III-Sources of Funds'!$N$39="", 0,-'Part III-Sources of Funds'!$N$39)</f>
        <v>0</v>
      </c>
      <c r="H85" s="3041">
        <f>IF('Part III-Sources of Funds'!$N$39="", 0,-'Part III-Sources of Funds'!$N$39)</f>
        <v>0</v>
      </c>
      <c r="I85" s="3041">
        <f>IF('Part III-Sources of Funds'!$N$39="", 0,-'Part III-Sources of Funds'!$N$39)</f>
        <v>0</v>
      </c>
      <c r="J85" s="3041">
        <f>IF('Part III-Sources of Funds'!$N$39="", 0,-'Part III-Sources of Funds'!$N$39)</f>
        <v>0</v>
      </c>
      <c r="K85" s="3041">
        <f>IF('Part III-Sources of Funds'!$N$39="", 0,-'Part III-Sources of Funds'!$N$39)</f>
        <v>0</v>
      </c>
      <c r="M85" s="2899"/>
      <c r="N85" s="2900"/>
    </row>
    <row r="86" spans="1:14" ht="13.15" customHeight="1">
      <c r="A86" s="22" t="str">
        <f>$A56</f>
        <v>D/S Other Source</v>
      </c>
      <c r="B86" s="3041">
        <f>IF('Part III-Sources of Funds'!$N$40="", 0,-'Part III-Sources of Funds'!$N$40)</f>
        <v>0</v>
      </c>
      <c r="C86" s="3041">
        <f>IF('Part III-Sources of Funds'!$N$40="", 0,-'Part III-Sources of Funds'!$N$40)</f>
        <v>0</v>
      </c>
      <c r="D86" s="3041">
        <f>IF('Part III-Sources of Funds'!$N$40="", 0,-'Part III-Sources of Funds'!$N$40)</f>
        <v>0</v>
      </c>
      <c r="E86" s="3041">
        <f>IF('Part III-Sources of Funds'!$N$40="", 0,-'Part III-Sources of Funds'!$N$40)</f>
        <v>0</v>
      </c>
      <c r="F86" s="3041">
        <f>IF('Part III-Sources of Funds'!$N$40="", 0,-'Part III-Sources of Funds'!$N$40)</f>
        <v>0</v>
      </c>
      <c r="G86" s="3041">
        <f>IF('Part III-Sources of Funds'!$N$40="", 0,-'Part III-Sources of Funds'!$N$40)</f>
        <v>0</v>
      </c>
      <c r="H86" s="3041">
        <f>IF('Part III-Sources of Funds'!$N$40="", 0,-'Part III-Sources of Funds'!$N$40)</f>
        <v>0</v>
      </c>
      <c r="I86" s="3041">
        <f>IF('Part III-Sources of Funds'!$N$40="", 0,-'Part III-Sources of Funds'!$N$40)</f>
        <v>0</v>
      </c>
      <c r="J86" s="3041">
        <f>IF('Part III-Sources of Funds'!$N$40="", 0,-'Part III-Sources of Funds'!$N$40)</f>
        <v>0</v>
      </c>
      <c r="K86" s="3041">
        <f>IF('Part III-Sources of Funds'!$N$40="", 0,-'Part III-Sources of Funds'!$N$40)</f>
        <v>0</v>
      </c>
      <c r="M86" s="2899"/>
      <c r="N86" s="2900"/>
    </row>
    <row r="87" spans="1:14" ht="13.15" customHeight="1">
      <c r="A87" s="22" t="s">
        <v>794</v>
      </c>
      <c r="B87" s="3042"/>
      <c r="C87" s="3042"/>
      <c r="D87" s="3042"/>
      <c r="E87" s="3042"/>
      <c r="F87" s="3042"/>
      <c r="G87" s="3042"/>
      <c r="H87" s="3042"/>
      <c r="I87" s="3042"/>
      <c r="J87" s="3042"/>
      <c r="K87" s="3042"/>
      <c r="M87" s="2899"/>
      <c r="N87" s="2900"/>
    </row>
    <row r="88" spans="1:14" ht="13.15" customHeight="1">
      <c r="A88" s="22" t="s">
        <v>1206</v>
      </c>
      <c r="B88" s="3041">
        <f>+K58</f>
        <v>-5000</v>
      </c>
      <c r="C88" s="3041">
        <f t="shared" ref="C88:K88" si="37">+B88</f>
        <v>-5000</v>
      </c>
      <c r="D88" s="3041">
        <f t="shared" si="37"/>
        <v>-5000</v>
      </c>
      <c r="E88" s="3041">
        <f t="shared" si="37"/>
        <v>-5000</v>
      </c>
      <c r="F88" s="3041">
        <f t="shared" si="37"/>
        <v>-5000</v>
      </c>
      <c r="G88" s="3041">
        <f t="shared" si="37"/>
        <v>-5000</v>
      </c>
      <c r="H88" s="3041">
        <f t="shared" si="37"/>
        <v>-5000</v>
      </c>
      <c r="I88" s="3041">
        <f t="shared" si="37"/>
        <v>-5000</v>
      </c>
      <c r="J88" s="3041">
        <f t="shared" si="37"/>
        <v>-5000</v>
      </c>
      <c r="K88" s="3041">
        <f t="shared" si="37"/>
        <v>-5000</v>
      </c>
      <c r="M88" s="2899"/>
      <c r="N88" s="2900"/>
    </row>
    <row r="89" spans="1:14" ht="13.15" customHeight="1">
      <c r="A89" s="22" t="s">
        <v>1249</v>
      </c>
      <c r="B89" s="3044">
        <f>IF('Part III-Sources of Funds'!$N$42="", 0,-'Part III-Sources of Funds'!$N$42)</f>
        <v>0</v>
      </c>
      <c r="C89" s="3044">
        <f>IF('Part III-Sources of Funds'!$N$42="", 0,-'Part III-Sources of Funds'!$N$42)</f>
        <v>0</v>
      </c>
      <c r="D89" s="3044">
        <f>IF('Part III-Sources of Funds'!$N$42="", 0,-'Part III-Sources of Funds'!$N$42)</f>
        <v>0</v>
      </c>
      <c r="E89" s="3044">
        <f>IF('Part III-Sources of Funds'!$N$42="", 0,-'Part III-Sources of Funds'!$N$42)</f>
        <v>0</v>
      </c>
      <c r="F89" s="3044">
        <f>IF('Part III-Sources of Funds'!$N$42="", 0,-'Part III-Sources of Funds'!$N$42)</f>
        <v>0</v>
      </c>
      <c r="G89" s="3044">
        <f>IF('Part III-Sources of Funds'!$N$42="", 0,-'Part III-Sources of Funds'!$N$42)</f>
        <v>0</v>
      </c>
      <c r="H89" s="3044">
        <f>IF('Part III-Sources of Funds'!$N$42="", 0,-'Part III-Sources of Funds'!$N$42)</f>
        <v>0</v>
      </c>
      <c r="I89" s="3044">
        <f>IF('Part III-Sources of Funds'!$N$42="", 0,-'Part III-Sources of Funds'!$N$42)</f>
        <v>0</v>
      </c>
      <c r="J89" s="3044">
        <f>IF('Part III-Sources of Funds'!$N$42="", 0,-'Part III-Sources of Funds'!$N$42)</f>
        <v>0</v>
      </c>
      <c r="K89" s="3041">
        <f>IF('Part III-Sources of Funds'!$N$42="", 0,-'Part III-Sources of Funds'!$N$42)</f>
        <v>0</v>
      </c>
      <c r="M89" s="2899"/>
      <c r="N89" s="2900"/>
    </row>
    <row r="90" spans="1:14" ht="13.15" customHeight="1">
      <c r="A90" s="22" t="s">
        <v>1207</v>
      </c>
      <c r="B90" s="23">
        <f t="shared" ref="B90:K90" si="38">SUM(B82:B89)</f>
        <v>-4247.7380515733967</v>
      </c>
      <c r="C90" s="23">
        <f t="shared" si="38"/>
        <v>-7077.7212964018108</v>
      </c>
      <c r="D90" s="23">
        <f t="shared" si="38"/>
        <v>-10088.053498289708</v>
      </c>
      <c r="E90" s="23">
        <f t="shared" si="38"/>
        <v>-13286.787315142938</v>
      </c>
      <c r="F90" s="23">
        <f t="shared" si="38"/>
        <v>-16681.228228388063</v>
      </c>
      <c r="G90" s="23">
        <f t="shared" si="38"/>
        <v>-20278.942952555371</v>
      </c>
      <c r="H90" s="23">
        <f t="shared" si="38"/>
        <v>-24088.768113642691</v>
      </c>
      <c r="I90" s="23">
        <f t="shared" si="38"/>
        <v>-28118.819204661617</v>
      </c>
      <c r="J90" s="23">
        <f t="shared" si="38"/>
        <v>-32377.49982701183</v>
      </c>
      <c r="K90" s="21">
        <f t="shared" si="38"/>
        <v>-36874.511226605508</v>
      </c>
      <c r="M90" s="2899"/>
      <c r="N90" s="2900"/>
    </row>
    <row r="91" spans="1:14" ht="13.15" customHeight="1">
      <c r="A91" s="22" t="str">
        <f>$A61</f>
        <v>DCR Mortgage A</v>
      </c>
      <c r="B91" s="25">
        <f>IF(B83=0,"",-B82/B83)</f>
        <v>1.0116192498405574</v>
      </c>
      <c r="C91" s="25">
        <f t="shared" ref="C91:K91" si="39">IF(C83=0,"",-C82/C83)</f>
        <v>0.96790803669860881</v>
      </c>
      <c r="D91" s="25">
        <f t="shared" si="39"/>
        <v>0.92141119868896482</v>
      </c>
      <c r="E91" s="25">
        <f t="shared" si="39"/>
        <v>0.87200435647237484</v>
      </c>
      <c r="F91" s="25">
        <f t="shared" si="39"/>
        <v>0.81957467141054519</v>
      </c>
      <c r="G91" s="25">
        <f t="shared" si="39"/>
        <v>0.76400526992402185</v>
      </c>
      <c r="H91" s="25">
        <f t="shared" si="39"/>
        <v>0.70515966369855321</v>
      </c>
      <c r="I91" s="25">
        <f t="shared" si="39"/>
        <v>0.6429125028595668</v>
      </c>
      <c r="J91" s="25">
        <f t="shared" si="39"/>
        <v>0.57713398748241185</v>
      </c>
      <c r="K91" s="26">
        <f t="shared" si="39"/>
        <v>0.50767427454996639</v>
      </c>
      <c r="M91" s="2899"/>
      <c r="N91" s="2900"/>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9"/>
      <c r="N92" s="2900"/>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9"/>
      <c r="N93" s="2900"/>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9"/>
      <c r="N94" s="2900"/>
    </row>
    <row r="95" spans="1:14" ht="13.15" customHeight="1">
      <c r="A95" s="471" t="s">
        <v>4195</v>
      </c>
      <c r="B95" s="25">
        <f>IF(AND(B83=0,B84=0,B85=0,B86=0),"",-B82/(B83+B84+B85+B86))</f>
        <v>1.0116192498405574</v>
      </c>
      <c r="C95" s="25">
        <f t="shared" ref="C95:K95" si="43">IF(AND(C83=0,C84=0,C85=0,C86=0),"",-C82/(C83+C84+C85+C86))</f>
        <v>0.96790803669860881</v>
      </c>
      <c r="D95" s="25">
        <f t="shared" si="43"/>
        <v>0.92141119868896482</v>
      </c>
      <c r="E95" s="25">
        <f t="shared" si="43"/>
        <v>0.87200435647237484</v>
      </c>
      <c r="F95" s="25">
        <f t="shared" si="43"/>
        <v>0.81957467141054519</v>
      </c>
      <c r="G95" s="25">
        <f t="shared" si="43"/>
        <v>0.76400526992402185</v>
      </c>
      <c r="H95" s="25">
        <f t="shared" si="43"/>
        <v>0.70515966369855321</v>
      </c>
      <c r="I95" s="25">
        <f t="shared" si="43"/>
        <v>0.6429125028595668</v>
      </c>
      <c r="J95" s="25">
        <f t="shared" si="43"/>
        <v>0.57713398748241185</v>
      </c>
      <c r="K95" s="26">
        <f t="shared" si="43"/>
        <v>0.50767427454996639</v>
      </c>
      <c r="M95" s="2899"/>
      <c r="N95" s="2900"/>
    </row>
    <row r="96" spans="1:14" ht="13.15" customHeight="1">
      <c r="A96" s="22" t="s">
        <v>801</v>
      </c>
      <c r="B96" s="293">
        <f>IF(OR(B80="Choose mgt fee",B80="Choose One!"),"",(B74+B75+B76+B77+B78) / -(B79+B80+B81))</f>
        <v>1.1455275093891435</v>
      </c>
      <c r="C96" s="293">
        <f t="shared" ref="C96:K96" si="44">IF(OR(C80="Choose mgt fee",C80="Choose One!"),"",(C74+C75+C76+C77+C78) / -(C79+C80+C81))</f>
        <v>1.1352891259849891</v>
      </c>
      <c r="D96" s="293">
        <f t="shared" si="44"/>
        <v>1.1251354760176113</v>
      </c>
      <c r="E96" s="293">
        <f t="shared" si="44"/>
        <v>1.1150642822961334</v>
      </c>
      <c r="F96" s="293">
        <f t="shared" si="44"/>
        <v>1.1050757179891531</v>
      </c>
      <c r="G96" s="293">
        <f t="shared" si="44"/>
        <v>1.0951698688747808</v>
      </c>
      <c r="H96" s="293">
        <f t="shared" si="44"/>
        <v>1.0853447115077639</v>
      </c>
      <c r="I96" s="293">
        <f t="shared" si="44"/>
        <v>1.0756004037233311</v>
      </c>
      <c r="J96" s="293">
        <f t="shared" si="44"/>
        <v>1.0659370192742805</v>
      </c>
      <c r="K96" s="294">
        <f t="shared" si="44"/>
        <v>1.0563527435266817</v>
      </c>
      <c r="M96" s="2899"/>
      <c r="N96" s="2900"/>
    </row>
    <row r="97" spans="1:14" ht="13.15" customHeight="1">
      <c r="A97" s="471" t="s">
        <v>2705</v>
      </c>
      <c r="B97" s="3045">
        <f>IF('Part III-Sources of Funds'!$I$37="","",-FV('Part III-Sources of Funds'!$K$37/12,12,B83/12,K67))</f>
        <v>768203.92290944338</v>
      </c>
      <c r="C97" s="3045">
        <f>IF('Part III-Sources of Funds'!$I$37="","",-FV('Part III-Sources of Funds'!$K$37/12,12,C83/12,B97))</f>
        <v>744359.80408795073</v>
      </c>
      <c r="D97" s="3045">
        <f>IF('Part III-Sources of Funds'!$I$37="","",-FV('Part III-Sources of Funds'!$K$37/12,12,D83/12,C97))</f>
        <v>719195.75229538791</v>
      </c>
      <c r="E97" s="3045">
        <f>IF('Part III-Sources of Funds'!$I$37="","",-FV('Part III-Sources of Funds'!$K$37/12,12,E83/12,D97))</f>
        <v>692638.70032968465</v>
      </c>
      <c r="F97" s="3045">
        <f>IF('Part III-Sources of Funds'!$I$37="","",-FV('Part III-Sources of Funds'!$K$37/12,12,F83/12,E97))</f>
        <v>664611.53622579004</v>
      </c>
      <c r="G97" s="3045">
        <f>IF('Part III-Sources of Funds'!$I$37="","",-FV('Part III-Sources of Funds'!$K$37/12,12,G83/12,F97))</f>
        <v>635032.87935073138</v>
      </c>
      <c r="H97" s="3045">
        <f>IF('Part III-Sources of Funds'!$I$37="","",-FV('Part III-Sources of Funds'!$K$37/12,12,H83/12,G97))</f>
        <v>603816.84410402295</v>
      </c>
      <c r="I97" s="3045">
        <f>IF('Part III-Sources of Funds'!$I$37="","",-FV('Part III-Sources of Funds'!$K$37/12,12,I83/12,H97))</f>
        <v>570872.79053729679</v>
      </c>
      <c r="J97" s="3045">
        <f>IF('Part III-Sources of Funds'!$I$37="","",-FV('Part III-Sources of Funds'!$K$37/12,12,J83/12,I97))</f>
        <v>536105.06116904656</v>
      </c>
      <c r="K97" s="3045">
        <f>IF('Part III-Sources of Funds'!$I$37="","",-FV('Part III-Sources of Funds'!$K$37/12,12,K83/12,J97))</f>
        <v>499412.70323028986</v>
      </c>
      <c r="M97" s="2899"/>
      <c r="N97" s="2900"/>
    </row>
    <row r="98" spans="1:14" ht="13.15" customHeight="1">
      <c r="A98" s="471" t="s">
        <v>2706</v>
      </c>
      <c r="B98" s="3041" t="str">
        <f>IF('Part III-Sources of Funds'!$I$38="","",-FV('Part III-Sources of Funds'!$K$38/12,12,B84/12,K68))</f>
        <v/>
      </c>
      <c r="C98" s="3041" t="str">
        <f>IF('Part III-Sources of Funds'!$I$38="","",-FV('Part III-Sources of Funds'!$K$38/12,12,C84/12,B98))</f>
        <v/>
      </c>
      <c r="D98" s="3041" t="str">
        <f>IF('Part III-Sources of Funds'!$I$38="","",-FV('Part III-Sources of Funds'!$K$38/12,12,D84/12,C98))</f>
        <v/>
      </c>
      <c r="E98" s="3041" t="str">
        <f>IF('Part III-Sources of Funds'!$I$38="","",-FV('Part III-Sources of Funds'!$K$38/12,12,E84/12,D98))</f>
        <v/>
      </c>
      <c r="F98" s="3041" t="str">
        <f>IF('Part III-Sources of Funds'!$I$38="","",-FV('Part III-Sources of Funds'!$K$38/12,12,F84/12,E98))</f>
        <v/>
      </c>
      <c r="G98" s="3041" t="str">
        <f>IF('Part III-Sources of Funds'!$I$38="","",-FV('Part III-Sources of Funds'!$K$38/12,12,G84/12,F98))</f>
        <v/>
      </c>
      <c r="H98" s="3041" t="str">
        <f>IF('Part III-Sources of Funds'!$I$38="","",-FV('Part III-Sources of Funds'!$K$38/12,12,H84/12,G98))</f>
        <v/>
      </c>
      <c r="I98" s="3041" t="str">
        <f>IF('Part III-Sources of Funds'!$I$38="","",-FV('Part III-Sources of Funds'!$K$38/12,12,I84/12,H98))</f>
        <v/>
      </c>
      <c r="J98" s="3041" t="str">
        <f>IF('Part III-Sources of Funds'!$I$38="","",-FV('Part III-Sources of Funds'!$K$38/12,12,J84/12,I98))</f>
        <v/>
      </c>
      <c r="K98" s="3041" t="str">
        <f>IF('Part III-Sources of Funds'!$I$38="","",-FV('Part III-Sources of Funds'!$K$38/12,12,K84/12,J98))</f>
        <v/>
      </c>
      <c r="M98" s="2899"/>
      <c r="N98" s="2900"/>
    </row>
    <row r="99" spans="1:14" ht="13.15" customHeight="1">
      <c r="A99" s="471" t="s">
        <v>2707</v>
      </c>
      <c r="B99" s="3041" t="str">
        <f>IF('Part III-Sources of Funds'!$I$39="","",-FV('Part III-Sources of Funds'!$K$39/12,12,B85/12,K69))</f>
        <v/>
      </c>
      <c r="C99" s="3041" t="str">
        <f>IF('Part III-Sources of Funds'!$I$39="","",-FV('Part III-Sources of Funds'!$K$39/12,12,C85/12,B99))</f>
        <v/>
      </c>
      <c r="D99" s="3041" t="str">
        <f>IF('Part III-Sources of Funds'!$I$39="","",-FV('Part III-Sources of Funds'!$K$39/12,12,D85/12,C99))</f>
        <v/>
      </c>
      <c r="E99" s="3041" t="str">
        <f>IF('Part III-Sources of Funds'!$I$39="","",-FV('Part III-Sources of Funds'!$K$39/12,12,E85/12,D99))</f>
        <v/>
      </c>
      <c r="F99" s="3041" t="str">
        <f>IF('Part III-Sources of Funds'!$I$39="","",-FV('Part III-Sources of Funds'!$K$39/12,12,F85/12,E99))</f>
        <v/>
      </c>
      <c r="G99" s="3041" t="str">
        <f>IF('Part III-Sources of Funds'!$I$39="","",-FV('Part III-Sources of Funds'!$K$39/12,12,G85/12,F99))</f>
        <v/>
      </c>
      <c r="H99" s="3041" t="str">
        <f>IF('Part III-Sources of Funds'!$I$39="","",-FV('Part III-Sources of Funds'!$K$39/12,12,H85/12,G99))</f>
        <v/>
      </c>
      <c r="I99" s="3041" t="str">
        <f>IF('Part III-Sources of Funds'!$I$39="","",-FV('Part III-Sources of Funds'!$K$39/12,12,I85/12,H99))</f>
        <v/>
      </c>
      <c r="J99" s="3041" t="str">
        <f>IF('Part III-Sources of Funds'!$I$39="","",-FV('Part III-Sources of Funds'!$K$39/12,12,J85/12,I99))</f>
        <v/>
      </c>
      <c r="K99" s="3041" t="str">
        <f>IF('Part III-Sources of Funds'!$I$39="","",-FV('Part III-Sources of Funds'!$K$39/12,12,K85/12,J99))</f>
        <v/>
      </c>
      <c r="M99" s="2899"/>
      <c r="N99" s="2900"/>
    </row>
    <row r="100" spans="1:14" ht="13.15" customHeight="1">
      <c r="A100" s="22" t="s">
        <v>816</v>
      </c>
      <c r="B100" s="3041" t="str">
        <f>IF('Part III-Sources of Funds'!$I$40="","",-FV('Part III-Sources of Funds'!$K$40/12,12,B86/12,K70))</f>
        <v/>
      </c>
      <c r="C100" s="3041" t="str">
        <f>IF('Part III-Sources of Funds'!$I$40="","",-FV('Part III-Sources of Funds'!$K$40/12,12,C86/12,B100))</f>
        <v/>
      </c>
      <c r="D100" s="3041" t="str">
        <f>IF('Part III-Sources of Funds'!$I$40="","",-FV('Part III-Sources of Funds'!$K$40/12,12,D86/12,C100))</f>
        <v/>
      </c>
      <c r="E100" s="3041" t="str">
        <f>IF('Part III-Sources of Funds'!$I$40="","",-FV('Part III-Sources of Funds'!$K$40/12,12,E86/12,D100))</f>
        <v/>
      </c>
      <c r="F100" s="3041" t="str">
        <f>IF('Part III-Sources of Funds'!$I$40="","",-FV('Part III-Sources of Funds'!$K$40/12,12,F86/12,E100))</f>
        <v/>
      </c>
      <c r="G100" s="3041" t="str">
        <f>IF('Part III-Sources of Funds'!$I$40="","",-FV('Part III-Sources of Funds'!$K$40/12,12,G86/12,F100))</f>
        <v/>
      </c>
      <c r="H100" s="3041" t="str">
        <f>IF('Part III-Sources of Funds'!$I$40="","",-FV('Part III-Sources of Funds'!$K$40/12,12,H86/12,G100))</f>
        <v/>
      </c>
      <c r="I100" s="3041" t="str">
        <f>IF('Part III-Sources of Funds'!$I$40="","",-FV('Part III-Sources of Funds'!$K$40/12,12,I86/12,H100))</f>
        <v/>
      </c>
      <c r="J100" s="3041" t="str">
        <f>IF('Part III-Sources of Funds'!$I$40="","",-FV('Part III-Sources of Funds'!$K$40/12,12,J86/12,I100))</f>
        <v/>
      </c>
      <c r="K100" s="3041" t="str">
        <f>IF('Part III-Sources of Funds'!$I$40="","",-FV('Part III-Sources of Funds'!$K$40/12,12,K86/12,J100))</f>
        <v/>
      </c>
      <c r="M100" s="2899"/>
      <c r="N100" s="2900"/>
    </row>
    <row r="101" spans="1:14" ht="13.15" customHeight="1">
      <c r="A101" s="27" t="s">
        <v>1284</v>
      </c>
      <c r="B101" s="3044">
        <f>IF('Part III-Sources of Funds'!$I$42="","",-FV('Part III-Sources of Funds'!$K$42/12,12,B89/12,K71))</f>
        <v>0</v>
      </c>
      <c r="C101" s="3044">
        <f>IF('Part III-Sources of Funds'!$I$42="","",-FV('Part III-Sources of Funds'!$K$42/12,12,C89/12,B101))</f>
        <v>0</v>
      </c>
      <c r="D101" s="3044">
        <f>IF('Part III-Sources of Funds'!$I$42="","",-FV('Part III-Sources of Funds'!$K$42/12,12,D89/12,C101))</f>
        <v>0</v>
      </c>
      <c r="E101" s="3044">
        <f>IF('Part III-Sources of Funds'!$I$42="","",-FV('Part III-Sources of Funds'!$K$42/12,12,E89/12,D101))</f>
        <v>0</v>
      </c>
      <c r="F101" s="3044">
        <f>IF('Part III-Sources of Funds'!$I$42="","",-FV('Part III-Sources of Funds'!$K$42/12,12,F89/12,E101))</f>
        <v>0</v>
      </c>
      <c r="G101" s="3044">
        <f>IF('Part III-Sources of Funds'!$I$42="","",-FV('Part III-Sources of Funds'!$K$42/12,12,G89/12,F101))</f>
        <v>0</v>
      </c>
      <c r="H101" s="3044">
        <f>IF('Part III-Sources of Funds'!$I$42="","",-FV('Part III-Sources of Funds'!$K$42/12,12,H89/12,G101))</f>
        <v>0</v>
      </c>
      <c r="I101" s="3044">
        <f>IF('Part III-Sources of Funds'!$I$42="","",-FV('Part III-Sources of Funds'!$K$42/12,12,I89/12,H101))</f>
        <v>0</v>
      </c>
      <c r="J101" s="3044">
        <f>IF('Part III-Sources of Funds'!$I$42="","",-FV('Part III-Sources of Funds'!$K$42/12,12,J89/12,I101))</f>
        <v>0</v>
      </c>
      <c r="K101" s="3044">
        <f>IF('Part III-Sources of Funds'!$I$42="","",-FV('Part III-Sources of Funds'!$K$42/12,12,K89/12,J101))</f>
        <v>0</v>
      </c>
      <c r="M101" s="2902"/>
      <c r="N101" s="2903"/>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18" t="s">
        <v>4157</v>
      </c>
      <c r="N103" s="1518"/>
    </row>
    <row r="104" spans="1:14" ht="13.15" customHeight="1">
      <c r="A104" s="19" t="s">
        <v>2489</v>
      </c>
      <c r="B104" s="20">
        <f>$B$14*(1+$B$5)^(B103-1)</f>
        <v>662501.87666263327</v>
      </c>
      <c r="C104" s="20">
        <f>$B$14*(1+$B$5)^(C103-1)</f>
        <v>675751.91419588588</v>
      </c>
      <c r="D104" s="20">
        <f>$B$14*(1+$B$5)^(D103-1)</f>
        <v>689266.9524798037</v>
      </c>
      <c r="E104" s="20">
        <f>$B$14*(1+$B$5)^(E103-1)</f>
        <v>703052.29152939981</v>
      </c>
      <c r="F104" s="852">
        <f>$B$14*(1+$B$5)^(F103-1)</f>
        <v>717113.33735998778</v>
      </c>
      <c r="G104" s="18"/>
      <c r="H104" s="18"/>
      <c r="I104" s="18"/>
      <c r="J104" s="18"/>
      <c r="K104" s="18"/>
      <c r="M104" s="2897"/>
      <c r="N104" s="2898"/>
    </row>
    <row r="105" spans="1:14" ht="13.15" customHeight="1">
      <c r="A105" s="22" t="s">
        <v>1053</v>
      </c>
      <c r="B105" s="23">
        <f>$B$15*(1+$B$5)^(B103-1)</f>
        <v>13250.037533252667</v>
      </c>
      <c r="C105" s="23">
        <f>$B$15*(1+$B$5)^(C103-1)</f>
        <v>13515.038283917716</v>
      </c>
      <c r="D105" s="23">
        <f>$B$15*(1+$B$5)^(D103-1)</f>
        <v>13785.339049596074</v>
      </c>
      <c r="E105" s="23">
        <f>$B$15*(1+$B$5)^(E103-1)</f>
        <v>14061.045830587997</v>
      </c>
      <c r="F105" s="24">
        <f>$B$15*(1+$B$5)^(F103-1)</f>
        <v>14342.266747199756</v>
      </c>
      <c r="G105" s="18"/>
      <c r="H105" s="18"/>
      <c r="I105" s="18"/>
      <c r="J105" s="18"/>
      <c r="K105" s="18"/>
      <c r="M105" s="2899"/>
      <c r="N105" s="2900"/>
    </row>
    <row r="106" spans="1:14" ht="13.15" customHeight="1">
      <c r="A106" s="22" t="s">
        <v>2490</v>
      </c>
      <c r="B106" s="23">
        <f>-(B104+B105)*$B$8</f>
        <v>-47302.633993712014</v>
      </c>
      <c r="C106" s="23">
        <f>-(C104+C105)*$B$8</f>
        <v>-48248.686673586257</v>
      </c>
      <c r="D106" s="23">
        <f>-(D104+D105)*$B$8</f>
        <v>-49213.660407057992</v>
      </c>
      <c r="E106" s="23">
        <f>-(E104+E105)*$B$8</f>
        <v>-50197.933615199152</v>
      </c>
      <c r="F106" s="24">
        <f>-(F104+F105)*$B$8</f>
        <v>-51201.892287503135</v>
      </c>
      <c r="G106" s="18"/>
      <c r="H106" s="18"/>
      <c r="I106" s="18"/>
      <c r="J106" s="18"/>
      <c r="K106" s="18"/>
      <c r="M106" s="2899"/>
      <c r="N106" s="2900"/>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9"/>
      <c r="N107" s="2900"/>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9"/>
      <c r="N108" s="2900"/>
    </row>
    <row r="109" spans="1:14" ht="13.15" customHeight="1">
      <c r="A109" s="22" t="s">
        <v>638</v>
      </c>
      <c r="B109" s="23">
        <f>$B$19*(1+$B$6)^(B103-1)</f>
        <v>-517497.2133825777</v>
      </c>
      <c r="C109" s="23">
        <f>$B$19*(1+$B$6)^(C103-1)</f>
        <v>-533022.12978405517</v>
      </c>
      <c r="D109" s="23">
        <f>$B$19*(1+$B$6)^(D103-1)</f>
        <v>-549012.7936775767</v>
      </c>
      <c r="E109" s="23">
        <f>$B$19*(1+$B$6)^(E103-1)</f>
        <v>-565483.17748790397</v>
      </c>
      <c r="F109" s="24">
        <f>$B$19*(1+$B$6)^(F103-1)</f>
        <v>-582447.67281254102</v>
      </c>
      <c r="G109" s="18"/>
      <c r="H109" s="18"/>
      <c r="I109" s="18"/>
      <c r="J109" s="18"/>
      <c r="K109" s="18"/>
      <c r="M109" s="2899"/>
      <c r="N109" s="2900"/>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-43991</v>
      </c>
      <c r="C110" s="23">
        <f>IF(AND('Part VII-Pro Forma'!$G$8="Yes",'Part VII-Pro Forma'!$G$9="Yes"),"Choose One!",IF('Part VII-Pro Forma'!$G$8="Yes",ROUND((-$K$8*(1+'Part VII-Pro Forma'!$B$6)^('Part VII-Pro Forma'!C103-1)),),IF('Part VII-Pro Forma'!$G$9="Yes",ROUND((-(SUM(C104:C107)*'Part VII-Pro Forma'!$K$9)),),"Choose mgt fee")))</f>
        <v>-44871</v>
      </c>
      <c r="D110" s="23">
        <f>IF(AND('Part VII-Pro Forma'!$G$8="Yes",'Part VII-Pro Forma'!$G$9="Yes"),"Choose One!",IF('Part VII-Pro Forma'!$G$8="Yes",ROUND((-$K$8*(1+'Part VII-Pro Forma'!$B$6)^('Part VII-Pro Forma'!D103-1)),),IF('Part VII-Pro Forma'!$G$9="Yes",ROUND((-(SUM(D104:D107)*'Part VII-Pro Forma'!$K$9)),),"Choose mgt fee")))</f>
        <v>-45769</v>
      </c>
      <c r="E110" s="23">
        <f>IF(AND('Part VII-Pro Forma'!$G$8="Yes",'Part VII-Pro Forma'!$G$9="Yes"),"Choose One!",IF('Part VII-Pro Forma'!$G$8="Yes",ROUND((-$K$8*(1+'Part VII-Pro Forma'!$B$6)^('Part VII-Pro Forma'!E103-1)),),IF('Part VII-Pro Forma'!$G$9="Yes",ROUND((-(SUM(E104:E107)*'Part VII-Pro Forma'!$K$9)),),"Choose mgt fee")))</f>
        <v>-46684</v>
      </c>
      <c r="F110" s="24">
        <f>IF(AND('Part VII-Pro Forma'!$G$8="Yes",'Part VII-Pro Forma'!$G$9="Yes"),"Choose One!",IF('Part VII-Pro Forma'!$G$8="Yes",ROUND((-$K$8*(1+'Part VII-Pro Forma'!$B$6)^('Part VII-Pro Forma'!F103-1)),),IF('Part VII-Pro Forma'!$G$9="Yes",ROUND((-(SUM(F104:F107)*'Part VII-Pro Forma'!$K$9)),),"Choose mgt fee")))</f>
        <v>-47618</v>
      </c>
      <c r="G110" s="18"/>
      <c r="H110" s="18"/>
      <c r="I110" s="18"/>
      <c r="J110" s="18"/>
      <c r="K110" s="18"/>
      <c r="M110" s="2899"/>
      <c r="N110" s="2900"/>
    </row>
    <row r="111" spans="1:14" ht="13.15" customHeight="1">
      <c r="A111" s="22" t="s">
        <v>1247</v>
      </c>
      <c r="B111" s="23">
        <f>$B$21*(1+$B$7)^(B103-1)</f>
        <v>-38836.199539034547</v>
      </c>
      <c r="C111" s="23">
        <f>$B$21*(1+$B$7)^(C103-1)</f>
        <v>-40001.285525205589</v>
      </c>
      <c r="D111" s="23">
        <f>$B$21*(1+$B$7)^(D103-1)</f>
        <v>-41201.324090961745</v>
      </c>
      <c r="E111" s="23">
        <f>$B$21*(1+$B$7)^(E103-1)</f>
        <v>-42437.363813690601</v>
      </c>
      <c r="F111" s="24">
        <f>$B$21*(1+$B$7)^(F103-1)</f>
        <v>-43710.484728101314</v>
      </c>
      <c r="G111" s="18"/>
      <c r="H111" s="18"/>
      <c r="I111" s="18"/>
      <c r="J111" s="18"/>
      <c r="K111" s="18"/>
      <c r="M111" s="2899"/>
      <c r="N111" s="2900"/>
    </row>
    <row r="112" spans="1:14" ht="13.15" customHeight="1">
      <c r="A112" s="22" t="s">
        <v>1248</v>
      </c>
      <c r="B112" s="23">
        <f>SUM(B104:B111)</f>
        <v>28124.867280561615</v>
      </c>
      <c r="C112" s="23">
        <f>SUM(C104:C111)</f>
        <v>23123.850496956569</v>
      </c>
      <c r="D112" s="23">
        <f>SUM(D104:D111)</f>
        <v>17855.513353803399</v>
      </c>
      <c r="E112" s="23">
        <f>SUM(E104:E111)</f>
        <v>12310.862443194033</v>
      </c>
      <c r="F112" s="24">
        <f>SUM(F104:F111)</f>
        <v>6477.5542790421532</v>
      </c>
      <c r="G112" s="18"/>
      <c r="H112" s="18"/>
      <c r="I112" s="18"/>
      <c r="J112" s="18"/>
      <c r="K112" s="18"/>
      <c r="M112" s="2899"/>
      <c r="N112" s="2900"/>
    </row>
    <row r="113" spans="1:14" ht="13.15" customHeight="1">
      <c r="A113" s="22" t="str">
        <f>$A83</f>
        <v>Mortgage A</v>
      </c>
      <c r="B113" s="3040">
        <f>IF('Part III-Sources of Funds'!$N$37="", 0,-'Part III-Sources of Funds'!$N$37)</f>
        <v>-64742.72941449302</v>
      </c>
      <c r="C113" s="3040">
        <f>IF('Part III-Sources of Funds'!$N$37="", 0,-'Part III-Sources of Funds'!$N$37)</f>
        <v>-64742.72941449302</v>
      </c>
      <c r="D113" s="3040">
        <f>IF('Part III-Sources of Funds'!$N$37="", 0,-'Part III-Sources of Funds'!$N$37)</f>
        <v>-64742.72941449302</v>
      </c>
      <c r="E113" s="3040">
        <f>IF('Part III-Sources of Funds'!$N$37="", 0,-'Part III-Sources of Funds'!$N$37)</f>
        <v>-64742.72941449302</v>
      </c>
      <c r="F113" s="3040">
        <f>IF('Part III-Sources of Funds'!$N$37="", 0,-'Part III-Sources of Funds'!$N$37)</f>
        <v>-64742.72941449302</v>
      </c>
      <c r="G113" s="18"/>
      <c r="H113" s="18"/>
      <c r="I113" s="18"/>
      <c r="J113" s="18"/>
      <c r="K113" s="18"/>
      <c r="M113" s="2899"/>
      <c r="N113" s="2900"/>
    </row>
    <row r="114" spans="1:14" ht="13.15" customHeight="1">
      <c r="A114" s="22" t="str">
        <f>$A84</f>
        <v>Mortgage B</v>
      </c>
      <c r="B114" s="3041">
        <f>IF('Part III-Sources of Funds'!$N$38="", 0,-'Part III-Sources of Funds'!$N$38)</f>
        <v>0</v>
      </c>
      <c r="C114" s="3041">
        <f>IF('Part III-Sources of Funds'!$N$38="", 0,-'Part III-Sources of Funds'!$N$38)</f>
        <v>0</v>
      </c>
      <c r="D114" s="3041">
        <f>IF('Part III-Sources of Funds'!$N$38="", 0,-'Part III-Sources of Funds'!$N$38)</f>
        <v>0</v>
      </c>
      <c r="E114" s="3041">
        <f>IF('Part III-Sources of Funds'!$N$38="", 0,-'Part III-Sources of Funds'!$N$38)</f>
        <v>0</v>
      </c>
      <c r="F114" s="3041">
        <f>IF('Part III-Sources of Funds'!$N$38="", 0,-'Part III-Sources of Funds'!$N$38)</f>
        <v>0</v>
      </c>
      <c r="G114" s="18"/>
      <c r="H114" s="18"/>
      <c r="I114" s="18"/>
      <c r="J114" s="18"/>
      <c r="K114" s="18"/>
      <c r="M114" s="2899"/>
      <c r="N114" s="2900"/>
    </row>
    <row r="115" spans="1:14" ht="13.15" customHeight="1">
      <c r="A115" s="22" t="str">
        <f>$A85</f>
        <v>Mortgage C</v>
      </c>
      <c r="B115" s="3041">
        <f>IF('Part III-Sources of Funds'!$N$39="", 0,-'Part III-Sources of Funds'!$N$39)</f>
        <v>0</v>
      </c>
      <c r="C115" s="3041">
        <f>IF('Part III-Sources of Funds'!$N$39="", 0,-'Part III-Sources of Funds'!$N$39)</f>
        <v>0</v>
      </c>
      <c r="D115" s="3041">
        <f>IF('Part III-Sources of Funds'!$N$39="", 0,-'Part III-Sources of Funds'!$N$39)</f>
        <v>0</v>
      </c>
      <c r="E115" s="3041">
        <f>IF('Part III-Sources of Funds'!$N$39="", 0,-'Part III-Sources of Funds'!$N$39)</f>
        <v>0</v>
      </c>
      <c r="F115" s="3041">
        <f>IF('Part III-Sources of Funds'!$N$39="", 0,-'Part III-Sources of Funds'!$N$39)</f>
        <v>0</v>
      </c>
      <c r="G115" s="18"/>
      <c r="H115" s="18"/>
      <c r="I115" s="18"/>
      <c r="J115" s="18"/>
      <c r="K115" s="18"/>
      <c r="M115" s="2899"/>
      <c r="N115" s="2900"/>
    </row>
    <row r="116" spans="1:14" ht="13.15" customHeight="1">
      <c r="A116" s="22" t="str">
        <f>$A86</f>
        <v>D/S Other Source</v>
      </c>
      <c r="B116" s="3041">
        <f>IF('Part III-Sources of Funds'!$N$40="", 0,-'Part III-Sources of Funds'!$N$40)</f>
        <v>0</v>
      </c>
      <c r="C116" s="3041">
        <f>IF('Part III-Sources of Funds'!$N$40="", 0,-'Part III-Sources of Funds'!$N$40)</f>
        <v>0</v>
      </c>
      <c r="D116" s="3041">
        <f>IF('Part III-Sources of Funds'!$N$40="", 0,-'Part III-Sources of Funds'!$N$40)</f>
        <v>0</v>
      </c>
      <c r="E116" s="3041">
        <f>IF('Part III-Sources of Funds'!$N$40="", 0,-'Part III-Sources of Funds'!$N$40)</f>
        <v>0</v>
      </c>
      <c r="F116" s="3041">
        <f>IF('Part III-Sources of Funds'!$N$40="", 0,-'Part III-Sources of Funds'!$N$40)</f>
        <v>0</v>
      </c>
      <c r="G116" s="18"/>
      <c r="H116" s="18"/>
      <c r="I116" s="18"/>
      <c r="J116" s="18"/>
      <c r="K116" s="18"/>
      <c r="M116" s="2899"/>
      <c r="N116" s="2900"/>
    </row>
    <row r="117" spans="1:14" ht="13.15" customHeight="1">
      <c r="A117" s="22" t="s">
        <v>794</v>
      </c>
      <c r="B117" s="3042"/>
      <c r="C117" s="3042"/>
      <c r="D117" s="3042"/>
      <c r="E117" s="3042"/>
      <c r="F117" s="3042"/>
      <c r="G117" s="18"/>
      <c r="H117" s="18"/>
      <c r="I117" s="18"/>
      <c r="J117" s="18"/>
      <c r="K117" s="18"/>
      <c r="M117" s="2899"/>
      <c r="N117" s="2900"/>
    </row>
    <row r="118" spans="1:14" ht="13.15" customHeight="1">
      <c r="A118" s="22" t="s">
        <v>1206</v>
      </c>
      <c r="B118" s="3041">
        <f>+K88</f>
        <v>-5000</v>
      </c>
      <c r="C118" s="3041">
        <f>+B118</f>
        <v>-5000</v>
      </c>
      <c r="D118" s="3041">
        <f>+C118</f>
        <v>-5000</v>
      </c>
      <c r="E118" s="3041">
        <f>+D118</f>
        <v>-5000</v>
      </c>
      <c r="F118" s="3041">
        <f>+E118</f>
        <v>-5000</v>
      </c>
      <c r="G118" s="18"/>
      <c r="H118" s="18"/>
      <c r="I118" s="18"/>
      <c r="J118" s="18"/>
      <c r="K118" s="18"/>
      <c r="M118" s="2899"/>
      <c r="N118" s="2900"/>
    </row>
    <row r="119" spans="1:14" ht="13.15" customHeight="1">
      <c r="A119" s="22" t="s">
        <v>1249</v>
      </c>
      <c r="B119" s="3044">
        <f>IF('Part III-Sources of Funds'!$N$42="", 0,-'Part III-Sources of Funds'!$N$42)</f>
        <v>0</v>
      </c>
      <c r="C119" s="3044">
        <f>IF('Part III-Sources of Funds'!$N$42="", 0,-'Part III-Sources of Funds'!$N$42)</f>
        <v>0</v>
      </c>
      <c r="D119" s="3044">
        <f>IF('Part III-Sources of Funds'!$N$42="", 0,-'Part III-Sources of Funds'!$N$42)</f>
        <v>0</v>
      </c>
      <c r="E119" s="3044">
        <f>IF('Part III-Sources of Funds'!$N$42="", 0,-'Part III-Sources of Funds'!$N$42)</f>
        <v>0</v>
      </c>
      <c r="F119" s="3044">
        <f>IF('Part III-Sources of Funds'!$N$42="", 0,-'Part III-Sources of Funds'!$N$42)</f>
        <v>0</v>
      </c>
      <c r="G119" s="18"/>
      <c r="H119" s="18"/>
      <c r="I119" s="18"/>
      <c r="J119" s="18"/>
      <c r="K119" s="18"/>
      <c r="M119" s="2899"/>
      <c r="N119" s="2900"/>
    </row>
    <row r="120" spans="1:14" ht="13.15" customHeight="1">
      <c r="A120" s="22" t="s">
        <v>1207</v>
      </c>
      <c r="B120" s="23">
        <f>SUM(B112:B119)</f>
        <v>-41617.862133931405</v>
      </c>
      <c r="C120" s="23">
        <f>SUM(C112:C119)</f>
        <v>-46618.878917536451</v>
      </c>
      <c r="D120" s="23">
        <f>SUM(D112:D119)</f>
        <v>-51887.216060689621</v>
      </c>
      <c r="E120" s="23">
        <f>SUM(E112:E119)</f>
        <v>-57431.866971298987</v>
      </c>
      <c r="F120" s="24">
        <f>SUM(F112:F119)</f>
        <v>-63265.175135450867</v>
      </c>
      <c r="G120" s="18"/>
      <c r="H120" s="18"/>
      <c r="I120" s="18"/>
      <c r="J120" s="18"/>
      <c r="K120" s="18"/>
      <c r="M120" s="2899"/>
      <c r="N120" s="2900"/>
    </row>
    <row r="121" spans="1:14" ht="13.15" customHeight="1">
      <c r="A121" s="22" t="str">
        <f>$A91</f>
        <v>DCR Mortgage A</v>
      </c>
      <c r="B121" s="25">
        <f>IF(B113=0,"",-B112/B113)</f>
        <v>0.43440966321487379</v>
      </c>
      <c r="C121" s="25">
        <f t="shared" ref="C121:F121" si="45">IF(C113=0,"",-C112/C113)</f>
        <v>0.35716520922239908</v>
      </c>
      <c r="D121" s="25">
        <f t="shared" si="45"/>
        <v>0.27579179183950719</v>
      </c>
      <c r="E121" s="25">
        <f t="shared" si="45"/>
        <v>0.19015050113778767</v>
      </c>
      <c r="F121" s="26">
        <f t="shared" si="45"/>
        <v>0.10005068271947332</v>
      </c>
      <c r="G121" s="18"/>
      <c r="H121" s="18"/>
      <c r="I121" s="18"/>
      <c r="J121" s="18"/>
      <c r="K121" s="18"/>
      <c r="M121" s="2899"/>
      <c r="N121" s="2900"/>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9"/>
      <c r="N122" s="2900"/>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9"/>
      <c r="N123" s="2900"/>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9"/>
      <c r="N124" s="2900"/>
    </row>
    <row r="125" spans="1:14" ht="13.15" customHeight="1">
      <c r="A125" s="471" t="s">
        <v>4195</v>
      </c>
      <c r="B125" s="25">
        <f>IF(AND(B113=0,B114=0,B115=0,B116=0),"",-B112/(B113+B114+B115+B116))</f>
        <v>0.43440966321487379</v>
      </c>
      <c r="C125" s="25">
        <f t="shared" ref="C125:F125" si="49">IF(AND(C113=0,C114=0,C115=0,C116=0),"",-C112/(C113+C114+C115+C116))</f>
        <v>0.35716520922239908</v>
      </c>
      <c r="D125" s="25">
        <f t="shared" si="49"/>
        <v>0.27579179183950719</v>
      </c>
      <c r="E125" s="25">
        <f t="shared" si="49"/>
        <v>0.19015050113778767</v>
      </c>
      <c r="F125" s="26">
        <f t="shared" si="49"/>
        <v>0.10005068271947332</v>
      </c>
      <c r="G125" s="18"/>
      <c r="H125" s="18"/>
      <c r="I125" s="18"/>
      <c r="J125" s="18"/>
      <c r="K125" s="18"/>
      <c r="M125" s="2899"/>
      <c r="N125" s="2900"/>
    </row>
    <row r="126" spans="1:14" ht="13.15" customHeight="1">
      <c r="A126" s="22" t="s">
        <v>801</v>
      </c>
      <c r="B126" s="293">
        <f>IF(OR(B110="Choose mgt fee",B110="Choose One!"),"",(B104+B105+B106+B107+B108) / -(B109+B110+B111))</f>
        <v>1.0468494478571773</v>
      </c>
      <c r="C126" s="293">
        <f>IF(OR(C110="Choose mgt fee",C110="Choose One!"),"",(C104+C105+C106+C107+C108) / -(C109+C110+C111))</f>
        <v>1.0374236276037274</v>
      </c>
      <c r="D126" s="293">
        <f>IF(OR(D110="Choose mgt fee",D110="Choose One!"),"",(D104+D105+D106+D107+D108) / -(D109+D110+D111))</f>
        <v>1.0280754517768533</v>
      </c>
      <c r="E126" s="293">
        <f>IF(OR(E110="Choose mgt fee",E110="Choose One!"),"",(E104+E105+E106+E107+E108) / -(E109+E110+E111))</f>
        <v>1.0188065643704756</v>
      </c>
      <c r="F126" s="853">
        <f>IF(OR(F110="Choose mgt fee",F110="Choose One!"),"",(F104+F105+F106+F107+F108) / -(F109+F110+F111))</f>
        <v>1.0096138075034979</v>
      </c>
      <c r="G126" s="18"/>
      <c r="H126" s="18"/>
      <c r="I126" s="18"/>
      <c r="J126" s="18"/>
      <c r="K126" s="18"/>
      <c r="M126" s="2899"/>
      <c r="N126" s="2900"/>
    </row>
    <row r="127" spans="1:14" ht="13.15" customHeight="1">
      <c r="A127" s="471" t="s">
        <v>2705</v>
      </c>
      <c r="B127" s="3045">
        <f>IF('Part III-Sources of Funds'!$I$37="","",-FV('Part III-Sources of Funds'!$K$37/12,12,B113/12,K97))</f>
        <v>460689.17553465313</v>
      </c>
      <c r="C127" s="3045">
        <f>IF('Part III-Sources of Funds'!$I$37="","",-FV('Part III-Sources of Funds'!$K$37/12,12,C113/12,B127))</f>
        <v>419822.03912173613</v>
      </c>
      <c r="D127" s="3045">
        <f>IF('Part III-Sources of Funds'!$I$37="","",-FV('Part III-Sources of Funds'!$K$37/12,12,D113/12,C127))</f>
        <v>376692.63077549834</v>
      </c>
      <c r="E127" s="3045">
        <f>IF('Part III-Sources of Funds'!$I$37="","",-FV('Part III-Sources of Funds'!$K$37/12,12,E113/12,D127))</f>
        <v>331175.7184696832</v>
      </c>
      <c r="F127" s="3045">
        <f>IF('Part III-Sources of Funds'!$I$37="","",-FV('Part III-Sources of Funds'!$K$37/12,12,F113/12,E127))</f>
        <v>283139.13773982052</v>
      </c>
      <c r="G127" s="18"/>
      <c r="H127" s="18"/>
      <c r="I127" s="18"/>
      <c r="J127" s="18"/>
      <c r="K127" s="18"/>
      <c r="M127" s="2899"/>
      <c r="N127" s="2900"/>
    </row>
    <row r="128" spans="1:14" ht="13.15" customHeight="1">
      <c r="A128" s="471" t="s">
        <v>2706</v>
      </c>
      <c r="B128" s="3041" t="str">
        <f>IF('Part III-Sources of Funds'!$I$38="","",-FV('Part III-Sources of Funds'!$K$38/12,12,B114/12,K98))</f>
        <v/>
      </c>
      <c r="C128" s="3041" t="str">
        <f>IF('Part III-Sources of Funds'!$I$38="","",-FV('Part III-Sources of Funds'!$K$38/12,12,C114/12,B128))</f>
        <v/>
      </c>
      <c r="D128" s="3041" t="str">
        <f>IF('Part III-Sources of Funds'!$I$38="","",-FV('Part III-Sources of Funds'!$K$38/12,12,D114/12,C128))</f>
        <v/>
      </c>
      <c r="E128" s="3041" t="str">
        <f>IF('Part III-Sources of Funds'!$I$38="","",-FV('Part III-Sources of Funds'!$K$38/12,12,E114/12,D128))</f>
        <v/>
      </c>
      <c r="F128" s="3041" t="str">
        <f>IF('Part III-Sources of Funds'!$I$38="","",-FV('Part III-Sources of Funds'!$K$38/12,12,F114/12,E128))</f>
        <v/>
      </c>
      <c r="G128" s="18"/>
      <c r="H128" s="18"/>
      <c r="I128" s="18"/>
      <c r="J128" s="18"/>
      <c r="K128" s="18"/>
      <c r="M128" s="2899"/>
      <c r="N128" s="2900"/>
    </row>
    <row r="129" spans="1:14" ht="13.15" customHeight="1">
      <c r="A129" s="471" t="s">
        <v>2707</v>
      </c>
      <c r="B129" s="3041" t="str">
        <f>IF('Part III-Sources of Funds'!$I$39="","",-FV('Part III-Sources of Funds'!$K$39/12,12,B115/12,K99))</f>
        <v/>
      </c>
      <c r="C129" s="3041" t="str">
        <f>IF('Part III-Sources of Funds'!$I$39="","",-FV('Part III-Sources of Funds'!$K$39/12,12,C115/12,B129))</f>
        <v/>
      </c>
      <c r="D129" s="3041" t="str">
        <f>IF('Part III-Sources of Funds'!$I$39="","",-FV('Part III-Sources of Funds'!$K$39/12,12,D115/12,C129))</f>
        <v/>
      </c>
      <c r="E129" s="3041" t="str">
        <f>IF('Part III-Sources of Funds'!$I$39="","",-FV('Part III-Sources of Funds'!$K$39/12,12,E115/12,D129))</f>
        <v/>
      </c>
      <c r="F129" s="3041" t="str">
        <f>IF('Part III-Sources of Funds'!$I$39="","",-FV('Part III-Sources of Funds'!$K$39/12,12,F115/12,E129))</f>
        <v/>
      </c>
      <c r="G129" s="18"/>
      <c r="H129" s="18"/>
      <c r="I129" s="18"/>
      <c r="J129" s="18"/>
      <c r="K129" s="18"/>
      <c r="M129" s="2899"/>
      <c r="N129" s="2900"/>
    </row>
    <row r="130" spans="1:14" ht="13.15" customHeight="1">
      <c r="A130" s="22" t="s">
        <v>816</v>
      </c>
      <c r="B130" s="3041" t="str">
        <f>IF('Part III-Sources of Funds'!$I$40="","",-FV('Part III-Sources of Funds'!$K$40/12,12,B116/12,K100))</f>
        <v/>
      </c>
      <c r="C130" s="3041" t="str">
        <f>IF('Part III-Sources of Funds'!$I$40="","",-FV('Part III-Sources of Funds'!$K$40/12,12,C116/12,B130))</f>
        <v/>
      </c>
      <c r="D130" s="3041" t="str">
        <f>IF('Part III-Sources of Funds'!$I$40="","",-FV('Part III-Sources of Funds'!$K$40/12,12,D116/12,C130))</f>
        <v/>
      </c>
      <c r="E130" s="3041" t="str">
        <f>IF('Part III-Sources of Funds'!$I$40="","",-FV('Part III-Sources of Funds'!$K$40/12,12,E116/12,D130))</f>
        <v/>
      </c>
      <c r="F130" s="3041" t="str">
        <f>IF('Part III-Sources of Funds'!$I$40="","",-FV('Part III-Sources of Funds'!$K$40/12,12,F116/12,E130))</f>
        <v/>
      </c>
      <c r="G130" s="18"/>
      <c r="H130" s="18"/>
      <c r="I130" s="18"/>
      <c r="J130" s="18"/>
      <c r="K130" s="18"/>
      <c r="M130" s="2899"/>
      <c r="N130" s="2900"/>
    </row>
    <row r="131" spans="1:14" ht="13.15" customHeight="1">
      <c r="A131" s="27" t="s">
        <v>1284</v>
      </c>
      <c r="B131" s="3044">
        <f>IF('Part III-Sources of Funds'!$I$42="","",-FV('Part III-Sources of Funds'!$K$42/12,12,B119/12,K101))</f>
        <v>0</v>
      </c>
      <c r="C131" s="3044">
        <f>IF('Part III-Sources of Funds'!$I$42="","",-FV('Part III-Sources of Funds'!$K$42/12,12,C119/12,B131))</f>
        <v>0</v>
      </c>
      <c r="D131" s="3044">
        <f>IF('Part III-Sources of Funds'!$I$42="","",-FV('Part III-Sources of Funds'!$K$42/12,12,D119/12,C131))</f>
        <v>0</v>
      </c>
      <c r="E131" s="3044">
        <f>IF('Part III-Sources of Funds'!$I$42="","",-FV('Part III-Sources of Funds'!$K$42/12,12,E119/12,D131))</f>
        <v>0</v>
      </c>
      <c r="F131" s="3044">
        <f>IF('Part III-Sources of Funds'!$I$42="","",-FV('Part III-Sources of Funds'!$K$42/12,12,F119/12,E131))</f>
        <v>0</v>
      </c>
      <c r="G131" s="18"/>
      <c r="H131" s="18"/>
      <c r="I131" s="18"/>
      <c r="J131" s="18"/>
      <c r="K131" s="18"/>
      <c r="M131" s="2902"/>
      <c r="N131" s="2903"/>
    </row>
    <row r="132" spans="1:14" ht="4.1500000000000004" customHeight="1"/>
    <row r="133" spans="1:14" ht="12" customHeight="1">
      <c r="A133" s="14" t="s">
        <v>592</v>
      </c>
      <c r="B133" s="14"/>
      <c r="G133" s="14" t="s">
        <v>1068</v>
      </c>
    </row>
    <row r="134" spans="1:14" ht="12" customHeight="1">
      <c r="B134" s="32"/>
    </row>
    <row r="135" spans="1:14" ht="210" customHeight="1">
      <c r="A135" s="2728" t="s">
        <v>3754</v>
      </c>
      <c r="B135" s="3046"/>
      <c r="C135" s="3046"/>
      <c r="D135" s="3046"/>
      <c r="E135" s="3046"/>
      <c r="F135" s="3047"/>
      <c r="G135" s="3048"/>
      <c r="H135" s="3049"/>
      <c r="I135" s="3049"/>
      <c r="J135" s="3049"/>
      <c r="K135" s="3050"/>
      <c r="M135" s="1532" t="s">
        <v>2796</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LfJDis0lZqIb1tDULBvGHGafDXSUCc+dsMvNvftCGubJanbaPv0ZmPNYetM58yL4MhkFLOwfjQFGajzSdsL9wg==" saltValue="JPfZXZNhrEtiOoa9Eg9U4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E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6" zoomScale="136" zoomScaleNormal="136" zoomScaleSheetLayoutView="40" workbookViewId="0">
      <pane ySplit="1620" topLeftCell="A406"/>
      <selection activeCell="A43" sqref="A1:XFD1048576"/>
      <selection pane="bottomLeft" activeCell="A5" sqref="A5:Q2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2016-028 The Village on Park, Hahira, Lowndes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2"/>
      <c r="B4" s="1723"/>
      <c r="C4" s="1723"/>
      <c r="D4" s="1723"/>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3" t="s">
        <v>4215</v>
      </c>
      <c r="L6" s="1464"/>
      <c r="M6" s="1465"/>
      <c r="N6" s="1412"/>
      <c r="P6" s="1724"/>
      <c r="Q6" s="1725"/>
    </row>
    <row r="7" spans="1:32" ht="12.6" customHeight="1">
      <c r="A7" s="137" t="s">
        <v>3694</v>
      </c>
      <c r="C7" s="138"/>
      <c r="D7" s="138"/>
      <c r="J7" s="1412"/>
      <c r="K7" s="1412"/>
      <c r="L7" s="1412"/>
      <c r="M7" s="1412"/>
      <c r="N7" s="1412"/>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2"/>
    </row>
    <row r="9" spans="1:32" ht="24.6" customHeight="1">
      <c r="A9" s="1696" t="s">
        <v>235</v>
      </c>
      <c r="B9" s="1697"/>
      <c r="C9" s="1697"/>
      <c r="D9" s="1697"/>
      <c r="E9" s="1697"/>
      <c r="F9" s="1697"/>
      <c r="G9" s="1697"/>
      <c r="H9" s="1697"/>
      <c r="I9" s="1697"/>
      <c r="J9" s="1697"/>
      <c r="K9" s="1697"/>
      <c r="L9" s="1697"/>
      <c r="M9" s="1697"/>
      <c r="N9" s="1697"/>
      <c r="O9" s="1697"/>
      <c r="P9" s="1697"/>
      <c r="Q9" s="1698"/>
      <c r="R9" s="1733"/>
      <c r="S9" s="1442"/>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2"/>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2"/>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6"/>
      <c r="S12" s="1386"/>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6"/>
      <c r="S13" s="1386"/>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0"/>
      <c r="J29" s="1420"/>
      <c r="K29" s="1420"/>
      <c r="L29" s="1412"/>
      <c r="M29" s="1412"/>
      <c r="O29" s="142" t="s">
        <v>1938</v>
      </c>
      <c r="P29" s="1711"/>
      <c r="Q29" s="1712"/>
    </row>
    <row r="30" spans="1:19" ht="3" customHeight="1"/>
    <row r="31" spans="1:19" ht="12" customHeight="1">
      <c r="B31" s="152" t="s">
        <v>2058</v>
      </c>
      <c r="C31" s="54" t="s">
        <v>3883</v>
      </c>
      <c r="E31" s="1222"/>
      <c r="F31" s="1222"/>
      <c r="G31" s="1222"/>
      <c r="H31" s="1222"/>
      <c r="I31" s="43"/>
      <c r="J31" s="34"/>
      <c r="K31" s="43"/>
      <c r="L31" s="34"/>
      <c r="M31" s="34"/>
      <c r="O31" s="70" t="s">
        <v>618</v>
      </c>
      <c r="P31" s="3051" t="s">
        <v>3156</v>
      </c>
      <c r="Q31" s="627"/>
    </row>
    <row r="32" spans="1:19" ht="12" customHeight="1">
      <c r="B32" s="48" t="s">
        <v>2061</v>
      </c>
      <c r="C32" s="54" t="s">
        <v>746</v>
      </c>
      <c r="E32" s="1222"/>
      <c r="F32" s="1222"/>
      <c r="G32" s="1222"/>
      <c r="H32" s="1222"/>
      <c r="J32" s="3052" t="s">
        <v>4154</v>
      </c>
      <c r="K32" s="3053"/>
      <c r="L32" s="3053"/>
      <c r="M32" s="3053"/>
      <c r="N32" s="3054"/>
      <c r="O32" s="70"/>
      <c r="P32" s="70"/>
      <c r="Q32" s="70"/>
    </row>
    <row r="33" spans="1:295" ht="11.25" customHeight="1">
      <c r="B33" s="71" t="s">
        <v>1936</v>
      </c>
      <c r="C33" s="71"/>
      <c r="D33" s="71"/>
      <c r="E33" s="71"/>
      <c r="F33" s="71"/>
      <c r="G33" s="1420"/>
      <c r="H33" s="1420"/>
      <c r="I33" s="1420"/>
      <c r="J33" s="1420"/>
      <c r="K33" s="1412"/>
      <c r="L33" s="1412"/>
      <c r="M33" s="1412"/>
      <c r="N33" s="1412"/>
      <c r="O33" s="1412"/>
      <c r="P33" s="1221"/>
      <c r="S33" s="171"/>
      <c r="T33" s="171"/>
    </row>
    <row r="34" spans="1:295" ht="36" customHeight="1">
      <c r="A34" s="3055" t="s">
        <v>4309</v>
      </c>
      <c r="B34" s="3056"/>
      <c r="C34" s="3056"/>
      <c r="D34" s="3056"/>
      <c r="E34" s="3056"/>
      <c r="F34" s="3056"/>
      <c r="G34" s="3056"/>
      <c r="H34" s="3056"/>
      <c r="I34" s="3056"/>
      <c r="J34" s="3056"/>
      <c r="K34" s="3056"/>
      <c r="L34" s="3056"/>
      <c r="M34" s="3056"/>
      <c r="N34" s="3056"/>
      <c r="O34" s="3056"/>
      <c r="P34" s="3056"/>
      <c r="Q34" s="3057"/>
      <c r="R34" s="500" t="s">
        <v>1301</v>
      </c>
      <c r="S34" s="501"/>
      <c r="T34" s="171"/>
      <c r="U34" s="146"/>
      <c r="V34" s="146"/>
      <c r="W34" s="146"/>
      <c r="X34" s="146"/>
      <c r="Y34" s="146"/>
      <c r="Z34" s="146"/>
      <c r="AA34" s="146"/>
      <c r="AB34" s="146"/>
      <c r="AC34" s="146"/>
      <c r="AD34" s="146"/>
      <c r="AE34" s="527"/>
    </row>
    <row r="35" spans="1:295" ht="11.25" customHeight="1">
      <c r="B35" s="147" t="s">
        <v>1937</v>
      </c>
      <c r="C35" s="148"/>
      <c r="D35" s="1419"/>
      <c r="E35" s="1419"/>
      <c r="F35" s="1419"/>
      <c r="G35" s="1419"/>
      <c r="H35" s="1419"/>
      <c r="I35" s="1419"/>
      <c r="J35" s="1419"/>
      <c r="K35" s="1419"/>
      <c r="L35" s="1419"/>
      <c r="M35" s="1419"/>
      <c r="N35" s="1419"/>
      <c r="O35" s="1419"/>
      <c r="P35" s="1419"/>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2817</v>
      </c>
      <c r="C38" s="4"/>
      <c r="D38" s="4"/>
      <c r="E38" s="1419"/>
      <c r="G38" s="824"/>
      <c r="H38" s="824"/>
      <c r="I38" s="824"/>
      <c r="J38" s="43"/>
      <c r="L38" s="825"/>
      <c r="M38" s="825"/>
      <c r="N38" s="825"/>
      <c r="O38" s="142" t="s">
        <v>1938</v>
      </c>
      <c r="P38" s="1711"/>
      <c r="Q38" s="1712"/>
    </row>
    <row r="39" spans="1:295" ht="11.25" customHeight="1">
      <c r="A39" s="1699" t="s">
        <v>3695</v>
      </c>
      <c r="B39" s="1699"/>
      <c r="C39" s="1699"/>
      <c r="D39" s="1699"/>
      <c r="E39" s="1699"/>
      <c r="F39" s="1699"/>
      <c r="G39" s="1786" t="s">
        <v>2821</v>
      </c>
      <c r="H39" s="1787"/>
      <c r="I39" s="831"/>
      <c r="J39" s="43"/>
      <c r="K39" s="1713" t="s">
        <v>4046</v>
      </c>
      <c r="L39" s="1714"/>
      <c r="M39" s="1714"/>
      <c r="N39" s="1715"/>
    </row>
    <row r="40" spans="1:295" ht="11.25" customHeight="1">
      <c r="A40" s="1699"/>
      <c r="B40" s="1699"/>
      <c r="C40" s="1699"/>
      <c r="D40" s="1699"/>
      <c r="E40" s="1699"/>
      <c r="F40" s="1699"/>
      <c r="G40" s="1721" t="s">
        <v>359</v>
      </c>
      <c r="H40" s="1722"/>
      <c r="I40" s="831"/>
      <c r="J40" s="43"/>
      <c r="K40" s="1708" t="s">
        <v>4047</v>
      </c>
      <c r="L40" s="1709"/>
      <c r="M40" s="1709"/>
      <c r="N40" s="1710"/>
      <c r="P40" s="608" t="s">
        <v>2849</v>
      </c>
      <c r="Q40" s="3051" t="s">
        <v>3153</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2820</v>
      </c>
      <c r="E42" s="36"/>
      <c r="F42" s="833" t="s">
        <v>3697</v>
      </c>
      <c r="G42" s="1796" t="s">
        <v>3696</v>
      </c>
      <c r="H42" s="1796"/>
      <c r="I42" s="1796"/>
      <c r="J42" s="36"/>
      <c r="K42" s="833" t="s">
        <v>3697</v>
      </c>
      <c r="L42" s="1796" t="s">
        <v>3696</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3545</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19"/>
      <c r="P43" s="1700" t="s">
        <v>3547</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19"/>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19"/>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19"/>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19"/>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19"/>
      <c r="P48" s="1784" t="s">
        <v>4041</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3540</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2">
        <f>'Part IV-Uses of Funds'!$G$131</f>
        <v>10550624</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4" t="s">
        <v>4048</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74" t="s">
        <v>4039</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8</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8 units = </v>
      </c>
      <c r="I58" s="1141">
        <f>F58*G58</f>
        <v>991584</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4" t="s">
        <v>4040</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40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40 units = </v>
      </c>
      <c r="I59" s="1141">
        <f>F59*G59</f>
        <v>6282240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5">
        <f>'Part IX A-Scoring Criteria'!O56</f>
        <v>2</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16</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16 units = </v>
      </c>
      <c r="I60" s="1141">
        <f>F60*G60</f>
        <v>3276880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2" t="s">
        <v>2887</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64</v>
      </c>
      <c r="G62" s="834"/>
      <c r="H62" s="816"/>
      <c r="I62" s="817">
        <f>SUM(I57:I61)</f>
        <v>10550704</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1">
        <f>IF(P53&gt;1,P53, IF(AND('Part IV-Uses of Funds'!$T$164="Yes",'Part IX A-Scoring Criteria'!$O$314&gt;0),I71+N71,I71))</f>
        <v>10550704</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5" t="s">
        <v>2846</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0</v>
      </c>
      <c r="G69" s="834"/>
      <c r="H69" s="816"/>
      <c r="I69" s="817">
        <f>SUM(I64:I68)</f>
        <v>0</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64</v>
      </c>
      <c r="G71" s="370"/>
      <c r="H71" s="823"/>
      <c r="I71" s="822">
        <f>I48+I55+I62+I69</f>
        <v>10550704</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0"/>
      <c r="J72" s="1420"/>
      <c r="K72" s="147" t="s">
        <v>1937</v>
      </c>
      <c r="L72" s="1412"/>
      <c r="M72" s="1412"/>
      <c r="N72" s="1412"/>
      <c r="O72" s="1412"/>
      <c r="P72" s="1412"/>
      <c r="Q72" s="1221"/>
    </row>
    <row r="73" spans="1:295" ht="10.5" customHeight="1">
      <c r="A73" s="3055" t="s">
        <v>4310</v>
      </c>
      <c r="B73" s="3056"/>
      <c r="C73" s="3056"/>
      <c r="D73" s="3056"/>
      <c r="E73" s="3056"/>
      <c r="F73" s="3056"/>
      <c r="G73" s="3056"/>
      <c r="H73" s="3056"/>
      <c r="I73" s="3056"/>
      <c r="J73" s="3057"/>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3058" t="str">
        <f>'Part I-Project Information'!$H$67</f>
        <v>Family</v>
      </c>
      <c r="K75" s="3059"/>
      <c r="L75" s="3060"/>
      <c r="O75" s="142" t="s">
        <v>1938</v>
      </c>
      <c r="P75" s="1711"/>
      <c r="Q75" s="1712"/>
    </row>
    <row r="76" spans="1:295" ht="10.5" customHeight="1">
      <c r="B76" s="101" t="s">
        <v>1936</v>
      </c>
      <c r="D76" s="101"/>
      <c r="E76" s="101"/>
      <c r="F76" s="101"/>
      <c r="G76" s="101"/>
      <c r="H76" s="41"/>
      <c r="I76" s="1420"/>
      <c r="J76" s="1420"/>
      <c r="K76" s="147" t="s">
        <v>1937</v>
      </c>
      <c r="L76" s="1412"/>
      <c r="M76" s="1412"/>
      <c r="N76" s="1412"/>
      <c r="O76" s="1412"/>
      <c r="P76" s="1412"/>
      <c r="Q76" s="1221"/>
    </row>
    <row r="77" spans="1:295" ht="10.5" customHeight="1">
      <c r="A77" s="3055" t="s">
        <v>4311</v>
      </c>
      <c r="B77" s="3056"/>
      <c r="C77" s="3056"/>
      <c r="D77" s="3056"/>
      <c r="E77" s="3056"/>
      <c r="F77" s="3056"/>
      <c r="G77" s="3056"/>
      <c r="H77" s="3056"/>
      <c r="I77" s="3056"/>
      <c r="J77" s="3057"/>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2745</v>
      </c>
      <c r="C79" s="121"/>
      <c r="D79" s="1419"/>
      <c r="E79" s="1419"/>
      <c r="F79" s="1419"/>
      <c r="G79" s="1419"/>
      <c r="H79" s="1419"/>
      <c r="I79" s="1419"/>
      <c r="J79" s="1419"/>
      <c r="K79" s="1419"/>
      <c r="L79" s="1419"/>
      <c r="M79" s="1419"/>
      <c r="O79" s="142" t="s">
        <v>1938</v>
      </c>
      <c r="P79" s="1711"/>
      <c r="Q79" s="1712"/>
    </row>
    <row r="80" spans="1:295" ht="1.5" customHeight="1"/>
    <row r="81" spans="1:31" ht="10.5" customHeight="1">
      <c r="B81" s="865" t="s">
        <v>2058</v>
      </c>
      <c r="C81" s="435" t="s">
        <v>4148</v>
      </c>
      <c r="D81" s="1348"/>
      <c r="E81" s="1348"/>
      <c r="F81" s="1348"/>
      <c r="G81" s="1348"/>
      <c r="H81" s="1348"/>
      <c r="I81" s="1348"/>
      <c r="J81" s="1349" t="s">
        <v>4149</v>
      </c>
      <c r="K81" s="1348"/>
      <c r="L81" s="1348"/>
      <c r="M81" s="1348"/>
      <c r="O81" s="153"/>
      <c r="P81" s="3051" t="s">
        <v>4228</v>
      </c>
    </row>
    <row r="82" spans="1:31" ht="10.5" customHeight="1">
      <c r="B82" s="121" t="s">
        <v>2061</v>
      </c>
      <c r="C82" s="1222" t="s">
        <v>3887</v>
      </c>
      <c r="D82" s="1222"/>
      <c r="E82" s="1222"/>
      <c r="F82" s="1222"/>
      <c r="G82" s="1222"/>
      <c r="H82" s="1222"/>
      <c r="I82" s="1222"/>
      <c r="J82" s="1222"/>
      <c r="K82" s="1222"/>
      <c r="L82" s="1222"/>
      <c r="M82" s="1222"/>
      <c r="O82" s="1222"/>
      <c r="P82" s="1222"/>
      <c r="Q82" s="1222"/>
    </row>
    <row r="83" spans="1:31" ht="10.9" customHeight="1">
      <c r="A83" s="154"/>
      <c r="B83" s="70" t="s">
        <v>1803</v>
      </c>
      <c r="C83" s="1222" t="s">
        <v>3755</v>
      </c>
      <c r="E83" s="1424"/>
      <c r="F83" s="1424"/>
      <c r="G83" s="1424"/>
      <c r="H83" s="34"/>
      <c r="I83" s="37" t="s">
        <v>2809</v>
      </c>
      <c r="J83" s="3061" t="s">
        <v>4226</v>
      </c>
      <c r="K83" s="3062"/>
      <c r="L83" s="3062"/>
      <c r="M83" s="3062"/>
      <c r="N83" s="3062"/>
      <c r="O83" s="3062"/>
      <c r="P83" s="3062"/>
      <c r="Q83" s="3063"/>
    </row>
    <row r="84" spans="1:31" ht="10.9" customHeight="1">
      <c r="A84" s="154"/>
      <c r="B84" s="70" t="s">
        <v>1804</v>
      </c>
      <c r="C84" s="1222" t="s">
        <v>3885</v>
      </c>
      <c r="E84" s="1424"/>
      <c r="F84" s="1424"/>
      <c r="G84" s="1424"/>
      <c r="H84" s="34"/>
      <c r="I84" s="37" t="s">
        <v>2809</v>
      </c>
      <c r="J84" s="3064" t="s">
        <v>4227</v>
      </c>
      <c r="K84" s="3065"/>
      <c r="L84" s="3065"/>
      <c r="M84" s="3065"/>
      <c r="N84" s="3065"/>
      <c r="O84" s="3065"/>
      <c r="P84" s="3065"/>
      <c r="Q84" s="3066"/>
    </row>
    <row r="85" spans="1:31" ht="10.9" customHeight="1">
      <c r="A85" s="154"/>
      <c r="B85" s="70" t="s">
        <v>1805</v>
      </c>
      <c r="C85" s="1222" t="s">
        <v>3886</v>
      </c>
      <c r="E85" s="1424"/>
      <c r="F85" s="1424"/>
      <c r="G85" s="1424"/>
      <c r="H85" s="34"/>
      <c r="I85" s="37" t="s">
        <v>2809</v>
      </c>
      <c r="J85" s="3064"/>
      <c r="K85" s="3065"/>
      <c r="L85" s="3065"/>
      <c r="M85" s="3065"/>
      <c r="N85" s="3065"/>
      <c r="O85" s="3065"/>
      <c r="P85" s="3065"/>
      <c r="Q85" s="3066"/>
    </row>
    <row r="86" spans="1:31" ht="10.9" customHeight="1">
      <c r="A86" s="154"/>
      <c r="B86" s="525" t="s">
        <v>2448</v>
      </c>
      <c r="C86" s="1222" t="s">
        <v>3558</v>
      </c>
      <c r="E86" s="1424"/>
      <c r="I86" s="37" t="s">
        <v>2809</v>
      </c>
      <c r="J86" s="3067"/>
      <c r="K86" s="3068"/>
      <c r="L86" s="3068"/>
      <c r="M86" s="3068"/>
      <c r="N86" s="3068"/>
      <c r="O86" s="3068"/>
      <c r="P86" s="3068"/>
      <c r="Q86" s="3069"/>
    </row>
    <row r="87" spans="1:31" ht="10.9" customHeight="1">
      <c r="A87" s="154"/>
      <c r="B87" s="121" t="s">
        <v>779</v>
      </c>
      <c r="C87" s="41" t="s">
        <v>3854</v>
      </c>
      <c r="D87" s="1222"/>
      <c r="E87" s="1424"/>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3070" t="s">
        <v>1799</v>
      </c>
      <c r="M88" s="3071"/>
      <c r="N88" s="3071"/>
      <c r="O88" s="3071"/>
      <c r="P88" s="3072"/>
      <c r="Q88" s="628"/>
    </row>
    <row r="89" spans="1:31" ht="10.5" customHeight="1">
      <c r="B89" s="101" t="s">
        <v>1936</v>
      </c>
      <c r="D89" s="101"/>
      <c r="E89" s="101"/>
      <c r="F89" s="101"/>
      <c r="G89" s="101"/>
      <c r="H89" s="41"/>
      <c r="I89" s="1420"/>
      <c r="J89" s="1420"/>
      <c r="K89" s="147" t="s">
        <v>1937</v>
      </c>
      <c r="L89" s="1412"/>
      <c r="M89" s="1412"/>
      <c r="N89" s="1412"/>
      <c r="O89" s="1412"/>
      <c r="P89" s="1412"/>
      <c r="Q89" s="1221"/>
    </row>
    <row r="90" spans="1:31" ht="10.5" customHeight="1">
      <c r="A90" s="3055" t="s">
        <v>4312</v>
      </c>
      <c r="B90" s="3056"/>
      <c r="C90" s="3056"/>
      <c r="D90" s="3056"/>
      <c r="E90" s="3056"/>
      <c r="F90" s="3056"/>
      <c r="G90" s="3056"/>
      <c r="H90" s="3056"/>
      <c r="I90" s="3056"/>
      <c r="J90" s="3057"/>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2746</v>
      </c>
      <c r="C92" s="1426"/>
      <c r="D92" s="1419"/>
      <c r="E92" s="1419"/>
      <c r="F92" s="1419"/>
      <c r="G92" s="1419"/>
      <c r="H92" s="1419"/>
      <c r="I92" s="1419"/>
      <c r="J92" s="1419"/>
      <c r="K92" s="1419"/>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3" t="s">
        <v>4229</v>
      </c>
      <c r="N94" s="3074"/>
      <c r="O94" s="3074"/>
      <c r="P94" s="3075"/>
      <c r="Q94" s="630"/>
    </row>
    <row r="95" spans="1:31" ht="12" customHeight="1">
      <c r="B95" s="48" t="s">
        <v>2061</v>
      </c>
      <c r="C95" s="54" t="s">
        <v>2113</v>
      </c>
      <c r="D95" s="144"/>
      <c r="E95" s="144"/>
      <c r="F95" s="144"/>
      <c r="L95" s="525" t="s">
        <v>2061</v>
      </c>
      <c r="M95" s="3076" t="s">
        <v>4353</v>
      </c>
      <c r="N95" s="3077"/>
      <c r="O95" s="3077"/>
      <c r="P95" s="3078"/>
      <c r="Q95" s="631"/>
    </row>
    <row r="96" spans="1:31" ht="12" customHeight="1">
      <c r="B96" s="48" t="s">
        <v>779</v>
      </c>
      <c r="C96" s="54" t="s">
        <v>3018</v>
      </c>
      <c r="D96" s="144"/>
      <c r="E96" s="144"/>
      <c r="F96" s="144"/>
      <c r="L96" s="525" t="s">
        <v>779</v>
      </c>
      <c r="M96" s="3079">
        <v>0.95499999999999996</v>
      </c>
      <c r="N96" s="3080"/>
      <c r="O96" s="3080"/>
      <c r="P96" s="3081"/>
      <c r="Q96" s="631"/>
    </row>
    <row r="97" spans="1:31" ht="12" customHeight="1">
      <c r="B97" s="48" t="s">
        <v>2193</v>
      </c>
      <c r="C97" s="54" t="s">
        <v>4049</v>
      </c>
      <c r="D97" s="144"/>
      <c r="E97" s="144"/>
      <c r="F97" s="144"/>
      <c r="L97" s="525" t="s">
        <v>2193</v>
      </c>
      <c r="M97" s="3082">
        <v>2.3E-2</v>
      </c>
      <c r="N97" s="3083"/>
      <c r="O97" s="3083"/>
      <c r="P97" s="3084"/>
      <c r="Q97" s="632"/>
    </row>
    <row r="98" spans="1:31" ht="12" customHeight="1">
      <c r="B98" s="152" t="s">
        <v>1801</v>
      </c>
      <c r="C98" s="1718" t="s">
        <v>3717</v>
      </c>
      <c r="D98" s="1718"/>
      <c r="E98" s="1718"/>
      <c r="F98" s="1718"/>
      <c r="G98" s="1718"/>
      <c r="H98" s="1718"/>
      <c r="I98" s="1718"/>
      <c r="J98" s="1718"/>
      <c r="K98" s="1718"/>
      <c r="L98" s="1718"/>
      <c r="M98" s="1718"/>
      <c r="N98" s="1718"/>
      <c r="O98" s="1718"/>
      <c r="P98" s="1718"/>
      <c r="Q98" s="1718"/>
    </row>
    <row r="99" spans="1:31" ht="12" customHeight="1">
      <c r="B99" s="48"/>
      <c r="C99" s="54"/>
      <c r="D99" s="1432" t="s">
        <v>2463</v>
      </c>
      <c r="E99" s="1222" t="s">
        <v>641</v>
      </c>
      <c r="F99" s="1222"/>
      <c r="H99" s="54"/>
      <c r="I99" s="1432" t="s">
        <v>2463</v>
      </c>
      <c r="J99" s="1222" t="s">
        <v>641</v>
      </c>
      <c r="K99" s="1222"/>
      <c r="M99" s="54"/>
      <c r="N99" s="1432" t="s">
        <v>2463</v>
      </c>
      <c r="O99" s="1222" t="s">
        <v>641</v>
      </c>
      <c r="P99" s="1222"/>
      <c r="Q99" s="525"/>
    </row>
    <row r="100" spans="1:31" ht="12" customHeight="1">
      <c r="B100" s="48"/>
      <c r="C100" s="54">
        <v>1</v>
      </c>
      <c r="D100" s="3085"/>
      <c r="E100" s="3086"/>
      <c r="F100" s="3086"/>
      <c r="G100" s="3086"/>
      <c r="H100" s="54">
        <v>3</v>
      </c>
      <c r="I100" s="3085"/>
      <c r="J100" s="3086"/>
      <c r="K100" s="3086"/>
      <c r="L100" s="3086"/>
      <c r="M100" s="54">
        <v>5</v>
      </c>
      <c r="N100" s="3085"/>
      <c r="O100" s="3086"/>
      <c r="P100" s="3086"/>
      <c r="Q100" s="3086"/>
    </row>
    <row r="101" spans="1:31" ht="12" customHeight="1">
      <c r="B101" s="48"/>
      <c r="C101" s="54">
        <v>2</v>
      </c>
      <c r="D101" s="3087"/>
      <c r="E101" s="3088"/>
      <c r="F101" s="3088"/>
      <c r="G101" s="3088"/>
      <c r="H101" s="54">
        <v>4</v>
      </c>
      <c r="I101" s="3087"/>
      <c r="J101" s="3088"/>
      <c r="K101" s="3088"/>
      <c r="L101" s="3088"/>
      <c r="M101" s="54">
        <v>6</v>
      </c>
      <c r="N101" s="3087"/>
      <c r="O101" s="3088"/>
      <c r="P101" s="3088"/>
      <c r="Q101" s="3088"/>
    </row>
    <row r="102" spans="1:31" ht="12" customHeight="1">
      <c r="B102" s="48" t="s">
        <v>1802</v>
      </c>
      <c r="C102" s="54" t="s">
        <v>0</v>
      </c>
      <c r="D102" s="144"/>
      <c r="E102" s="144"/>
      <c r="F102" s="144"/>
      <c r="G102" s="144"/>
      <c r="H102" s="144"/>
      <c r="I102" s="43"/>
      <c r="J102" s="43"/>
      <c r="K102" s="144"/>
      <c r="L102" s="1424"/>
      <c r="M102" s="1424"/>
      <c r="O102" s="525" t="s">
        <v>1802</v>
      </c>
      <c r="P102" s="3089"/>
      <c r="Q102" s="638"/>
    </row>
    <row r="103" spans="1:31" ht="11.25" customHeight="1">
      <c r="B103" s="151" t="s">
        <v>1936</v>
      </c>
      <c r="D103" s="151"/>
      <c r="E103" s="151"/>
      <c r="F103" s="151"/>
      <c r="G103" s="151"/>
      <c r="H103" s="41"/>
      <c r="I103" s="1420"/>
      <c r="J103" s="1420"/>
      <c r="K103" s="1420"/>
      <c r="L103" s="1412"/>
      <c r="M103" s="1412"/>
      <c r="N103" s="1412"/>
      <c r="O103" s="1412"/>
      <c r="P103" s="1412"/>
      <c r="Q103" s="1221"/>
    </row>
    <row r="104" spans="1:31" ht="44.25" customHeight="1">
      <c r="A104" s="3055" t="s">
        <v>4372</v>
      </c>
      <c r="B104" s="3056"/>
      <c r="C104" s="3056"/>
      <c r="D104" s="3056"/>
      <c r="E104" s="3056"/>
      <c r="F104" s="3056"/>
      <c r="G104" s="3056"/>
      <c r="H104" s="3056"/>
      <c r="I104" s="3056"/>
      <c r="J104" s="3056"/>
      <c r="K104" s="3056"/>
      <c r="L104" s="3056"/>
      <c r="M104" s="3056"/>
      <c r="N104" s="3056"/>
      <c r="O104" s="3056"/>
      <c r="P104" s="3056"/>
      <c r="Q104" s="3057"/>
      <c r="U104" s="146"/>
      <c r="V104" s="146"/>
      <c r="W104" s="146"/>
      <c r="X104" s="146"/>
      <c r="Y104" s="146"/>
      <c r="Z104" s="146"/>
      <c r="AA104" s="146"/>
      <c r="AB104" s="146"/>
      <c r="AC104" s="146"/>
      <c r="AD104" s="146"/>
      <c r="AE104" s="527"/>
    </row>
    <row r="105" spans="1:31" ht="11.25" customHeight="1">
      <c r="B105" s="147" t="s">
        <v>1937</v>
      </c>
      <c r="C105" s="148"/>
      <c r="D105" s="1419"/>
      <c r="E105" s="1419"/>
      <c r="F105" s="1419"/>
      <c r="G105" s="1419"/>
      <c r="H105" s="1419"/>
      <c r="I105" s="1419"/>
      <c r="J105" s="1419"/>
      <c r="K105" s="1419"/>
      <c r="L105" s="1419"/>
      <c r="M105" s="1419"/>
      <c r="N105" s="1419"/>
      <c r="O105" s="1419"/>
      <c r="P105" s="1419"/>
      <c r="Q105" s="1419"/>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6">
        <v>6</v>
      </c>
      <c r="B107" s="1426" t="s">
        <v>2747</v>
      </c>
      <c r="C107" s="1426"/>
      <c r="D107" s="1419"/>
      <c r="E107" s="1419"/>
      <c r="F107" s="1419"/>
      <c r="G107" s="1419"/>
      <c r="H107" s="1419"/>
      <c r="I107" s="1419"/>
      <c r="J107" s="1419"/>
      <c r="K107" s="1419"/>
      <c r="L107" s="1419"/>
      <c r="M107" s="1419"/>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0" t="s">
        <v>3156</v>
      </c>
      <c r="Q109" s="630"/>
    </row>
    <row r="110" spans="1:31" ht="12" customHeight="1">
      <c r="B110" s="48" t="s">
        <v>2061</v>
      </c>
      <c r="C110" s="54" t="s">
        <v>1353</v>
      </c>
      <c r="D110" s="54"/>
      <c r="E110" s="54"/>
      <c r="F110" s="54"/>
      <c r="G110" s="54"/>
      <c r="H110" s="54"/>
      <c r="I110" s="54"/>
      <c r="J110" s="54"/>
      <c r="K110" s="54"/>
      <c r="L110" s="1222"/>
      <c r="M110" s="1222"/>
      <c r="O110" s="525" t="s">
        <v>2061</v>
      </c>
      <c r="P110" s="3091" t="s">
        <v>3156</v>
      </c>
      <c r="Q110" s="631"/>
    </row>
    <row r="111" spans="1:31" ht="12" customHeight="1">
      <c r="A111" s="143"/>
      <c r="B111" s="37"/>
      <c r="D111" s="40" t="s">
        <v>573</v>
      </c>
      <c r="E111" s="43"/>
      <c r="F111" s="43"/>
      <c r="G111" s="43"/>
      <c r="H111" s="43"/>
      <c r="I111" s="43"/>
      <c r="L111" s="70" t="s">
        <v>574</v>
      </c>
      <c r="M111" s="3070"/>
      <c r="N111" s="3071"/>
      <c r="O111" s="3071"/>
      <c r="P111" s="3092"/>
      <c r="Q111" s="631"/>
    </row>
    <row r="112" spans="1:31">
      <c r="A112" s="154"/>
      <c r="B112" s="1420"/>
      <c r="C112" s="160" t="s">
        <v>1803</v>
      </c>
      <c r="D112" s="1719" t="s">
        <v>3730</v>
      </c>
      <c r="E112" s="1720"/>
      <c r="F112" s="1720"/>
      <c r="G112" s="1720"/>
      <c r="H112" s="1720"/>
      <c r="I112" s="1720"/>
      <c r="J112" s="1720"/>
      <c r="K112" s="1720"/>
      <c r="L112" s="1720"/>
      <c r="M112" s="1720"/>
      <c r="N112" s="1720"/>
      <c r="O112" s="160" t="s">
        <v>1803</v>
      </c>
      <c r="P112" s="3090"/>
      <c r="Q112" s="631"/>
    </row>
    <row r="113" spans="1:32" ht="12" customHeight="1">
      <c r="A113" s="154"/>
      <c r="B113" s="1420"/>
      <c r="C113" s="70" t="s">
        <v>1804</v>
      </c>
      <c r="D113" s="1719" t="s">
        <v>3731</v>
      </c>
      <c r="E113" s="1720"/>
      <c r="F113" s="1720"/>
      <c r="G113" s="1720"/>
      <c r="H113" s="1720"/>
      <c r="I113" s="1720"/>
      <c r="J113" s="1720"/>
      <c r="K113" s="1720"/>
      <c r="L113" s="1720"/>
      <c r="M113" s="1720"/>
      <c r="N113" s="1720"/>
      <c r="O113" s="70" t="s">
        <v>1804</v>
      </c>
      <c r="P113" s="3093"/>
      <c r="Q113" s="631"/>
    </row>
    <row r="114" spans="1:32" ht="12" customHeight="1">
      <c r="A114" s="154"/>
      <c r="B114" s="1420"/>
      <c r="C114" s="160" t="s">
        <v>1805</v>
      </c>
      <c r="D114" s="54" t="s">
        <v>3019</v>
      </c>
      <c r="E114" s="54"/>
      <c r="F114" s="54"/>
      <c r="G114" s="54"/>
      <c r="H114" s="54"/>
      <c r="I114" s="54"/>
      <c r="J114" s="54"/>
      <c r="K114" s="54"/>
      <c r="L114" s="54"/>
      <c r="M114" s="54"/>
      <c r="O114" s="160" t="s">
        <v>1805</v>
      </c>
      <c r="P114" s="3093"/>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094"/>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1"/>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90" t="s">
        <v>3153</v>
      </c>
      <c r="Q118" s="630"/>
    </row>
    <row r="119" spans="1:32" ht="12" customHeight="1">
      <c r="B119" s="48"/>
      <c r="C119" s="70" t="s">
        <v>1804</v>
      </c>
      <c r="D119" s="54" t="s">
        <v>1484</v>
      </c>
      <c r="E119" s="54"/>
      <c r="F119" s="54"/>
      <c r="G119" s="54"/>
      <c r="H119" s="54"/>
      <c r="I119" s="54"/>
      <c r="J119" s="54"/>
      <c r="K119" s="54"/>
      <c r="L119" s="1222"/>
      <c r="M119" s="1222"/>
      <c r="O119" s="70" t="s">
        <v>1804</v>
      </c>
      <c r="P119" s="3093" t="s">
        <v>3156</v>
      </c>
      <c r="Q119" s="631"/>
    </row>
    <row r="120" spans="1:32" ht="12" customHeight="1">
      <c r="B120" s="48"/>
      <c r="C120" s="70" t="s">
        <v>1805</v>
      </c>
      <c r="D120" s="54" t="s">
        <v>1485</v>
      </c>
      <c r="E120" s="54"/>
      <c r="F120" s="54"/>
      <c r="G120" s="54"/>
      <c r="H120" s="54"/>
      <c r="I120" s="54"/>
      <c r="J120" s="54"/>
      <c r="K120" s="54"/>
      <c r="L120" s="1222"/>
      <c r="M120" s="1222"/>
      <c r="O120" s="70" t="s">
        <v>1805</v>
      </c>
      <c r="P120" s="3091" t="s">
        <v>3156</v>
      </c>
      <c r="Q120" s="632"/>
    </row>
    <row r="121" spans="1:32" ht="11.25" customHeight="1">
      <c r="B121" s="151" t="s">
        <v>1936</v>
      </c>
      <c r="D121" s="151"/>
      <c r="E121" s="151"/>
      <c r="F121" s="151"/>
      <c r="G121" s="151"/>
      <c r="H121" s="41"/>
      <c r="I121" s="1420"/>
      <c r="J121" s="1420"/>
      <c r="K121" s="1420"/>
      <c r="L121" s="1412"/>
      <c r="M121" s="1412"/>
      <c r="N121" s="1412"/>
      <c r="O121" s="1412"/>
      <c r="P121" s="1412"/>
      <c r="Q121" s="1221"/>
    </row>
    <row r="122" spans="1:32" ht="24" customHeight="1">
      <c r="A122" s="3055" t="s">
        <v>4313</v>
      </c>
      <c r="B122" s="3056"/>
      <c r="C122" s="3056"/>
      <c r="D122" s="3056"/>
      <c r="E122" s="3056"/>
      <c r="F122" s="3056"/>
      <c r="G122" s="3056"/>
      <c r="H122" s="3056"/>
      <c r="I122" s="3056"/>
      <c r="J122" s="3056"/>
      <c r="K122" s="3056"/>
      <c r="L122" s="3056"/>
      <c r="M122" s="3056"/>
      <c r="N122" s="3056"/>
      <c r="O122" s="3056"/>
      <c r="P122" s="3056"/>
      <c r="Q122" s="3057"/>
      <c r="U122" s="146"/>
      <c r="V122" s="146"/>
      <c r="W122" s="146"/>
      <c r="X122" s="146"/>
      <c r="Y122" s="146"/>
      <c r="Z122" s="146"/>
      <c r="AA122" s="146"/>
      <c r="AB122" s="146"/>
      <c r="AC122" s="146"/>
      <c r="AD122" s="146"/>
      <c r="AE122" s="527"/>
    </row>
    <row r="123" spans="1:32" ht="11.25" customHeight="1">
      <c r="B123" s="147" t="s">
        <v>1937</v>
      </c>
      <c r="C123" s="148"/>
      <c r="D123" s="1419"/>
      <c r="E123" s="1419"/>
      <c r="F123" s="1419"/>
      <c r="G123" s="1419"/>
      <c r="H123" s="1419"/>
      <c r="I123" s="1419"/>
      <c r="J123" s="1419"/>
      <c r="K123" s="1419"/>
      <c r="L123" s="1419"/>
      <c r="M123" s="1419"/>
      <c r="N123" s="1419"/>
      <c r="O123" s="1419"/>
      <c r="P123" s="1419"/>
      <c r="Q123" s="1419"/>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2748</v>
      </c>
      <c r="C126" s="41"/>
      <c r="D126" s="1419"/>
      <c r="E126" s="1419"/>
      <c r="F126" s="1419"/>
      <c r="G126" s="1419"/>
      <c r="H126" s="1419"/>
      <c r="I126" s="1419"/>
      <c r="J126" s="1419"/>
      <c r="K126" s="1419"/>
      <c r="L126" s="1419"/>
      <c r="M126" s="1419"/>
      <c r="O126" s="142" t="s">
        <v>1938</v>
      </c>
      <c r="P126" s="1711"/>
      <c r="Q126" s="1712"/>
    </row>
    <row r="127" spans="1:32" ht="6.6" customHeight="1"/>
    <row r="128" spans="1:32" ht="12" customHeight="1">
      <c r="B128" s="48" t="s">
        <v>2058</v>
      </c>
      <c r="C128" s="54" t="s">
        <v>4050</v>
      </c>
      <c r="D128" s="144"/>
      <c r="E128" s="144"/>
      <c r="F128" s="144"/>
      <c r="G128" s="144"/>
      <c r="H128" s="144"/>
      <c r="I128" s="43"/>
      <c r="J128" s="43"/>
      <c r="K128" s="43"/>
      <c r="L128" s="525" t="s">
        <v>2058</v>
      </c>
      <c r="M128" s="3095" t="s">
        <v>4349</v>
      </c>
      <c r="N128" s="3096"/>
      <c r="O128" s="3096"/>
      <c r="P128" s="3097"/>
      <c r="Q128" s="628"/>
    </row>
    <row r="129" spans="2:17" ht="12" customHeight="1">
      <c r="B129" s="48" t="s">
        <v>2061</v>
      </c>
      <c r="C129" s="54" t="s">
        <v>1595</v>
      </c>
      <c r="D129" s="144"/>
      <c r="E129" s="144"/>
      <c r="F129" s="144"/>
      <c r="G129" s="144"/>
      <c r="H129" s="144"/>
      <c r="I129" s="43"/>
      <c r="J129" s="43"/>
      <c r="K129" s="144"/>
      <c r="L129" s="144"/>
      <c r="M129" s="1424"/>
      <c r="O129" s="525" t="s">
        <v>2061</v>
      </c>
      <c r="P129" s="3090" t="s">
        <v>3156</v>
      </c>
      <c r="Q129" s="1350"/>
    </row>
    <row r="130" spans="2:17" ht="12" customHeight="1">
      <c r="B130" s="48" t="s">
        <v>779</v>
      </c>
      <c r="C130" s="54" t="s">
        <v>156</v>
      </c>
      <c r="D130" s="144"/>
      <c r="E130" s="144"/>
      <c r="F130" s="144"/>
      <c r="G130" s="144"/>
      <c r="H130" s="144"/>
      <c r="I130" s="43"/>
      <c r="J130" s="43"/>
      <c r="K130" s="144"/>
      <c r="L130" s="1424"/>
      <c r="M130" s="1424"/>
      <c r="O130" s="525" t="s">
        <v>779</v>
      </c>
      <c r="P130" s="3091" t="s">
        <v>3153</v>
      </c>
      <c r="Q130" s="1264"/>
    </row>
    <row r="131" spans="2:17" ht="12" customHeight="1">
      <c r="B131" s="48"/>
      <c r="C131" s="69" t="s">
        <v>1803</v>
      </c>
      <c r="D131" s="54" t="s">
        <v>2788</v>
      </c>
      <c r="E131" s="144"/>
      <c r="F131" s="144"/>
      <c r="G131" s="144"/>
      <c r="H131" s="144"/>
      <c r="I131" s="43"/>
      <c r="J131" s="43"/>
      <c r="K131" s="144"/>
      <c r="L131" s="70" t="s">
        <v>1803</v>
      </c>
      <c r="M131" s="3095" t="s">
        <v>4349</v>
      </c>
      <c r="N131" s="3096"/>
      <c r="O131" s="3096"/>
      <c r="P131" s="3097"/>
      <c r="Q131" s="628"/>
    </row>
    <row r="132" spans="2:17" ht="12" customHeight="1">
      <c r="B132" s="149"/>
      <c r="C132" s="70" t="s">
        <v>1804</v>
      </c>
      <c r="D132" s="37" t="s">
        <v>3732</v>
      </c>
      <c r="E132" s="43"/>
      <c r="F132" s="43"/>
      <c r="G132" s="43"/>
      <c r="H132" s="54"/>
      <c r="I132" s="43"/>
      <c r="J132" s="43"/>
      <c r="K132" s="144"/>
      <c r="L132" s="1424"/>
      <c r="M132" s="1424"/>
      <c r="O132" s="525" t="s">
        <v>1804</v>
      </c>
      <c r="P132" s="3089" t="s">
        <v>4348</v>
      </c>
      <c r="Q132" s="638"/>
    </row>
    <row r="133" spans="2:17" ht="12" customHeight="1">
      <c r="B133" s="149"/>
      <c r="C133" s="525" t="s">
        <v>1805</v>
      </c>
      <c r="D133" s="54" t="s">
        <v>1433</v>
      </c>
      <c r="E133" s="43"/>
      <c r="F133" s="43"/>
      <c r="G133" s="43"/>
      <c r="H133" s="54"/>
      <c r="I133" s="43"/>
      <c r="J133" s="43"/>
      <c r="K133" s="144"/>
      <c r="L133" s="1424"/>
      <c r="M133" s="1424"/>
      <c r="N133" s="1424"/>
      <c r="O133" s="1424"/>
    </row>
    <row r="134" spans="2:17" ht="11.45" customHeight="1">
      <c r="B134" s="1412"/>
      <c r="C134" s="70"/>
      <c r="D134" s="3098" t="s">
        <v>4373</v>
      </c>
      <c r="E134" s="3099"/>
      <c r="F134" s="3099"/>
      <c r="G134" s="3099"/>
      <c r="H134" s="3099"/>
      <c r="I134" s="3099"/>
      <c r="J134" s="3099"/>
      <c r="K134" s="3099"/>
      <c r="L134" s="3099"/>
      <c r="M134" s="3099"/>
      <c r="N134" s="3099"/>
      <c r="O134" s="3099"/>
      <c r="P134" s="3099"/>
      <c r="Q134" s="3100"/>
    </row>
    <row r="135" spans="2:17" ht="12" customHeight="1">
      <c r="B135" s="48" t="s">
        <v>2193</v>
      </c>
      <c r="C135" s="54" t="s">
        <v>1307</v>
      </c>
      <c r="D135" s="144"/>
      <c r="E135" s="144"/>
      <c r="F135" s="144"/>
      <c r="G135" s="144"/>
      <c r="H135" s="144"/>
      <c r="I135" s="43"/>
      <c r="J135" s="43"/>
      <c r="K135" s="144"/>
      <c r="L135" s="1424"/>
      <c r="M135" s="1424"/>
      <c r="N135" s="1424"/>
      <c r="O135" s="525" t="s">
        <v>2193</v>
      </c>
    </row>
    <row r="136" spans="2:17" ht="12" customHeight="1">
      <c r="B136" s="48"/>
      <c r="C136" s="70" t="s">
        <v>1803</v>
      </c>
      <c r="D136" s="54" t="s">
        <v>154</v>
      </c>
      <c r="E136" s="144"/>
      <c r="F136" s="144"/>
      <c r="G136" s="144"/>
      <c r="H136" s="144"/>
      <c r="I136" s="43"/>
      <c r="J136" s="43"/>
      <c r="K136" s="144"/>
      <c r="L136" s="1424"/>
      <c r="M136" s="1424"/>
      <c r="O136" s="70" t="s">
        <v>1803</v>
      </c>
      <c r="P136" s="3090" t="s">
        <v>3156</v>
      </c>
      <c r="Q136" s="630"/>
    </row>
    <row r="137" spans="2:17" ht="12" customHeight="1">
      <c r="B137" s="48"/>
      <c r="C137" s="70" t="s">
        <v>1804</v>
      </c>
      <c r="D137" s="54" t="s">
        <v>1308</v>
      </c>
      <c r="E137" s="144"/>
      <c r="F137" s="144"/>
      <c r="G137" s="144"/>
      <c r="H137" s="43"/>
      <c r="I137" s="43"/>
      <c r="J137" s="43"/>
      <c r="K137" s="144"/>
      <c r="L137" s="1424"/>
      <c r="M137" s="1424"/>
      <c r="O137" s="70" t="s">
        <v>1804</v>
      </c>
      <c r="P137" s="3093" t="s">
        <v>3156</v>
      </c>
      <c r="Q137" s="631"/>
    </row>
    <row r="138" spans="2:17" ht="12" customHeight="1">
      <c r="B138" s="48"/>
      <c r="C138" s="70"/>
      <c r="D138" s="54" t="s">
        <v>2724</v>
      </c>
      <c r="E138" s="497" t="s">
        <v>2520</v>
      </c>
      <c r="F138" s="54" t="s">
        <v>2725</v>
      </c>
      <c r="G138" s="43"/>
      <c r="H138" s="54"/>
      <c r="I138" s="43"/>
      <c r="J138" s="43"/>
      <c r="K138" s="144"/>
      <c r="L138" s="1424"/>
      <c r="M138" s="1424"/>
      <c r="O138" s="497" t="s">
        <v>2520</v>
      </c>
      <c r="P138" s="3101"/>
      <c r="Q138" s="1144"/>
    </row>
    <row r="139" spans="2:17" ht="12" customHeight="1">
      <c r="B139" s="48"/>
      <c r="C139" s="70"/>
      <c r="E139" s="497" t="s">
        <v>2521</v>
      </c>
      <c r="F139" s="54" t="s">
        <v>2726</v>
      </c>
      <c r="G139" s="43"/>
      <c r="H139" s="54"/>
      <c r="I139" s="43"/>
      <c r="J139" s="43"/>
      <c r="K139" s="144"/>
      <c r="L139" s="1424"/>
      <c r="M139" s="1424"/>
      <c r="O139" s="497" t="s">
        <v>2521</v>
      </c>
      <c r="P139" s="3093"/>
      <c r="Q139" s="631"/>
    </row>
    <row r="140" spans="2:17" ht="12" customHeight="1">
      <c r="B140" s="48"/>
      <c r="C140" s="70"/>
      <c r="E140" s="497" t="s">
        <v>2522</v>
      </c>
      <c r="F140" s="54" t="s">
        <v>2727</v>
      </c>
      <c r="G140" s="43"/>
      <c r="H140" s="54"/>
      <c r="I140" s="43"/>
      <c r="J140" s="43"/>
      <c r="K140" s="144"/>
      <c r="L140" s="1424"/>
      <c r="M140" s="1424"/>
      <c r="O140" s="497" t="s">
        <v>2522</v>
      </c>
      <c r="P140" s="3093"/>
      <c r="Q140" s="631"/>
    </row>
    <row r="141" spans="2:17" ht="12" customHeight="1">
      <c r="B141" s="48"/>
      <c r="C141" s="70" t="s">
        <v>1805</v>
      </c>
      <c r="D141" s="54" t="s">
        <v>1309</v>
      </c>
      <c r="E141" s="144"/>
      <c r="F141" s="144"/>
      <c r="G141" s="144"/>
      <c r="H141" s="54"/>
      <c r="I141" s="43"/>
      <c r="J141" s="43"/>
      <c r="K141" s="144"/>
      <c r="L141" s="1424"/>
      <c r="M141" s="1424"/>
      <c r="O141" s="70" t="s">
        <v>1805</v>
      </c>
      <c r="P141" s="3093"/>
      <c r="Q141" s="631"/>
    </row>
    <row r="142" spans="2:17" ht="12" customHeight="1">
      <c r="B142" s="48"/>
      <c r="C142" s="70"/>
      <c r="D142" s="54" t="s">
        <v>2724</v>
      </c>
      <c r="E142" s="497" t="s">
        <v>2520</v>
      </c>
      <c r="F142" s="54" t="s">
        <v>2728</v>
      </c>
      <c r="G142" s="43"/>
      <c r="H142" s="54"/>
      <c r="I142" s="43"/>
      <c r="J142" s="43"/>
      <c r="K142" s="144"/>
      <c r="L142" s="1424"/>
      <c r="O142" s="497" t="s">
        <v>2520</v>
      </c>
      <c r="P142" s="3101"/>
      <c r="Q142" s="1144"/>
    </row>
    <row r="143" spans="2:17" ht="12" customHeight="1">
      <c r="B143" s="48"/>
      <c r="C143" s="70"/>
      <c r="E143" s="497" t="s">
        <v>2521</v>
      </c>
      <c r="F143" s="54" t="s">
        <v>2729</v>
      </c>
      <c r="G143" s="43"/>
      <c r="H143" s="54"/>
      <c r="I143" s="43"/>
      <c r="J143" s="43"/>
      <c r="O143" s="497" t="s">
        <v>2521</v>
      </c>
      <c r="P143" s="3093"/>
      <c r="Q143" s="631"/>
    </row>
    <row r="144" spans="2:17" ht="12" customHeight="1">
      <c r="B144" s="48"/>
      <c r="C144" s="70"/>
      <c r="E144" s="497" t="s">
        <v>2522</v>
      </c>
      <c r="F144" s="54" t="s">
        <v>2727</v>
      </c>
      <c r="G144" s="43"/>
      <c r="H144" s="54"/>
      <c r="I144" s="43"/>
      <c r="J144" s="43"/>
      <c r="O144" s="497" t="s">
        <v>2522</v>
      </c>
      <c r="P144" s="3093"/>
      <c r="Q144" s="631"/>
    </row>
    <row r="145" spans="1:32" ht="12" customHeight="1">
      <c r="B145" s="37"/>
      <c r="C145" s="70" t="s">
        <v>2448</v>
      </c>
      <c r="D145" s="54" t="s">
        <v>2730</v>
      </c>
      <c r="E145" s="144"/>
      <c r="F145" s="144"/>
      <c r="G145" s="144"/>
      <c r="H145" s="144"/>
      <c r="I145" s="43"/>
      <c r="J145" s="43"/>
      <c r="O145" s="70" t="s">
        <v>2448</v>
      </c>
      <c r="P145" s="3091"/>
      <c r="Q145" s="632"/>
    </row>
    <row r="146" spans="1:32" ht="12" customHeight="1">
      <c r="B146" s="48" t="s">
        <v>1801</v>
      </c>
      <c r="C146" s="156" t="s">
        <v>2499</v>
      </c>
      <c r="D146" s="144"/>
      <c r="E146" s="144"/>
      <c r="F146" s="144"/>
      <c r="G146" s="144"/>
      <c r="H146" s="144"/>
      <c r="I146" s="43"/>
      <c r="J146" s="43"/>
      <c r="K146" s="144"/>
      <c r="L146" s="1424"/>
      <c r="M146" s="1424"/>
      <c r="N146" s="1424"/>
      <c r="O146" s="1424"/>
      <c r="P146" s="1424"/>
      <c r="Q146" s="1424"/>
    </row>
    <row r="147" spans="1:32" ht="12" customHeight="1">
      <c r="C147" s="70" t="s">
        <v>1803</v>
      </c>
      <c r="D147" s="54" t="s">
        <v>2581</v>
      </c>
      <c r="E147" s="144"/>
      <c r="F147" s="3090" t="s">
        <v>3156</v>
      </c>
      <c r="G147" s="630"/>
      <c r="H147" s="70" t="s">
        <v>1606</v>
      </c>
      <c r="I147" s="57" t="s">
        <v>2732</v>
      </c>
      <c r="L147" s="3090" t="s">
        <v>3156</v>
      </c>
      <c r="M147" s="630"/>
      <c r="N147" s="525" t="s">
        <v>531</v>
      </c>
      <c r="O147" s="54" t="s">
        <v>1609</v>
      </c>
      <c r="P147" s="3090" t="s">
        <v>3156</v>
      </c>
      <c r="Q147" s="630"/>
    </row>
    <row r="148" spans="1:32" ht="12" customHeight="1">
      <c r="B148" s="37"/>
      <c r="C148" s="70" t="s">
        <v>1804</v>
      </c>
      <c r="D148" s="54" t="s">
        <v>2922</v>
      </c>
      <c r="E148" s="144"/>
      <c r="F148" s="3093" t="s">
        <v>3156</v>
      </c>
      <c r="G148" s="631"/>
      <c r="H148" s="70" t="s">
        <v>1607</v>
      </c>
      <c r="I148" s="57" t="s">
        <v>2733</v>
      </c>
      <c r="L148" s="3093" t="s">
        <v>3156</v>
      </c>
      <c r="M148" s="631"/>
      <c r="N148" s="525" t="s">
        <v>532</v>
      </c>
      <c r="O148" s="54" t="s">
        <v>1608</v>
      </c>
      <c r="P148" s="3093" t="s">
        <v>3156</v>
      </c>
      <c r="Q148" s="631"/>
    </row>
    <row r="149" spans="1:32" ht="12" customHeight="1">
      <c r="B149" s="37"/>
      <c r="C149" s="70" t="s">
        <v>1805</v>
      </c>
      <c r="D149" s="54" t="s">
        <v>2731</v>
      </c>
      <c r="E149" s="144"/>
      <c r="F149" s="3093" t="s">
        <v>3156</v>
      </c>
      <c r="G149" s="631"/>
      <c r="H149" s="525" t="s">
        <v>100</v>
      </c>
      <c r="I149" s="57" t="s">
        <v>2923</v>
      </c>
      <c r="L149" s="3093" t="s">
        <v>3156</v>
      </c>
      <c r="M149" s="631"/>
      <c r="N149" s="525" t="s">
        <v>2925</v>
      </c>
      <c r="O149" s="54" t="s">
        <v>1610</v>
      </c>
      <c r="P149" s="3091" t="s">
        <v>3156</v>
      </c>
      <c r="Q149" s="632"/>
    </row>
    <row r="150" spans="1:32" ht="12" customHeight="1">
      <c r="B150" s="37"/>
      <c r="C150" s="70" t="s">
        <v>2448</v>
      </c>
      <c r="D150" s="54" t="s">
        <v>2926</v>
      </c>
      <c r="E150" s="144"/>
      <c r="F150" s="3091" t="s">
        <v>3156</v>
      </c>
      <c r="G150" s="632"/>
      <c r="H150" s="525" t="s">
        <v>530</v>
      </c>
      <c r="I150" s="54" t="s">
        <v>2921</v>
      </c>
      <c r="L150" s="3091"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0"/>
      <c r="E152" s="3071"/>
      <c r="F152" s="3071"/>
      <c r="G152" s="3071"/>
      <c r="H152" s="3071"/>
      <c r="I152" s="3071"/>
      <c r="J152" s="3071"/>
      <c r="K152" s="3071"/>
      <c r="L152" s="3071"/>
      <c r="M152" s="3071"/>
      <c r="N152" s="3071"/>
      <c r="O152" s="3071"/>
      <c r="P152" s="3072"/>
      <c r="Q152" s="628"/>
    </row>
    <row r="153" spans="1:32" ht="12" customHeight="1">
      <c r="B153" s="48" t="s">
        <v>1802</v>
      </c>
      <c r="C153" s="54" t="s">
        <v>3857</v>
      </c>
      <c r="D153" s="144"/>
      <c r="E153" s="144"/>
      <c r="F153" s="144"/>
      <c r="G153" s="144"/>
      <c r="H153" s="144"/>
      <c r="I153" s="43"/>
      <c r="J153" s="43"/>
      <c r="K153" s="144"/>
      <c r="L153" s="144"/>
      <c r="M153" s="1424"/>
    </row>
    <row r="154" spans="1:32" ht="12" customHeight="1">
      <c r="A154" s="154"/>
      <c r="B154" s="43"/>
      <c r="C154" s="70" t="s">
        <v>1803</v>
      </c>
      <c r="D154" s="54" t="s">
        <v>2927</v>
      </c>
      <c r="E154" s="144"/>
      <c r="F154" s="144"/>
      <c r="G154" s="144"/>
      <c r="H154" s="144"/>
      <c r="O154" s="70" t="s">
        <v>1803</v>
      </c>
      <c r="P154" s="3090"/>
      <c r="Q154" s="630"/>
    </row>
    <row r="155" spans="1:32" ht="12" customHeight="1">
      <c r="A155" s="154"/>
      <c r="B155" s="1420"/>
      <c r="C155" s="70" t="s">
        <v>1804</v>
      </c>
      <c r="D155" s="54" t="s">
        <v>508</v>
      </c>
      <c r="E155" s="54"/>
      <c r="F155" s="54"/>
      <c r="G155" s="54"/>
      <c r="H155" s="54"/>
      <c r="I155" s="43"/>
      <c r="J155" s="43"/>
      <c r="K155" s="54"/>
      <c r="L155" s="54"/>
      <c r="M155" s="54"/>
      <c r="O155" s="70" t="s">
        <v>1804</v>
      </c>
      <c r="P155" s="3093"/>
      <c r="Q155" s="631"/>
    </row>
    <row r="156" spans="1:32" ht="12" customHeight="1">
      <c r="A156" s="154"/>
      <c r="B156" s="1420"/>
      <c r="C156" s="70" t="s">
        <v>1805</v>
      </c>
      <c r="D156" s="54" t="s">
        <v>707</v>
      </c>
      <c r="E156" s="54"/>
      <c r="F156" s="54"/>
      <c r="G156" s="54"/>
      <c r="H156" s="54"/>
      <c r="I156" s="43"/>
      <c r="J156" s="43"/>
      <c r="K156" s="54"/>
      <c r="L156" s="54"/>
      <c r="M156" s="54"/>
      <c r="O156" s="70" t="s">
        <v>1805</v>
      </c>
      <c r="P156" s="3093"/>
      <c r="Q156" s="631"/>
    </row>
    <row r="157" spans="1:32" ht="12" customHeight="1">
      <c r="B157" s="48" t="s">
        <v>2021</v>
      </c>
      <c r="C157" s="54" t="s">
        <v>1819</v>
      </c>
      <c r="D157" s="144"/>
      <c r="E157" s="144"/>
      <c r="F157" s="144"/>
      <c r="G157" s="144"/>
      <c r="H157" s="144"/>
      <c r="I157" s="43"/>
      <c r="J157" s="43"/>
      <c r="K157" s="144"/>
      <c r="L157" s="144"/>
      <c r="M157" s="1424"/>
      <c r="O157" s="525" t="s">
        <v>2021</v>
      </c>
      <c r="P157" s="3091"/>
      <c r="Q157" s="632"/>
    </row>
    <row r="158" spans="1:32" ht="12" customHeight="1">
      <c r="A158" s="460" t="s">
        <v>3718</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3559</v>
      </c>
      <c r="C159" s="1718" t="s">
        <v>153</v>
      </c>
      <c r="D159" s="1718"/>
      <c r="E159" s="1718"/>
      <c r="F159" s="1718"/>
      <c r="G159" s="1718"/>
      <c r="H159" s="1718"/>
      <c r="I159" s="1718"/>
      <c r="J159" s="1718"/>
      <c r="K159" s="1718"/>
      <c r="L159" s="1718"/>
      <c r="M159" s="174" t="s">
        <v>3559</v>
      </c>
      <c r="N159" s="3102" t="s">
        <v>1837</v>
      </c>
      <c r="O159" s="3103"/>
      <c r="P159" s="1765" t="s">
        <v>1837</v>
      </c>
      <c r="Q159" s="1766"/>
      <c r="AE159" s="5"/>
      <c r="AF159" s="5"/>
    </row>
    <row r="160" spans="1:32" s="1" customFormat="1" ht="12" customHeight="1">
      <c r="B160" s="48" t="s">
        <v>640</v>
      </c>
      <c r="C160" s="123" t="s">
        <v>1</v>
      </c>
      <c r="D160" s="1427"/>
      <c r="E160" s="1427"/>
      <c r="G160" s="525" t="s">
        <v>640</v>
      </c>
      <c r="H160" s="3098"/>
      <c r="I160" s="3099"/>
      <c r="J160" s="3099"/>
      <c r="K160" s="3099"/>
      <c r="L160" s="3099"/>
      <c r="M160" s="3099"/>
      <c r="N160" s="3099"/>
      <c r="O160" s="3099"/>
      <c r="P160" s="3100"/>
      <c r="Q160" s="627"/>
      <c r="AE160" s="5"/>
      <c r="AF160" s="5"/>
    </row>
    <row r="161" spans="1:32" s="1" customFormat="1" ht="12" customHeight="1">
      <c r="B161" s="48" t="s">
        <v>3560</v>
      </c>
      <c r="C161" s="1222" t="s">
        <v>1469</v>
      </c>
      <c r="D161" s="11"/>
      <c r="E161" s="11"/>
      <c r="F161" s="11"/>
      <c r="G161" s="7"/>
      <c r="H161" s="7"/>
      <c r="I161" s="1222"/>
      <c r="K161" s="7"/>
      <c r="L161" s="7"/>
      <c r="M161" s="7"/>
      <c r="O161" s="525" t="s">
        <v>3560</v>
      </c>
      <c r="P161" s="3051"/>
      <c r="Q161" s="627"/>
      <c r="AE161" s="5"/>
      <c r="AF161" s="5"/>
    </row>
    <row r="162" spans="1:32" ht="11.25" customHeight="1">
      <c r="B162" s="151" t="s">
        <v>1936</v>
      </c>
      <c r="D162" s="151"/>
      <c r="E162" s="151"/>
      <c r="F162" s="151"/>
      <c r="G162" s="151"/>
      <c r="H162" s="41"/>
      <c r="I162" s="1420"/>
      <c r="J162" s="1420"/>
      <c r="K162" s="1420"/>
      <c r="L162" s="1412"/>
      <c r="M162" s="1412"/>
      <c r="N162" s="1412"/>
      <c r="O162" s="1412"/>
      <c r="P162" s="1412"/>
      <c r="Q162" s="1221"/>
    </row>
    <row r="163" spans="1:32" ht="11.45" customHeight="1">
      <c r="A163" s="3055"/>
      <c r="B163" s="3056"/>
      <c r="C163" s="3056"/>
      <c r="D163" s="3056"/>
      <c r="E163" s="3056"/>
      <c r="F163" s="3056"/>
      <c r="G163" s="3056"/>
      <c r="H163" s="3056"/>
      <c r="I163" s="3056"/>
      <c r="J163" s="3056"/>
      <c r="K163" s="3056"/>
      <c r="L163" s="3056"/>
      <c r="M163" s="3056"/>
      <c r="N163" s="3056"/>
      <c r="O163" s="3056"/>
      <c r="P163" s="3056"/>
      <c r="Q163" s="3057"/>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19"/>
      <c r="E165" s="1419"/>
      <c r="F165" s="1419"/>
      <c r="G165" s="1419"/>
      <c r="H165" s="1419"/>
      <c r="I165" s="1419"/>
      <c r="J165" s="1419"/>
      <c r="K165" s="1419"/>
      <c r="L165" s="1419"/>
      <c r="M165" s="1419"/>
      <c r="N165" s="1419"/>
      <c r="O165" s="1419"/>
      <c r="P165" s="1419"/>
      <c r="Q165" s="1419"/>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2749</v>
      </c>
      <c r="C168" s="1426"/>
      <c r="D168" s="1419"/>
      <c r="E168" s="1419"/>
      <c r="F168" s="1419"/>
      <c r="G168" s="1419"/>
      <c r="H168" s="1419"/>
      <c r="I168" s="1419"/>
      <c r="J168" s="1419"/>
      <c r="K168" s="1419"/>
      <c r="O168" s="142" t="s">
        <v>1938</v>
      </c>
      <c r="P168" s="1711"/>
      <c r="Q168" s="1712"/>
    </row>
    <row r="169" spans="1:32" ht="12" customHeight="1">
      <c r="B169" s="48" t="s">
        <v>2058</v>
      </c>
      <c r="C169" s="54" t="s">
        <v>3889</v>
      </c>
      <c r="D169" s="54"/>
      <c r="E169" s="54"/>
      <c r="F169" s="54"/>
      <c r="G169" s="54"/>
      <c r="I169" s="54" t="s">
        <v>2811</v>
      </c>
      <c r="K169" s="3104" t="s">
        <v>4230</v>
      </c>
      <c r="L169" s="3105"/>
      <c r="N169" s="54"/>
      <c r="O169" s="525" t="s">
        <v>2058</v>
      </c>
      <c r="P169" s="3051" t="s">
        <v>3153</v>
      </c>
      <c r="Q169" s="627"/>
    </row>
    <row r="170" spans="1:32" ht="12" customHeight="1">
      <c r="A170" s="149"/>
      <c r="B170" s="48" t="s">
        <v>2061</v>
      </c>
      <c r="C170" s="150" t="s">
        <v>155</v>
      </c>
      <c r="D170" s="150"/>
      <c r="E170" s="150"/>
      <c r="F170" s="150"/>
      <c r="G170" s="150"/>
      <c r="H170" s="150"/>
      <c r="M170" s="525" t="s">
        <v>2061</v>
      </c>
      <c r="N170" s="3106" t="s">
        <v>4314</v>
      </c>
      <c r="O170" s="3107"/>
      <c r="P170" s="1734" t="s">
        <v>1837</v>
      </c>
      <c r="Q170" s="1735"/>
    </row>
    <row r="171" spans="1:32" ht="12" customHeight="1">
      <c r="A171" s="149"/>
      <c r="B171" s="48" t="s">
        <v>779</v>
      </c>
      <c r="C171" s="150" t="s">
        <v>708</v>
      </c>
      <c r="D171" s="150"/>
      <c r="E171" s="150"/>
      <c r="F171" s="150"/>
      <c r="G171" s="150"/>
      <c r="H171" s="150"/>
      <c r="J171" s="525" t="s">
        <v>779</v>
      </c>
      <c r="K171" s="3070" t="s">
        <v>4231</v>
      </c>
      <c r="L171" s="3071"/>
      <c r="M171" s="3071"/>
      <c r="N171" s="3071"/>
      <c r="O171" s="3071"/>
      <c r="P171" s="3072"/>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1" t="s">
        <v>3156</v>
      </c>
      <c r="Q172" s="627"/>
    </row>
    <row r="173" spans="1:32" ht="12" customHeight="1">
      <c r="B173" s="151" t="s">
        <v>1936</v>
      </c>
      <c r="D173" s="151"/>
      <c r="E173" s="151"/>
      <c r="F173" s="151"/>
      <c r="G173" s="151"/>
      <c r="H173" s="41"/>
      <c r="I173" s="1420"/>
      <c r="J173" s="1420"/>
      <c r="K173" s="1420"/>
      <c r="L173" s="1412"/>
      <c r="M173" s="1412"/>
      <c r="N173" s="1412"/>
      <c r="O173" s="1412"/>
      <c r="P173" s="1412"/>
      <c r="Q173" s="1221"/>
    </row>
    <row r="174" spans="1:32" ht="35.25" customHeight="1">
      <c r="A174" s="3055" t="s">
        <v>4354</v>
      </c>
      <c r="B174" s="3056"/>
      <c r="C174" s="3056"/>
      <c r="D174" s="3056"/>
      <c r="E174" s="3056"/>
      <c r="F174" s="3056"/>
      <c r="G174" s="3056"/>
      <c r="H174" s="3056"/>
      <c r="I174" s="3056"/>
      <c r="J174" s="3056"/>
      <c r="K174" s="3056"/>
      <c r="L174" s="3056"/>
      <c r="M174" s="3056"/>
      <c r="N174" s="3056"/>
      <c r="O174" s="3056"/>
      <c r="P174" s="3056"/>
      <c r="Q174" s="3057"/>
      <c r="U174" s="146"/>
      <c r="V174" s="146"/>
      <c r="W174" s="146"/>
      <c r="X174" s="146"/>
      <c r="Y174" s="146"/>
      <c r="Z174" s="146"/>
      <c r="AA174" s="146"/>
      <c r="AB174" s="146"/>
      <c r="AC174" s="146"/>
      <c r="AD174" s="146"/>
      <c r="AE174" s="527"/>
    </row>
    <row r="175" spans="1:32" ht="12" customHeight="1">
      <c r="B175" s="147" t="s">
        <v>1937</v>
      </c>
      <c r="C175" s="148"/>
      <c r="D175" s="1419"/>
      <c r="E175" s="1419"/>
      <c r="F175" s="1419"/>
      <c r="G175" s="1419"/>
      <c r="H175" s="1419"/>
      <c r="I175" s="1419"/>
      <c r="J175" s="1419"/>
      <c r="K175" s="1419"/>
      <c r="L175" s="1419"/>
      <c r="M175" s="1419"/>
      <c r="N175" s="1419"/>
      <c r="O175" s="1419"/>
      <c r="P175" s="1419"/>
      <c r="Q175" s="1419"/>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2750</v>
      </c>
      <c r="C178" s="1426"/>
      <c r="D178" s="1419"/>
      <c r="E178" s="1419"/>
      <c r="F178" s="1419"/>
      <c r="G178" s="1419"/>
      <c r="H178" s="1419"/>
      <c r="I178" s="1419"/>
      <c r="J178" s="1419"/>
      <c r="K178" s="1419"/>
      <c r="L178" s="1419"/>
      <c r="M178" s="1419"/>
      <c r="O178" s="142" t="s">
        <v>1938</v>
      </c>
      <c r="P178" s="1711"/>
      <c r="Q178" s="1712"/>
    </row>
    <row r="179" spans="1:31" ht="21.75" customHeight="1">
      <c r="B179" s="152" t="s">
        <v>2058</v>
      </c>
      <c r="C179" s="1718" t="s">
        <v>4051</v>
      </c>
      <c r="D179" s="1718"/>
      <c r="E179" s="1718"/>
      <c r="F179" s="1718"/>
      <c r="G179" s="1718"/>
      <c r="H179" s="1718"/>
      <c r="I179" s="1718"/>
      <c r="J179" s="1718"/>
      <c r="K179" s="1718"/>
      <c r="L179" s="1718"/>
      <c r="M179" s="1718"/>
      <c r="N179" s="1718"/>
      <c r="O179" s="174" t="s">
        <v>2058</v>
      </c>
      <c r="P179" s="3090" t="s">
        <v>3153</v>
      </c>
      <c r="Q179" s="630"/>
    </row>
    <row r="180" spans="1:31" ht="22.15" customHeight="1">
      <c r="B180" s="152" t="s">
        <v>2061</v>
      </c>
      <c r="C180" s="1718" t="s">
        <v>4052</v>
      </c>
      <c r="D180" s="1718"/>
      <c r="E180" s="1718"/>
      <c r="F180" s="1718"/>
      <c r="G180" s="1718"/>
      <c r="H180" s="1718"/>
      <c r="I180" s="1718"/>
      <c r="J180" s="1718"/>
      <c r="K180" s="1718"/>
      <c r="L180" s="1718"/>
      <c r="M180" s="1718"/>
      <c r="N180" s="1718"/>
      <c r="O180" s="174" t="s">
        <v>2061</v>
      </c>
      <c r="P180" s="3093"/>
      <c r="Q180" s="631"/>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091"/>
      <c r="Q181" s="632"/>
    </row>
    <row r="182" spans="1:31" ht="12" customHeight="1">
      <c r="B182" s="151" t="s">
        <v>1936</v>
      </c>
      <c r="D182" s="151"/>
      <c r="E182" s="151"/>
      <c r="F182" s="151"/>
      <c r="G182" s="151"/>
      <c r="H182" s="41"/>
      <c r="I182" s="1420"/>
      <c r="J182" s="1420"/>
      <c r="K182" s="1420"/>
      <c r="L182" s="1412"/>
      <c r="M182" s="1412"/>
      <c r="N182" s="1412"/>
      <c r="O182" s="1412"/>
      <c r="P182" s="1412"/>
      <c r="Q182" s="1221"/>
    </row>
    <row r="183" spans="1:31" ht="11.45" customHeight="1">
      <c r="A183" s="3055" t="s">
        <v>4355</v>
      </c>
      <c r="B183" s="3056"/>
      <c r="C183" s="3056"/>
      <c r="D183" s="3056"/>
      <c r="E183" s="3056"/>
      <c r="F183" s="3056"/>
      <c r="G183" s="3056"/>
      <c r="H183" s="3056"/>
      <c r="I183" s="3056"/>
      <c r="J183" s="3056"/>
      <c r="K183" s="3056"/>
      <c r="L183" s="3056"/>
      <c r="M183" s="3056"/>
      <c r="N183" s="3056"/>
      <c r="O183" s="3056"/>
      <c r="P183" s="3056"/>
      <c r="Q183" s="3057"/>
      <c r="U183" s="146"/>
      <c r="V183" s="146"/>
      <c r="W183" s="146"/>
      <c r="X183" s="146"/>
      <c r="Y183" s="146"/>
      <c r="Z183" s="146"/>
      <c r="AA183" s="146"/>
      <c r="AB183" s="146"/>
      <c r="AC183" s="146"/>
      <c r="AD183" s="146"/>
      <c r="AE183" s="527"/>
    </row>
    <row r="184" spans="1:31" ht="12" customHeight="1">
      <c r="B184" s="147" t="s">
        <v>1937</v>
      </c>
      <c r="C184" s="148"/>
      <c r="D184" s="1419"/>
      <c r="E184" s="1419"/>
      <c r="F184" s="1419"/>
      <c r="G184" s="1419"/>
      <c r="H184" s="1419"/>
      <c r="I184" s="1419"/>
      <c r="J184" s="1419"/>
      <c r="K184" s="1419"/>
      <c r="L184" s="1419"/>
      <c r="M184" s="1419"/>
      <c r="N184" s="1419"/>
      <c r="O184" s="1419"/>
      <c r="P184" s="1419"/>
      <c r="Q184" s="1419"/>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0"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3"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3"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3"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3" t="s">
        <v>3153</v>
      </c>
      <c r="Q192" s="631"/>
    </row>
    <row r="193" spans="1:32" s="143" customFormat="1" ht="21.75" customHeight="1">
      <c r="B193" s="152"/>
      <c r="C193" s="1178"/>
      <c r="D193" s="1178"/>
      <c r="E193" s="174" t="s">
        <v>1805</v>
      </c>
      <c r="F193" s="1718" t="s">
        <v>3733</v>
      </c>
      <c r="G193" s="1718"/>
      <c r="H193" s="1718"/>
      <c r="I193" s="1718"/>
      <c r="J193" s="1718"/>
      <c r="K193" s="1718"/>
      <c r="L193" s="1718"/>
      <c r="M193" s="1718"/>
      <c r="N193" s="1718"/>
      <c r="O193" s="174" t="s">
        <v>1805</v>
      </c>
      <c r="P193" s="3094"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3" t="s">
        <v>3153</v>
      </c>
      <c r="Q194" s="631"/>
    </row>
    <row r="195" spans="1:32" s="143" customFormat="1" ht="21.75" customHeight="1">
      <c r="B195" s="152"/>
      <c r="C195" s="1178"/>
      <c r="D195" s="1178"/>
      <c r="E195" s="174" t="s">
        <v>1606</v>
      </c>
      <c r="F195" s="1718" t="s">
        <v>2740</v>
      </c>
      <c r="G195" s="1718"/>
      <c r="H195" s="1718"/>
      <c r="I195" s="1718"/>
      <c r="J195" s="1718"/>
      <c r="K195" s="1718"/>
      <c r="L195" s="1718"/>
      <c r="M195" s="1718"/>
      <c r="N195" s="1718"/>
      <c r="O195" s="174" t="s">
        <v>1606</v>
      </c>
      <c r="P195" s="3094" t="s">
        <v>4315</v>
      </c>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093"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1" t="s">
        <v>3153</v>
      </c>
      <c r="Q197" s="632"/>
    </row>
    <row r="198" spans="1:32" ht="12" customHeight="1">
      <c r="B198" s="151" t="s">
        <v>1936</v>
      </c>
      <c r="D198" s="151"/>
      <c r="E198" s="151"/>
      <c r="F198" s="151"/>
      <c r="G198" s="151"/>
      <c r="H198" s="41"/>
      <c r="I198" s="1420"/>
      <c r="J198" s="1420"/>
      <c r="K198" s="1420"/>
      <c r="L198" s="1412"/>
      <c r="M198" s="1412"/>
      <c r="N198" s="1412"/>
      <c r="O198" s="1412"/>
      <c r="P198" s="1412"/>
      <c r="Q198" s="1221"/>
    </row>
    <row r="199" spans="1:32" ht="11.45" customHeight="1">
      <c r="A199" s="3055" t="s">
        <v>4316</v>
      </c>
      <c r="B199" s="3056"/>
      <c r="C199" s="3056"/>
      <c r="D199" s="3056"/>
      <c r="E199" s="3056"/>
      <c r="F199" s="3056"/>
      <c r="G199" s="3056"/>
      <c r="H199" s="3056"/>
      <c r="I199" s="3056"/>
      <c r="J199" s="3056"/>
      <c r="K199" s="3056"/>
      <c r="L199" s="3056"/>
      <c r="M199" s="3056"/>
      <c r="N199" s="3056"/>
      <c r="O199" s="3056"/>
      <c r="P199" s="3056"/>
      <c r="Q199" s="3057"/>
      <c r="U199" s="146"/>
      <c r="V199" s="146"/>
      <c r="W199" s="146"/>
      <c r="X199" s="146"/>
      <c r="Y199" s="146"/>
      <c r="Z199" s="146"/>
      <c r="AA199" s="146"/>
      <c r="AB199" s="146"/>
      <c r="AC199" s="146"/>
      <c r="AD199" s="146"/>
      <c r="AE199" s="527"/>
    </row>
    <row r="200" spans="1:32" ht="12" customHeight="1">
      <c r="B200" s="147" t="s">
        <v>1937</v>
      </c>
      <c r="C200" s="148"/>
      <c r="D200" s="1419"/>
      <c r="E200" s="1419"/>
      <c r="F200" s="1419"/>
      <c r="G200" s="1419"/>
      <c r="H200" s="1419"/>
      <c r="I200" s="1419"/>
      <c r="J200" s="1419"/>
      <c r="K200" s="1419"/>
      <c r="L200" s="1419"/>
      <c r="M200" s="1419"/>
      <c r="N200" s="1419"/>
      <c r="O200" s="1419"/>
      <c r="P200" s="1419"/>
      <c r="Q200" s="1419"/>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2752</v>
      </c>
      <c r="C203" s="1426"/>
      <c r="D203" s="1419"/>
      <c r="E203" s="157"/>
      <c r="F203" s="157"/>
      <c r="G203" s="1419"/>
      <c r="J203" s="1223"/>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1803</v>
      </c>
      <c r="I204" s="54" t="s">
        <v>157</v>
      </c>
      <c r="K204" s="3073" t="s">
        <v>4315</v>
      </c>
      <c r="L204" s="3074"/>
      <c r="M204" s="3074"/>
      <c r="N204" s="3108"/>
      <c r="O204" s="70" t="s">
        <v>1803</v>
      </c>
      <c r="P204" s="3090" t="s">
        <v>3156</v>
      </c>
      <c r="Q204" s="630"/>
    </row>
    <row r="205" spans="1:32" ht="12" customHeight="1">
      <c r="A205" s="149"/>
      <c r="B205" s="1420"/>
      <c r="C205" s="110"/>
      <c r="D205" s="110"/>
      <c r="E205" s="110"/>
      <c r="F205" s="110"/>
      <c r="H205" s="70" t="s">
        <v>1804</v>
      </c>
      <c r="I205" s="54" t="s">
        <v>1653</v>
      </c>
      <c r="K205" s="3109" t="s">
        <v>4232</v>
      </c>
      <c r="L205" s="3110"/>
      <c r="M205" s="3110"/>
      <c r="N205" s="3111"/>
      <c r="O205" s="70" t="s">
        <v>1804</v>
      </c>
      <c r="P205" s="3091" t="s">
        <v>3153</v>
      </c>
      <c r="Q205" s="632"/>
    </row>
    <row r="206" spans="1:32" ht="12" customHeight="1">
      <c r="B206" s="151" t="s">
        <v>1936</v>
      </c>
      <c r="D206" s="151"/>
      <c r="E206" s="151"/>
      <c r="F206" s="151"/>
      <c r="G206" s="151"/>
      <c r="J206" s="1420"/>
      <c r="K206" s="1420"/>
      <c r="L206" s="1412"/>
      <c r="M206" s="1412"/>
      <c r="N206" s="1412"/>
      <c r="O206" s="1412"/>
      <c r="P206" s="1412"/>
      <c r="Q206" s="1221"/>
    </row>
    <row r="207" spans="1:32" ht="11.45" customHeight="1">
      <c r="A207" s="3055" t="s">
        <v>4374</v>
      </c>
      <c r="B207" s="3056"/>
      <c r="C207" s="3056"/>
      <c r="D207" s="3056"/>
      <c r="E207" s="3056"/>
      <c r="F207" s="3056"/>
      <c r="G207" s="3056"/>
      <c r="H207" s="3056"/>
      <c r="I207" s="3056"/>
      <c r="J207" s="3056"/>
      <c r="K207" s="3056"/>
      <c r="L207" s="3056"/>
      <c r="M207" s="3056"/>
      <c r="N207" s="3056"/>
      <c r="O207" s="3056"/>
      <c r="P207" s="3056"/>
      <c r="Q207" s="3057"/>
      <c r="U207" s="146"/>
      <c r="V207" s="146"/>
      <c r="W207" s="146"/>
      <c r="X207" s="146"/>
      <c r="Y207" s="146"/>
      <c r="Z207" s="146"/>
      <c r="AA207" s="146"/>
      <c r="AB207" s="146"/>
      <c r="AC207" s="146"/>
      <c r="AD207" s="146"/>
      <c r="AE207" s="527"/>
    </row>
    <row r="208" spans="1:32" ht="12" customHeight="1">
      <c r="B208" s="147" t="s">
        <v>1937</v>
      </c>
      <c r="C208" s="148"/>
      <c r="D208" s="1419"/>
      <c r="E208" s="1419"/>
      <c r="F208" s="1419"/>
      <c r="G208" s="1419"/>
      <c r="H208" s="1419"/>
      <c r="I208" s="1419"/>
      <c r="J208" s="1419"/>
      <c r="K208" s="1419"/>
      <c r="L208" s="1419"/>
      <c r="M208" s="1419"/>
      <c r="N208" s="1419"/>
      <c r="O208" s="1419"/>
      <c r="P208" s="1419"/>
      <c r="Q208" s="1419"/>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2753</v>
      </c>
      <c r="C211" s="4"/>
      <c r="D211" s="92"/>
      <c r="E211" s="92"/>
      <c r="F211" s="92"/>
      <c r="G211" s="1419"/>
      <c r="H211" s="1419"/>
      <c r="I211" s="1419"/>
      <c r="J211" s="1419"/>
      <c r="K211" s="1419"/>
      <c r="L211" s="1419"/>
      <c r="M211" s="1419"/>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0"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3"/>
      <c r="Q214" s="631"/>
    </row>
    <row r="215" spans="1:31" ht="11.45" customHeight="1">
      <c r="A215" s="149"/>
      <c r="B215" s="152" t="s">
        <v>2061</v>
      </c>
      <c r="C215" s="1718" t="s">
        <v>1919</v>
      </c>
      <c r="D215" s="1718"/>
      <c r="E215" s="1718"/>
      <c r="F215" s="1718"/>
      <c r="G215" s="1718"/>
      <c r="H215" s="70" t="s">
        <v>1803</v>
      </c>
      <c r="I215" s="54" t="s">
        <v>659</v>
      </c>
      <c r="K215" s="3073" t="s">
        <v>4265</v>
      </c>
      <c r="L215" s="3074"/>
      <c r="M215" s="3074"/>
      <c r="N215" s="3108"/>
      <c r="O215" s="70" t="s">
        <v>1502</v>
      </c>
      <c r="P215" s="3093" t="s">
        <v>3153</v>
      </c>
      <c r="Q215" s="631"/>
    </row>
    <row r="216" spans="1:31" ht="11.45" customHeight="1">
      <c r="A216" s="149"/>
      <c r="B216" s="161"/>
      <c r="C216" s="1718"/>
      <c r="D216" s="1718"/>
      <c r="E216" s="1718"/>
      <c r="F216" s="1718"/>
      <c r="G216" s="1718"/>
      <c r="H216" s="70" t="s">
        <v>1804</v>
      </c>
      <c r="I216" s="54" t="s">
        <v>118</v>
      </c>
      <c r="K216" s="3109" t="s">
        <v>4265</v>
      </c>
      <c r="L216" s="3110"/>
      <c r="M216" s="3110"/>
      <c r="N216" s="3111"/>
      <c r="O216" s="70" t="s">
        <v>1804</v>
      </c>
      <c r="P216" s="3091" t="s">
        <v>3153</v>
      </c>
      <c r="Q216" s="632"/>
    </row>
    <row r="217" spans="1:31" ht="11.25" customHeight="1">
      <c r="B217" s="151" t="s">
        <v>1936</v>
      </c>
      <c r="D217" s="151"/>
      <c r="E217" s="151"/>
      <c r="F217" s="151"/>
      <c r="G217" s="151"/>
      <c r="H217" s="41"/>
      <c r="I217" s="1420"/>
      <c r="J217" s="1420"/>
      <c r="K217" s="1420"/>
      <c r="L217" s="1412"/>
      <c r="M217" s="1412"/>
      <c r="N217" s="1412"/>
      <c r="O217" s="1412"/>
      <c r="P217" s="1412"/>
      <c r="Q217" s="1221"/>
    </row>
    <row r="218" spans="1:31" ht="11.45" customHeight="1">
      <c r="A218" s="3055" t="s">
        <v>4375</v>
      </c>
      <c r="B218" s="3056"/>
      <c r="C218" s="3056"/>
      <c r="D218" s="3056"/>
      <c r="E218" s="3056"/>
      <c r="F218" s="3056"/>
      <c r="G218" s="3056"/>
      <c r="H218" s="3056"/>
      <c r="I218" s="3056"/>
      <c r="J218" s="3056"/>
      <c r="K218" s="3056"/>
      <c r="L218" s="3056"/>
      <c r="M218" s="3056"/>
      <c r="N218" s="3056"/>
      <c r="O218" s="3056"/>
      <c r="P218" s="3056"/>
      <c r="Q218" s="3057"/>
      <c r="U218" s="146"/>
      <c r="V218" s="146"/>
      <c r="W218" s="146"/>
      <c r="X218" s="146"/>
      <c r="Y218" s="146"/>
      <c r="Z218" s="146"/>
      <c r="AA218" s="146"/>
      <c r="AB218" s="146"/>
      <c r="AC218" s="146"/>
      <c r="AD218" s="146"/>
      <c r="AE218" s="527"/>
    </row>
    <row r="219" spans="1:31" ht="11.25" customHeight="1">
      <c r="B219" s="147" t="s">
        <v>1937</v>
      </c>
      <c r="C219" s="148"/>
      <c r="D219" s="1419"/>
      <c r="E219" s="1419"/>
      <c r="F219" s="1419"/>
      <c r="G219" s="1419"/>
      <c r="H219" s="1419"/>
      <c r="I219" s="1419"/>
      <c r="J219" s="1419"/>
      <c r="K219" s="1419"/>
      <c r="L219" s="1419"/>
      <c r="M219" s="1419"/>
      <c r="N219" s="1419"/>
      <c r="O219" s="1419"/>
      <c r="P219" s="1419"/>
      <c r="Q219" s="1419"/>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2754</v>
      </c>
      <c r="C222" s="4"/>
      <c r="D222" s="92"/>
      <c r="E222" s="92"/>
      <c r="F222" s="92"/>
      <c r="G222" s="92"/>
      <c r="H222" s="1419"/>
      <c r="I222" s="1419"/>
      <c r="J222" s="1419"/>
      <c r="K222" s="1419"/>
      <c r="L222" s="1419"/>
      <c r="M222" s="1419"/>
      <c r="O222" s="142" t="s">
        <v>1938</v>
      </c>
      <c r="P222" s="1711"/>
      <c r="Q222" s="1712"/>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1" t="s">
        <v>3153</v>
      </c>
      <c r="Q224" s="627"/>
    </row>
    <row r="225" spans="1:32" ht="11.45" customHeight="1">
      <c r="B225" s="48"/>
      <c r="C225" s="54"/>
      <c r="D225" s="37" t="s">
        <v>3047</v>
      </c>
      <c r="E225" s="54"/>
      <c r="F225" s="54"/>
      <c r="G225" s="3112" t="s">
        <v>4357</v>
      </c>
      <c r="H225" s="3113"/>
      <c r="L225" s="1797" t="s">
        <v>3853</v>
      </c>
      <c r="M225" s="3112" t="s">
        <v>4376</v>
      </c>
      <c r="N225" s="3113"/>
    </row>
    <row r="226" spans="1:32" ht="11.45" customHeight="1">
      <c r="B226" s="48"/>
      <c r="C226" s="54"/>
      <c r="D226" s="57" t="s">
        <v>3049</v>
      </c>
      <c r="E226" s="54"/>
      <c r="F226" s="54"/>
      <c r="G226" s="3114" t="s">
        <v>4358</v>
      </c>
      <c r="H226" s="3115"/>
      <c r="I226" s="3071"/>
      <c r="J226" s="3071"/>
      <c r="K226" s="3072"/>
      <c r="L226" s="1797"/>
      <c r="M226" s="3114" t="s">
        <v>4377</v>
      </c>
      <c r="N226" s="3115"/>
      <c r="O226" s="3071"/>
      <c r="P226" s="3071"/>
      <c r="Q226" s="3072"/>
    </row>
    <row r="227" spans="1:32" ht="11.45" customHeight="1">
      <c r="B227" s="48"/>
      <c r="C227" s="54"/>
      <c r="D227" s="37" t="s">
        <v>3048</v>
      </c>
      <c r="E227" s="43"/>
      <c r="G227" s="3112" t="s">
        <v>4356</v>
      </c>
      <c r="H227" s="3113"/>
      <c r="I227" s="37"/>
      <c r="J227" s="43"/>
      <c r="K227" s="43"/>
      <c r="L227" s="1797"/>
      <c r="M227" s="3112" t="s">
        <v>4239</v>
      </c>
      <c r="N227" s="3113"/>
    </row>
    <row r="228" spans="1:32" ht="11.45" customHeight="1">
      <c r="B228" s="48" t="s">
        <v>2061</v>
      </c>
      <c r="C228" s="54" t="s">
        <v>2928</v>
      </c>
      <c r="D228" s="54"/>
      <c r="E228" s="54"/>
      <c r="F228" s="54"/>
      <c r="G228" s="54"/>
      <c r="H228" s="54"/>
      <c r="I228" s="43"/>
      <c r="J228" s="43"/>
      <c r="K228" s="43"/>
      <c r="L228" s="150"/>
      <c r="M228" s="150"/>
      <c r="O228" s="174" t="s">
        <v>2061</v>
      </c>
      <c r="P228" s="3090" t="s">
        <v>3153</v>
      </c>
      <c r="Q228" s="630"/>
    </row>
    <row r="229" spans="1:32" ht="11.45" customHeight="1">
      <c r="B229" s="48" t="s">
        <v>779</v>
      </c>
      <c r="C229" s="54" t="s">
        <v>2929</v>
      </c>
      <c r="D229" s="54"/>
      <c r="E229" s="54"/>
      <c r="F229" s="54"/>
      <c r="G229" s="54"/>
      <c r="H229" s="54"/>
      <c r="I229" s="43"/>
      <c r="J229" s="43"/>
      <c r="K229" s="43"/>
      <c r="L229" s="150"/>
      <c r="M229" s="150"/>
      <c r="O229" s="174" t="s">
        <v>779</v>
      </c>
      <c r="P229" s="3093"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3" t="s">
        <v>3156</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1" t="s">
        <v>3153</v>
      </c>
      <c r="Q231" s="632"/>
      <c r="AE231" s="529"/>
      <c r="AF231" s="529"/>
    </row>
    <row r="232" spans="1:32" ht="11.25" customHeight="1">
      <c r="B232" s="151" t="s">
        <v>1936</v>
      </c>
      <c r="D232" s="151"/>
      <c r="E232" s="151"/>
      <c r="F232" s="151"/>
      <c r="G232" s="151"/>
      <c r="H232" s="41"/>
      <c r="I232" s="1420"/>
      <c r="J232" s="1420"/>
      <c r="K232" s="1420"/>
      <c r="L232" s="1412"/>
      <c r="M232" s="1412"/>
      <c r="N232" s="1412"/>
      <c r="O232" s="1412"/>
      <c r="P232" s="1412"/>
      <c r="Q232" s="1221"/>
    </row>
    <row r="233" spans="1:32" ht="13.15" customHeight="1">
      <c r="A233" s="3055" t="s">
        <v>4359</v>
      </c>
      <c r="B233" s="3056"/>
      <c r="C233" s="3056"/>
      <c r="D233" s="3056"/>
      <c r="E233" s="3056"/>
      <c r="F233" s="3056"/>
      <c r="G233" s="3056"/>
      <c r="H233" s="3056"/>
      <c r="I233" s="3056"/>
      <c r="J233" s="3056"/>
      <c r="K233" s="3056"/>
      <c r="L233" s="3056"/>
      <c r="M233" s="3056"/>
      <c r="N233" s="3056"/>
      <c r="O233" s="3056"/>
      <c r="P233" s="3056"/>
      <c r="Q233" s="3057"/>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19"/>
      <c r="E235" s="1419"/>
      <c r="F235" s="1419"/>
      <c r="G235" s="1419"/>
      <c r="H235" s="1419"/>
      <c r="I235" s="1419"/>
      <c r="J235" s="1419"/>
      <c r="K235" s="1419"/>
      <c r="L235" s="1419"/>
      <c r="M235" s="1419"/>
      <c r="N235" s="1419"/>
      <c r="O235" s="1419"/>
      <c r="P235" s="1419"/>
      <c r="Q235" s="1419"/>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2755</v>
      </c>
      <c r="C238" s="121"/>
      <c r="D238" s="1419"/>
      <c r="E238" s="1419"/>
      <c r="F238" s="1419"/>
      <c r="G238" s="1419"/>
      <c r="H238" s="1419"/>
      <c r="I238" s="1419"/>
      <c r="J238" s="1419"/>
      <c r="K238" s="1419"/>
      <c r="L238" s="1419"/>
      <c r="M238" s="1419"/>
      <c r="O238" s="142" t="s">
        <v>1938</v>
      </c>
      <c r="P238" s="1711"/>
      <c r="Q238" s="1712"/>
    </row>
    <row r="239" spans="1:32" s="28" customFormat="1" ht="11.45" customHeight="1">
      <c r="B239" s="155" t="s">
        <v>1235</v>
      </c>
      <c r="N239" s="130"/>
      <c r="P239" s="3051" t="s">
        <v>3156</v>
      </c>
      <c r="Q239" s="627"/>
      <c r="AE239" s="125"/>
      <c r="AF239" s="125"/>
    </row>
    <row r="240" spans="1:32" ht="12" customHeight="1">
      <c r="B240" s="48" t="s">
        <v>2058</v>
      </c>
      <c r="C240" s="37" t="s">
        <v>4158</v>
      </c>
      <c r="D240" s="43"/>
      <c r="E240" s="43"/>
      <c r="F240" s="43"/>
      <c r="G240" s="43"/>
      <c r="H240" s="43"/>
      <c r="I240" s="43"/>
      <c r="J240" s="43"/>
      <c r="K240" s="43"/>
      <c r="L240" s="43"/>
      <c r="M240" s="43"/>
      <c r="O240" s="525" t="s">
        <v>2058</v>
      </c>
      <c r="P240" s="3051" t="s">
        <v>4228</v>
      </c>
      <c r="Q240" s="627"/>
    </row>
    <row r="241" spans="1:32" ht="11.45" customHeight="1">
      <c r="B241" s="48"/>
      <c r="C241" s="70" t="s">
        <v>1803</v>
      </c>
      <c r="D241" s="54" t="s">
        <v>2005</v>
      </c>
      <c r="E241" s="54"/>
      <c r="F241" s="54"/>
      <c r="G241" s="54"/>
      <c r="H241" s="54"/>
      <c r="I241" s="43"/>
      <c r="K241" s="70" t="s">
        <v>1543</v>
      </c>
      <c r="L241" s="3070" t="s">
        <v>551</v>
      </c>
      <c r="M241" s="3072"/>
      <c r="Q241" s="630"/>
    </row>
    <row r="242" spans="1:32" ht="11.45" customHeight="1">
      <c r="B242" s="48"/>
      <c r="C242" s="70" t="s">
        <v>1804</v>
      </c>
      <c r="D242" s="1222" t="s">
        <v>2829</v>
      </c>
      <c r="E242" s="1222"/>
      <c r="F242" s="1222"/>
      <c r="G242" s="1222"/>
      <c r="H242" s="1222"/>
      <c r="I242" s="43"/>
      <c r="K242" s="70" t="s">
        <v>1544</v>
      </c>
      <c r="L242" s="3116" t="s">
        <v>4360</v>
      </c>
      <c r="M242" s="3117"/>
      <c r="N242" s="3118" t="s">
        <v>2830</v>
      </c>
      <c r="O242" s="3119"/>
      <c r="P242" s="3120"/>
      <c r="Q242" s="631"/>
    </row>
    <row r="243" spans="1:32" ht="11.45" customHeight="1">
      <c r="B243" s="48"/>
      <c r="C243" s="70" t="s">
        <v>1805</v>
      </c>
      <c r="D243" s="1222" t="s">
        <v>577</v>
      </c>
      <c r="E243" s="1222"/>
      <c r="F243" s="1222"/>
      <c r="G243" s="1222"/>
      <c r="H243" s="1222"/>
      <c r="I243" s="43"/>
      <c r="K243" s="70" t="s">
        <v>1545</v>
      </c>
      <c r="L243" s="3070" t="s">
        <v>4233</v>
      </c>
      <c r="M243" s="3071"/>
      <c r="N243" s="3121"/>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1" t="s">
        <v>4228</v>
      </c>
      <c r="Q245" s="627"/>
    </row>
    <row r="246" spans="1:32" ht="10.9" customHeight="1">
      <c r="B246" s="48"/>
      <c r="C246" s="54" t="s">
        <v>3890</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2" t="s">
        <v>4234</v>
      </c>
      <c r="E248" s="3123"/>
      <c r="F248" s="3123"/>
      <c r="G248" s="3123"/>
      <c r="H248" s="3124"/>
      <c r="I248" s="640"/>
      <c r="J248" s="641"/>
      <c r="K248" s="70" t="s">
        <v>1805</v>
      </c>
      <c r="L248" s="3122" t="s">
        <v>2183</v>
      </c>
      <c r="M248" s="3123"/>
      <c r="N248" s="3123"/>
      <c r="O248" s="3124"/>
      <c r="P248" s="630"/>
      <c r="Q248" s="641"/>
      <c r="AE248" s="56"/>
      <c r="AF248" s="56"/>
    </row>
    <row r="249" spans="1:32" s="44" customFormat="1" ht="11.45" customHeight="1">
      <c r="A249" s="100"/>
      <c r="B249" s="53"/>
      <c r="C249" s="70" t="s">
        <v>1804</v>
      </c>
      <c r="D249" s="3125" t="s">
        <v>4235</v>
      </c>
      <c r="E249" s="3126"/>
      <c r="F249" s="3126"/>
      <c r="G249" s="3126"/>
      <c r="H249" s="3127"/>
      <c r="I249" s="642"/>
      <c r="J249" s="643"/>
      <c r="K249" s="70" t="s">
        <v>2448</v>
      </c>
      <c r="L249" s="3125"/>
      <c r="M249" s="3126"/>
      <c r="N249" s="3126"/>
      <c r="O249" s="3127"/>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0" t="s">
        <v>4228</v>
      </c>
      <c r="Q251" s="630"/>
    </row>
    <row r="252" spans="1:32" ht="11.45" customHeight="1">
      <c r="B252" s="48"/>
      <c r="C252" s="70" t="s">
        <v>1803</v>
      </c>
      <c r="D252" s="54" t="s">
        <v>3723</v>
      </c>
      <c r="E252" s="54"/>
      <c r="F252" s="54"/>
      <c r="G252" s="54"/>
      <c r="H252" s="54"/>
      <c r="I252" s="43"/>
      <c r="J252" s="34"/>
      <c r="K252" s="43"/>
      <c r="L252" s="34"/>
      <c r="M252" s="34"/>
      <c r="O252" s="70" t="s">
        <v>1803</v>
      </c>
      <c r="P252" s="3093" t="s">
        <v>3153</v>
      </c>
      <c r="Q252" s="631"/>
    </row>
    <row r="253" spans="1:32" ht="11.45" customHeight="1">
      <c r="C253" s="70" t="s">
        <v>1804</v>
      </c>
      <c r="D253" s="1222" t="s">
        <v>2930</v>
      </c>
      <c r="E253" s="1222"/>
      <c r="F253" s="1222"/>
      <c r="G253" s="1222"/>
      <c r="H253" s="1222"/>
      <c r="I253" s="43"/>
      <c r="J253" s="34"/>
      <c r="K253" s="43"/>
      <c r="L253" s="34"/>
      <c r="M253" s="34"/>
      <c r="O253" s="70" t="s">
        <v>1804</v>
      </c>
      <c r="P253" s="3093" t="s">
        <v>3153</v>
      </c>
      <c r="Q253" s="631"/>
    </row>
    <row r="254" spans="1:32" ht="11.45" customHeight="1">
      <c r="C254" s="70" t="s">
        <v>1805</v>
      </c>
      <c r="D254" s="1222" t="s">
        <v>2931</v>
      </c>
      <c r="E254" s="1222"/>
      <c r="F254" s="1222"/>
      <c r="G254" s="1222"/>
      <c r="H254" s="1222"/>
      <c r="I254" s="43"/>
      <c r="J254" s="34"/>
      <c r="K254" s="43"/>
      <c r="L254" s="34"/>
      <c r="M254" s="34"/>
      <c r="O254" s="70" t="s">
        <v>1805</v>
      </c>
      <c r="P254" s="3093" t="s">
        <v>3153</v>
      </c>
      <c r="Q254" s="631"/>
    </row>
    <row r="255" spans="1:32" ht="11.45" customHeight="1">
      <c r="B255" s="48"/>
      <c r="C255" s="70" t="s">
        <v>2448</v>
      </c>
      <c r="D255" s="1222" t="s">
        <v>2932</v>
      </c>
      <c r="E255" s="1222"/>
      <c r="F255" s="1222"/>
      <c r="G255" s="1222"/>
      <c r="H255" s="1222"/>
      <c r="I255" s="43"/>
      <c r="J255" s="34"/>
      <c r="K255" s="43"/>
      <c r="L255" s="34"/>
      <c r="M255" s="34"/>
      <c r="O255" s="70" t="s">
        <v>2448</v>
      </c>
      <c r="P255" s="3093" t="s">
        <v>3153</v>
      </c>
      <c r="Q255" s="631"/>
    </row>
    <row r="256" spans="1:32" ht="11.45" customHeight="1">
      <c r="B256" s="48"/>
      <c r="C256" s="70" t="s">
        <v>1606</v>
      </c>
      <c r="D256" s="1222" t="s">
        <v>2933</v>
      </c>
      <c r="E256" s="1222"/>
      <c r="F256" s="1222"/>
      <c r="G256" s="1222"/>
      <c r="H256" s="1222"/>
      <c r="I256" s="43"/>
      <c r="J256" s="34"/>
      <c r="K256" s="43"/>
      <c r="L256" s="34"/>
      <c r="M256" s="34"/>
      <c r="O256" s="70" t="s">
        <v>1606</v>
      </c>
      <c r="P256" s="3093" t="s">
        <v>3153</v>
      </c>
      <c r="Q256" s="631"/>
    </row>
    <row r="257" spans="1:31" ht="11.45" customHeight="1">
      <c r="B257" s="48"/>
      <c r="C257" s="525" t="s">
        <v>1607</v>
      </c>
      <c r="D257" s="54" t="s">
        <v>806</v>
      </c>
      <c r="E257" s="54"/>
      <c r="F257" s="54"/>
      <c r="G257" s="54"/>
      <c r="H257" s="54"/>
      <c r="I257" s="43"/>
      <c r="J257" s="34"/>
      <c r="K257" s="43"/>
      <c r="L257" s="34"/>
      <c r="M257" s="34"/>
      <c r="O257" s="525" t="s">
        <v>2918</v>
      </c>
      <c r="P257" s="3093" t="s">
        <v>3153</v>
      </c>
      <c r="Q257" s="631"/>
    </row>
    <row r="258" spans="1:31" ht="11.45" customHeight="1">
      <c r="B258" s="48"/>
      <c r="C258" s="70"/>
      <c r="D258" s="54" t="s">
        <v>1546</v>
      </c>
      <c r="E258" s="54"/>
      <c r="F258" s="54"/>
      <c r="G258" s="54"/>
      <c r="H258" s="54"/>
      <c r="I258" s="43"/>
      <c r="J258" s="34"/>
      <c r="K258" s="43"/>
      <c r="L258" s="34"/>
      <c r="M258" s="34"/>
      <c r="O258" s="525" t="s">
        <v>2919</v>
      </c>
      <c r="P258" s="3091" t="s">
        <v>3156</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4097</v>
      </c>
      <c r="D260" s="54"/>
      <c r="E260" s="54"/>
      <c r="F260" s="54"/>
      <c r="G260" s="54"/>
      <c r="H260" s="54"/>
      <c r="I260" s="54"/>
      <c r="J260" s="54"/>
      <c r="K260" s="43"/>
      <c r="L260" s="54"/>
      <c r="M260" s="54"/>
      <c r="O260" s="525" t="s">
        <v>2193</v>
      </c>
      <c r="P260" s="3090" t="s">
        <v>1006</v>
      </c>
      <c r="Q260" s="630"/>
    </row>
    <row r="261" spans="1:31" ht="11.45" customHeight="1">
      <c r="B261" s="48"/>
      <c r="C261" s="70" t="s">
        <v>1803</v>
      </c>
      <c r="D261" s="40" t="s">
        <v>1302</v>
      </c>
      <c r="E261" s="43"/>
      <c r="F261" s="43"/>
      <c r="G261" s="40"/>
      <c r="H261" s="1222"/>
      <c r="I261" s="43"/>
      <c r="J261" s="1222"/>
      <c r="K261" s="43"/>
      <c r="L261" s="1222"/>
      <c r="M261" s="1222"/>
      <c r="O261" s="70" t="s">
        <v>1803</v>
      </c>
      <c r="P261" s="3093"/>
      <c r="Q261" s="631"/>
    </row>
    <row r="262" spans="1:31" ht="11.45" customHeight="1">
      <c r="B262" s="48"/>
      <c r="C262" s="70" t="s">
        <v>1804</v>
      </c>
      <c r="D262" s="40" t="s">
        <v>151</v>
      </c>
      <c r="E262" s="43"/>
      <c r="F262" s="43"/>
      <c r="G262" s="1222"/>
      <c r="H262" s="1222"/>
      <c r="I262" s="43"/>
      <c r="J262" s="1222"/>
      <c r="K262" s="43"/>
      <c r="L262" s="1222"/>
      <c r="M262" s="1222"/>
      <c r="O262" s="70" t="s">
        <v>1804</v>
      </c>
      <c r="P262" s="3093"/>
      <c r="Q262" s="631"/>
    </row>
    <row r="263" spans="1:31" ht="11.45" customHeight="1">
      <c r="B263" s="48"/>
      <c r="C263" s="70" t="s">
        <v>1805</v>
      </c>
      <c r="D263" s="1222" t="s">
        <v>4053</v>
      </c>
      <c r="E263" s="43"/>
      <c r="F263" s="43"/>
      <c r="G263" s="1222"/>
      <c r="H263" s="1222"/>
      <c r="I263" s="43"/>
      <c r="J263" s="1222"/>
      <c r="K263" s="43"/>
      <c r="L263" s="1222"/>
      <c r="M263" s="1222"/>
      <c r="O263" s="70" t="s">
        <v>2454</v>
      </c>
      <c r="P263" s="3093"/>
      <c r="Q263" s="631"/>
    </row>
    <row r="264" spans="1:31" ht="11.45" customHeight="1">
      <c r="B264" s="37"/>
      <c r="C264" s="43"/>
      <c r="D264" s="1222" t="s">
        <v>1334</v>
      </c>
      <c r="E264" s="43"/>
      <c r="F264" s="43"/>
      <c r="G264" s="1222"/>
      <c r="H264" s="1222"/>
      <c r="I264" s="43"/>
      <c r="J264" s="1222"/>
      <c r="K264" s="43"/>
      <c r="L264" s="1222"/>
      <c r="M264" s="1222"/>
      <c r="O264" s="70" t="s">
        <v>2455</v>
      </c>
      <c r="P264" s="3091"/>
      <c r="Q264" s="632"/>
    </row>
    <row r="265" spans="1:31" ht="11.25" customHeight="1">
      <c r="B265" s="151" t="s">
        <v>1936</v>
      </c>
      <c r="D265" s="151"/>
      <c r="E265" s="151"/>
      <c r="F265" s="151"/>
      <c r="G265" s="151"/>
      <c r="H265" s="41"/>
      <c r="I265" s="1420"/>
      <c r="J265" s="1420"/>
      <c r="K265" s="1420"/>
      <c r="L265" s="1412"/>
      <c r="M265" s="1412"/>
      <c r="N265" s="1412"/>
      <c r="O265" s="1412"/>
      <c r="P265" s="1412"/>
      <c r="Q265" s="1221"/>
    </row>
    <row r="266" spans="1:31" ht="11.45" customHeight="1">
      <c r="A266" s="3055" t="s">
        <v>4311</v>
      </c>
      <c r="B266" s="3056"/>
      <c r="C266" s="3056"/>
      <c r="D266" s="3056"/>
      <c r="E266" s="3056"/>
      <c r="F266" s="3056"/>
      <c r="G266" s="3056"/>
      <c r="H266" s="3056"/>
      <c r="I266" s="3056"/>
      <c r="J266" s="3056"/>
      <c r="K266" s="3056"/>
      <c r="L266" s="3056"/>
      <c r="M266" s="3056"/>
      <c r="N266" s="3056"/>
      <c r="O266" s="3056"/>
      <c r="P266" s="3056"/>
      <c r="Q266" s="3057"/>
      <c r="R266" s="500" t="s">
        <v>1301</v>
      </c>
      <c r="S266" s="501"/>
      <c r="U266" s="146"/>
      <c r="V266" s="146"/>
      <c r="W266" s="146"/>
      <c r="X266" s="146"/>
      <c r="Y266" s="146"/>
      <c r="Z266" s="146"/>
      <c r="AA266" s="146"/>
      <c r="AB266" s="146"/>
      <c r="AC266" s="146"/>
      <c r="AD266" s="146"/>
      <c r="AE266" s="527"/>
    </row>
    <row r="267" spans="1:31" ht="11.25" customHeight="1">
      <c r="B267" s="147" t="s">
        <v>1937</v>
      </c>
      <c r="C267" s="148"/>
      <c r="D267" s="1419"/>
      <c r="E267" s="1419"/>
      <c r="F267" s="1419"/>
      <c r="G267" s="1419"/>
      <c r="H267" s="1419"/>
      <c r="I267" s="1419"/>
      <c r="J267" s="1419"/>
      <c r="K267" s="1419"/>
      <c r="L267" s="1419"/>
      <c r="M267" s="1419"/>
      <c r="N267" s="1419"/>
      <c r="O267" s="1419"/>
      <c r="P267" s="1419"/>
      <c r="Q267" s="1419"/>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2756</v>
      </c>
      <c r="C270" s="4"/>
      <c r="D270" s="92"/>
      <c r="E270" s="92"/>
      <c r="F270" s="92"/>
      <c r="G270" s="92"/>
      <c r="H270" s="1419"/>
      <c r="I270" s="1419"/>
      <c r="J270" s="1419"/>
      <c r="K270" s="1419"/>
      <c r="L270" s="1419"/>
      <c r="M270" s="1419"/>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3" t="s">
        <v>1837</v>
      </c>
      <c r="M272" s="3074"/>
      <c r="N272" s="3074"/>
      <c r="O272" s="3108"/>
      <c r="P272" s="1738" t="s">
        <v>1837</v>
      </c>
      <c r="Q272" s="1739"/>
    </row>
    <row r="273" spans="1:32" ht="11.45" customHeight="1">
      <c r="B273" s="48" t="s">
        <v>2061</v>
      </c>
      <c r="C273" s="54" t="s">
        <v>2934</v>
      </c>
      <c r="D273" s="54"/>
      <c r="E273" s="54"/>
      <c r="F273" s="54"/>
      <c r="G273" s="54"/>
      <c r="H273" s="54"/>
      <c r="I273" s="43"/>
      <c r="J273" s="43"/>
      <c r="K273" s="525" t="s">
        <v>2061</v>
      </c>
      <c r="L273" s="3128"/>
      <c r="M273" s="3129"/>
      <c r="N273" s="3129"/>
      <c r="O273" s="3130"/>
      <c r="P273" s="1761"/>
      <c r="Q273" s="1762"/>
    </row>
    <row r="274" spans="1:32" s="158" customFormat="1" ht="11.45" customHeight="1">
      <c r="B274" s="48" t="s">
        <v>779</v>
      </c>
      <c r="C274" s="54" t="s">
        <v>2019</v>
      </c>
      <c r="D274" s="54"/>
      <c r="E274" s="54"/>
      <c r="F274" s="54"/>
      <c r="G274" s="54"/>
      <c r="H274" s="54"/>
      <c r="I274" s="100"/>
      <c r="J274" s="100"/>
      <c r="K274" s="525" t="s">
        <v>779</v>
      </c>
      <c r="L274" s="3109"/>
      <c r="M274" s="3110"/>
      <c r="N274" s="3110"/>
      <c r="O274" s="3111"/>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0"/>
      <c r="Q275" s="630"/>
      <c r="AE275" s="529"/>
      <c r="AF275" s="529"/>
    </row>
    <row r="276" spans="1:32" s="158" customFormat="1" ht="22.15" customHeight="1">
      <c r="B276" s="152" t="s">
        <v>1801</v>
      </c>
      <c r="C276" s="1718" t="s">
        <v>2857</v>
      </c>
      <c r="D276" s="1718"/>
      <c r="E276" s="1718"/>
      <c r="F276" s="1718"/>
      <c r="G276" s="1718"/>
      <c r="H276" s="1718"/>
      <c r="I276" s="1718"/>
      <c r="J276" s="1718"/>
      <c r="K276" s="1718"/>
      <c r="L276" s="1718"/>
      <c r="M276" s="1718"/>
      <c r="N276" s="1718"/>
      <c r="O276" s="174" t="s">
        <v>1801</v>
      </c>
      <c r="P276" s="3091"/>
      <c r="Q276" s="632"/>
      <c r="T276" s="529"/>
      <c r="AE276" s="529"/>
      <c r="AF276" s="529"/>
    </row>
    <row r="277" spans="1:32" ht="11.25" customHeight="1">
      <c r="B277" s="151" t="s">
        <v>1936</v>
      </c>
      <c r="D277" s="151"/>
      <c r="E277" s="151"/>
      <c r="F277" s="151"/>
      <c r="G277" s="151"/>
      <c r="H277" s="41"/>
      <c r="I277" s="1420"/>
      <c r="J277" s="1420"/>
      <c r="K277" s="1420"/>
      <c r="L277" s="1412"/>
      <c r="M277" s="1412"/>
      <c r="N277" s="1412"/>
      <c r="O277" s="1412"/>
      <c r="P277" s="1412"/>
      <c r="Q277" s="1221"/>
    </row>
    <row r="278" spans="1:32" ht="13.15" customHeight="1">
      <c r="A278" s="3055" t="s">
        <v>4317</v>
      </c>
      <c r="B278" s="3056"/>
      <c r="C278" s="3056"/>
      <c r="D278" s="3056"/>
      <c r="E278" s="3056"/>
      <c r="F278" s="3056"/>
      <c r="G278" s="3056"/>
      <c r="H278" s="3056"/>
      <c r="I278" s="3056"/>
      <c r="J278" s="3056"/>
      <c r="K278" s="3056"/>
      <c r="L278" s="3056"/>
      <c r="M278" s="3056"/>
      <c r="N278" s="3056"/>
      <c r="O278" s="3056"/>
      <c r="P278" s="3056"/>
      <c r="Q278" s="3057"/>
      <c r="R278" s="500" t="s">
        <v>1301</v>
      </c>
      <c r="S278" s="501"/>
      <c r="U278" s="146"/>
      <c r="V278" s="146"/>
      <c r="W278" s="146"/>
      <c r="X278" s="146"/>
      <c r="Y278" s="146"/>
      <c r="Z278" s="146"/>
      <c r="AA278" s="146"/>
      <c r="AB278" s="146"/>
      <c r="AC278" s="146"/>
      <c r="AD278" s="146"/>
      <c r="AE278" s="527"/>
    </row>
    <row r="279" spans="1:32" ht="10.9" customHeight="1">
      <c r="B279" s="147" t="s">
        <v>1937</v>
      </c>
      <c r="C279" s="148"/>
      <c r="D279" s="1419"/>
      <c r="E279" s="1419"/>
      <c r="F279" s="1419"/>
      <c r="G279" s="1419"/>
      <c r="H279" s="1419"/>
      <c r="I279" s="1419"/>
      <c r="J279" s="1419"/>
      <c r="K279" s="1419"/>
      <c r="L279" s="1419"/>
      <c r="M279" s="1419"/>
      <c r="N279" s="1419"/>
      <c r="O279" s="1419"/>
      <c r="P279" s="1419"/>
      <c r="Q279" s="1419"/>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2757</v>
      </c>
      <c r="C282" s="4"/>
      <c r="D282" s="92"/>
      <c r="E282" s="92"/>
      <c r="F282" s="92"/>
      <c r="G282" s="92"/>
      <c r="H282" s="1419"/>
      <c r="I282" s="1419"/>
      <c r="J282" s="1419"/>
      <c r="K282" s="1419"/>
      <c r="L282" s="1419"/>
      <c r="M282" s="1419"/>
      <c r="O282" s="142" t="s">
        <v>1938</v>
      </c>
      <c r="P282" s="1711"/>
      <c r="Q282" s="1712"/>
    </row>
    <row r="283" spans="1:32" ht="3" customHeight="1"/>
    <row r="284" spans="1:32" s="465" customFormat="1" ht="21.75" customHeight="1">
      <c r="B284" s="152" t="s">
        <v>2058</v>
      </c>
      <c r="C284" s="1718" t="s">
        <v>2935</v>
      </c>
      <c r="D284" s="1718"/>
      <c r="E284" s="1718"/>
      <c r="F284" s="1718"/>
      <c r="G284" s="1718"/>
      <c r="H284" s="1718"/>
      <c r="I284" s="1718"/>
      <c r="J284" s="1718"/>
      <c r="K284" s="1718"/>
      <c r="L284" s="1718"/>
      <c r="M284" s="1718"/>
      <c r="N284" s="1718"/>
      <c r="O284" s="174" t="s">
        <v>2058</v>
      </c>
      <c r="P284" s="3131"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1" t="s">
        <v>3153</v>
      </c>
      <c r="Q285" s="632"/>
      <c r="AE285" s="529"/>
      <c r="AF285" s="529"/>
    </row>
    <row r="286" spans="1:32" ht="11.25" customHeight="1">
      <c r="B286" s="151" t="s">
        <v>1936</v>
      </c>
      <c r="D286" s="151"/>
      <c r="E286" s="151"/>
      <c r="F286" s="151"/>
      <c r="G286" s="151"/>
      <c r="H286" s="41"/>
      <c r="I286" s="1420"/>
      <c r="J286" s="1420"/>
      <c r="K286" s="1420"/>
      <c r="L286" s="1412"/>
      <c r="M286" s="1412"/>
      <c r="N286" s="1412"/>
      <c r="O286" s="1412"/>
      <c r="P286" s="1412"/>
      <c r="Q286" s="1221"/>
    </row>
    <row r="287" spans="1:32" ht="13.15" customHeight="1">
      <c r="A287" s="3055" t="s">
        <v>4318</v>
      </c>
      <c r="B287" s="3056"/>
      <c r="C287" s="3056"/>
      <c r="D287" s="3056"/>
      <c r="E287" s="3056"/>
      <c r="F287" s="3056"/>
      <c r="G287" s="3056"/>
      <c r="H287" s="3056"/>
      <c r="I287" s="3056"/>
      <c r="J287" s="3056"/>
      <c r="K287" s="3056"/>
      <c r="L287" s="3056"/>
      <c r="M287" s="3056"/>
      <c r="N287" s="3056"/>
      <c r="O287" s="3056"/>
      <c r="P287" s="3056"/>
      <c r="Q287" s="3057"/>
      <c r="R287" s="500" t="s">
        <v>1301</v>
      </c>
      <c r="S287" s="501"/>
      <c r="U287" s="146"/>
      <c r="V287" s="146"/>
      <c r="W287" s="146"/>
      <c r="X287" s="146"/>
      <c r="Y287" s="146"/>
      <c r="Z287" s="146"/>
      <c r="AA287" s="146"/>
      <c r="AB287" s="146"/>
      <c r="AC287" s="146"/>
      <c r="AD287" s="146"/>
      <c r="AE287" s="527"/>
    </row>
    <row r="288" spans="1:32" ht="11.25" customHeight="1">
      <c r="B288" s="147" t="s">
        <v>1937</v>
      </c>
      <c r="C288" s="148"/>
      <c r="D288" s="1419"/>
      <c r="E288" s="1419"/>
      <c r="F288" s="1419"/>
      <c r="G288" s="1419"/>
      <c r="H288" s="1419"/>
      <c r="I288" s="1419"/>
      <c r="J288" s="1419"/>
      <c r="K288" s="1419"/>
      <c r="L288" s="1419"/>
      <c r="M288" s="1419"/>
      <c r="N288" s="1419"/>
      <c r="O288" s="1419"/>
      <c r="P288" s="1419"/>
      <c r="Q288" s="1419"/>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6">
        <v>17</v>
      </c>
      <c r="B290" s="1426" t="s">
        <v>2758</v>
      </c>
      <c r="C290" s="1426"/>
      <c r="D290" s="1419"/>
      <c r="E290" s="1419"/>
      <c r="F290" s="1419"/>
      <c r="G290" s="1419"/>
      <c r="H290" s="1419"/>
      <c r="I290" s="1419"/>
      <c r="J290" s="1419"/>
      <c r="K290" s="1419"/>
      <c r="L290" s="1419"/>
      <c r="M290" s="1419"/>
      <c r="O290" s="142" t="s">
        <v>1938</v>
      </c>
      <c r="P290" s="1711"/>
      <c r="Q290" s="1712"/>
    </row>
    <row r="291" spans="1:32" ht="3" customHeight="1"/>
    <row r="292" spans="1:32" s="465" customFormat="1" ht="21.75" customHeight="1">
      <c r="B292" s="152" t="s">
        <v>2058</v>
      </c>
      <c r="C292" s="1744" t="s">
        <v>2936</v>
      </c>
      <c r="D292" s="1563"/>
      <c r="E292" s="1563"/>
      <c r="F292" s="1563"/>
      <c r="G292" s="1563"/>
      <c r="H292" s="1563"/>
      <c r="I292" s="1563"/>
      <c r="J292" s="1563"/>
      <c r="K292" s="1563"/>
      <c r="L292" s="1563"/>
      <c r="M292" s="1563"/>
      <c r="N292" s="1563"/>
      <c r="O292" s="174" t="s">
        <v>2058</v>
      </c>
      <c r="P292" s="3090" t="s">
        <v>4228</v>
      </c>
      <c r="Q292" s="630"/>
      <c r="AE292" s="530"/>
      <c r="AF292" s="530"/>
    </row>
    <row r="293" spans="1:32" s="465" customFormat="1" ht="21.75" customHeight="1">
      <c r="B293" s="152" t="s">
        <v>2061</v>
      </c>
      <c r="C293" s="1744" t="s">
        <v>2937</v>
      </c>
      <c r="D293" s="1563"/>
      <c r="E293" s="1563"/>
      <c r="F293" s="1563"/>
      <c r="G293" s="1563"/>
      <c r="H293" s="1563"/>
      <c r="I293" s="1563"/>
      <c r="J293" s="1563"/>
      <c r="K293" s="1563"/>
      <c r="L293" s="1563"/>
      <c r="M293" s="1563"/>
      <c r="N293" s="1563"/>
      <c r="O293" s="174" t="s">
        <v>2061</v>
      </c>
      <c r="P293" s="3091" t="s">
        <v>4228</v>
      </c>
      <c r="Q293" s="632"/>
      <c r="AE293" s="530"/>
      <c r="AF293" s="530"/>
    </row>
    <row r="294" spans="1:32" ht="11.25" customHeight="1">
      <c r="B294" s="151" t="s">
        <v>1936</v>
      </c>
      <c r="D294" s="151"/>
      <c r="E294" s="151"/>
      <c r="F294" s="151"/>
      <c r="G294" s="151"/>
      <c r="H294" s="41"/>
      <c r="I294" s="1420"/>
      <c r="J294" s="1420"/>
      <c r="K294" s="1420"/>
      <c r="L294" s="1412"/>
      <c r="M294" s="1412"/>
      <c r="N294" s="1412"/>
      <c r="O294" s="1412"/>
      <c r="P294" s="1412"/>
      <c r="Q294" s="1221"/>
    </row>
    <row r="295" spans="1:32" ht="13.15" customHeight="1">
      <c r="A295" s="3055" t="s">
        <v>4319</v>
      </c>
      <c r="B295" s="3056"/>
      <c r="C295" s="3056"/>
      <c r="D295" s="3056"/>
      <c r="E295" s="3056"/>
      <c r="F295" s="3056"/>
      <c r="G295" s="3056"/>
      <c r="H295" s="3056"/>
      <c r="I295" s="3056"/>
      <c r="J295" s="3056"/>
      <c r="K295" s="3056"/>
      <c r="L295" s="3056"/>
      <c r="M295" s="3056"/>
      <c r="N295" s="3056"/>
      <c r="O295" s="3056"/>
      <c r="P295" s="3056"/>
      <c r="Q295" s="3057"/>
      <c r="R295" s="500" t="s">
        <v>1301</v>
      </c>
      <c r="S295" s="501"/>
      <c r="U295" s="146"/>
      <c r="V295" s="146"/>
      <c r="W295" s="146"/>
      <c r="X295" s="146"/>
      <c r="Y295" s="146"/>
      <c r="Z295" s="146"/>
      <c r="AA295" s="146"/>
      <c r="AB295" s="146"/>
      <c r="AC295" s="146"/>
      <c r="AD295" s="146"/>
      <c r="AE295" s="527"/>
    </row>
    <row r="296" spans="1:32" ht="11.25" customHeight="1">
      <c r="B296" s="147" t="s">
        <v>1937</v>
      </c>
      <c r="C296" s="148"/>
      <c r="D296" s="1419"/>
      <c r="E296" s="1419"/>
      <c r="F296" s="1419"/>
      <c r="G296" s="1419"/>
      <c r="H296" s="1419"/>
      <c r="I296" s="1419"/>
      <c r="J296" s="1419"/>
      <c r="K296" s="1419"/>
      <c r="L296" s="1419"/>
      <c r="M296" s="1419"/>
      <c r="N296" s="1419"/>
      <c r="O296" s="1419"/>
      <c r="P296" s="1419"/>
      <c r="Q296" s="1419"/>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6">
        <v>18</v>
      </c>
      <c r="B298" s="1426" t="s">
        <v>2759</v>
      </c>
      <c r="C298" s="159"/>
      <c r="D298" s="1425"/>
      <c r="E298" s="1419"/>
      <c r="F298" s="1419"/>
      <c r="G298" s="1419"/>
      <c r="H298" s="1419"/>
      <c r="I298" s="1419"/>
      <c r="J298" s="1419"/>
      <c r="K298" s="1419"/>
      <c r="L298" s="1419"/>
      <c r="M298" s="1419"/>
      <c r="O298" s="142" t="s">
        <v>1938</v>
      </c>
      <c r="P298" s="1711"/>
      <c r="Q298" s="1712"/>
    </row>
    <row r="299" spans="1:32" ht="3" customHeight="1"/>
    <row r="300" spans="1:32" s="158" customFormat="1" ht="42.75" customHeight="1">
      <c r="B300" s="152" t="s">
        <v>2058</v>
      </c>
      <c r="C300" s="160" t="s">
        <v>1803</v>
      </c>
      <c r="D300" s="1744" t="s">
        <v>3735</v>
      </c>
      <c r="E300" s="1744"/>
      <c r="F300" s="1744"/>
      <c r="G300" s="1744"/>
      <c r="H300" s="1744"/>
      <c r="I300" s="1744"/>
      <c r="J300" s="1744"/>
      <c r="K300" s="1744"/>
      <c r="L300" s="1744"/>
      <c r="M300" s="1744"/>
      <c r="N300" s="1744"/>
      <c r="O300" s="174" t="s">
        <v>2833</v>
      </c>
      <c r="P300" s="3131" t="s">
        <v>3153</v>
      </c>
      <c r="Q300" s="630"/>
      <c r="AE300" s="529"/>
      <c r="AF300" s="529"/>
    </row>
    <row r="301" spans="1:32" s="465" customFormat="1" ht="21.75" customHeight="1">
      <c r="B301" s="152"/>
      <c r="C301" s="160" t="s">
        <v>1804</v>
      </c>
      <c r="D301" s="1744" t="s">
        <v>3719</v>
      </c>
      <c r="E301" s="1744"/>
      <c r="F301" s="1744"/>
      <c r="G301" s="1744"/>
      <c r="H301" s="1744"/>
      <c r="I301" s="1744"/>
      <c r="J301" s="1744"/>
      <c r="K301" s="1744"/>
      <c r="L301" s="1744"/>
      <c r="M301" s="1744"/>
      <c r="N301" s="1744"/>
      <c r="O301" s="160" t="s">
        <v>1804</v>
      </c>
      <c r="P301" s="3094" t="s">
        <v>3156</v>
      </c>
      <c r="Q301" s="634"/>
      <c r="AE301" s="530"/>
      <c r="AF301" s="530"/>
    </row>
    <row r="302" spans="1:32" s="100" customFormat="1" ht="11.25" customHeight="1">
      <c r="B302" s="48"/>
      <c r="C302" s="525" t="s">
        <v>1805</v>
      </c>
      <c r="D302" s="1746" t="s">
        <v>4054</v>
      </c>
      <c r="E302" s="1746"/>
      <c r="F302" s="1746"/>
      <c r="G302" s="1746"/>
      <c r="H302" s="1746"/>
      <c r="I302" s="1746"/>
      <c r="J302" s="1746"/>
      <c r="K302" s="1746"/>
      <c r="L302" s="1746"/>
      <c r="M302" s="1746"/>
      <c r="N302" s="1746"/>
      <c r="O302" s="525" t="s">
        <v>1805</v>
      </c>
      <c r="P302" s="3132" t="s">
        <v>3153</v>
      </c>
      <c r="Q302" s="1264"/>
      <c r="AE302" s="531"/>
      <c r="AF302" s="531"/>
    </row>
    <row r="303" spans="1:32" s="100" customFormat="1" ht="11.25" customHeight="1">
      <c r="B303" s="152" t="s">
        <v>2061</v>
      </c>
      <c r="C303" s="160" t="s">
        <v>1803</v>
      </c>
      <c r="D303" s="1744" t="s">
        <v>4055</v>
      </c>
      <c r="E303" s="1744"/>
      <c r="F303" s="1744"/>
      <c r="G303" s="1744"/>
      <c r="H303" s="1744"/>
      <c r="I303" s="1744"/>
      <c r="J303" s="1744"/>
      <c r="K303" s="1744"/>
      <c r="L303" s="1744"/>
      <c r="M303" s="1744"/>
      <c r="N303" s="1744"/>
      <c r="O303" s="525" t="s">
        <v>4057</v>
      </c>
      <c r="P303" s="3090" t="s">
        <v>3153</v>
      </c>
      <c r="Q303" s="630"/>
      <c r="AE303" s="531"/>
      <c r="AF303" s="531"/>
    </row>
    <row r="304" spans="1:32" s="100" customFormat="1" ht="11.25" customHeight="1">
      <c r="B304" s="152"/>
      <c r="C304" s="160"/>
      <c r="D304" s="1744" t="s">
        <v>4056</v>
      </c>
      <c r="E304" s="1744"/>
      <c r="F304" s="1744"/>
      <c r="G304" s="1744"/>
      <c r="H304" s="1744"/>
      <c r="I304" s="1744"/>
      <c r="J304" s="1744"/>
      <c r="K304" s="1744"/>
      <c r="L304" s="1744"/>
      <c r="M304" s="1744"/>
      <c r="N304" s="1744"/>
      <c r="O304" s="525" t="s">
        <v>2195</v>
      </c>
      <c r="P304" s="3093" t="s">
        <v>3153</v>
      </c>
      <c r="Q304" s="631"/>
      <c r="AE304" s="531"/>
      <c r="AF304" s="531"/>
    </row>
    <row r="305" spans="1:32" s="100" customFormat="1" ht="11.25" customHeight="1">
      <c r="B305" s="152"/>
      <c r="C305" s="160" t="s">
        <v>1804</v>
      </c>
      <c r="D305" s="1744" t="s">
        <v>2832</v>
      </c>
      <c r="E305" s="1744"/>
      <c r="F305" s="1744"/>
      <c r="G305" s="1744"/>
      <c r="H305" s="1744"/>
      <c r="I305" s="1744"/>
      <c r="J305" s="1744"/>
      <c r="K305" s="1744"/>
      <c r="L305" s="1744"/>
      <c r="M305" s="1744"/>
      <c r="N305" s="1744"/>
      <c r="O305" s="525" t="s">
        <v>1804</v>
      </c>
      <c r="P305" s="3091" t="s">
        <v>3153</v>
      </c>
      <c r="Q305" s="632"/>
      <c r="AE305" s="531"/>
      <c r="AF305" s="531"/>
    </row>
    <row r="306" spans="1:32" s="100" customFormat="1" ht="21.75" customHeight="1">
      <c r="B306" s="152" t="s">
        <v>779</v>
      </c>
      <c r="C306" s="1751" t="s">
        <v>4059</v>
      </c>
      <c r="D306" s="1751"/>
      <c r="E306" s="1751"/>
      <c r="F306" s="1751"/>
      <c r="G306" s="1751"/>
      <c r="H306" s="1751"/>
      <c r="I306" s="1751"/>
      <c r="J306" s="1751"/>
      <c r="K306" s="1751"/>
      <c r="L306" s="1751"/>
      <c r="M306" s="1751"/>
      <c r="N306" s="1751"/>
      <c r="O306" s="174" t="s">
        <v>779</v>
      </c>
      <c r="P306" s="3133" t="s">
        <v>3153</v>
      </c>
      <c r="Q306" s="628"/>
      <c r="AE306" s="531"/>
      <c r="AF306" s="531"/>
    </row>
    <row r="307" spans="1:32" s="100" customFormat="1" ht="11.25" customHeight="1">
      <c r="B307" s="152"/>
      <c r="C307" s="435" t="s">
        <v>4060</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4058</v>
      </c>
      <c r="E308" s="1744"/>
      <c r="F308" s="1744"/>
      <c r="G308" s="1744"/>
      <c r="H308" s="1744"/>
      <c r="I308" s="1744"/>
      <c r="J308" s="1744"/>
      <c r="K308" s="1744"/>
      <c r="L308" s="1744"/>
      <c r="M308" s="1744"/>
      <c r="N308" s="1744"/>
      <c r="O308" s="174" t="s">
        <v>4063</v>
      </c>
      <c r="P308" s="3131" t="s">
        <v>3153</v>
      </c>
      <c r="Q308" s="633"/>
      <c r="AE308" s="530"/>
      <c r="AF308" s="530"/>
    </row>
    <row r="309" spans="1:32" s="465" customFormat="1" ht="11.25" customHeight="1">
      <c r="B309" s="152"/>
      <c r="C309" s="160" t="s">
        <v>1804</v>
      </c>
      <c r="D309" s="1744" t="s">
        <v>4131</v>
      </c>
      <c r="E309" s="1744"/>
      <c r="F309" s="1744"/>
      <c r="G309" s="1744"/>
      <c r="H309" s="1744"/>
      <c r="I309" s="1744"/>
      <c r="J309" s="1744"/>
      <c r="K309" s="1744"/>
      <c r="L309" s="1744"/>
      <c r="M309" s="1744"/>
      <c r="N309" s="1744"/>
      <c r="O309" s="174" t="s">
        <v>4064</v>
      </c>
      <c r="P309" s="3094" t="s">
        <v>3153</v>
      </c>
      <c r="Q309" s="634"/>
      <c r="AE309" s="530"/>
      <c r="AF309" s="530"/>
    </row>
    <row r="310" spans="1:32" s="465" customFormat="1" ht="32.25" customHeight="1">
      <c r="B310" s="152"/>
      <c r="C310" s="174" t="s">
        <v>1805</v>
      </c>
      <c r="D310" s="1744" t="s">
        <v>4061</v>
      </c>
      <c r="E310" s="1744"/>
      <c r="F310" s="1744"/>
      <c r="G310" s="1744"/>
      <c r="H310" s="1744"/>
      <c r="I310" s="1744"/>
      <c r="J310" s="1744"/>
      <c r="K310" s="1744"/>
      <c r="L310" s="1744"/>
      <c r="M310" s="1744"/>
      <c r="N310" s="1744"/>
      <c r="O310" s="174" t="s">
        <v>4065</v>
      </c>
      <c r="P310" s="3094" t="s">
        <v>3153</v>
      </c>
      <c r="Q310" s="634"/>
      <c r="AE310" s="530"/>
      <c r="AF310" s="530"/>
    </row>
    <row r="311" spans="1:32" s="465" customFormat="1" ht="32.25" customHeight="1">
      <c r="B311" s="152"/>
      <c r="C311" s="174" t="s">
        <v>2448</v>
      </c>
      <c r="D311" s="1744" t="s">
        <v>4062</v>
      </c>
      <c r="E311" s="1744"/>
      <c r="F311" s="1744"/>
      <c r="G311" s="1744"/>
      <c r="H311" s="1744"/>
      <c r="I311" s="1744"/>
      <c r="J311" s="1744"/>
      <c r="K311" s="1744"/>
      <c r="L311" s="1744"/>
      <c r="M311" s="1744"/>
      <c r="N311" s="1744"/>
      <c r="O311" s="174" t="s">
        <v>4066</v>
      </c>
      <c r="P311" s="3134" t="s">
        <v>3153</v>
      </c>
      <c r="Q311" s="635"/>
      <c r="AE311" s="530"/>
      <c r="AF311" s="530"/>
    </row>
    <row r="312" spans="1:32" ht="11.25" customHeight="1">
      <c r="B312" s="151" t="s">
        <v>1936</v>
      </c>
      <c r="D312" s="151"/>
      <c r="E312" s="151"/>
      <c r="F312" s="151"/>
      <c r="G312" s="151"/>
      <c r="H312" s="41"/>
      <c r="I312" s="1420"/>
      <c r="J312" s="1420"/>
      <c r="K312" s="1420"/>
      <c r="L312" s="1412"/>
      <c r="M312" s="1412"/>
      <c r="N312" s="1412"/>
      <c r="O312" s="1412"/>
      <c r="P312" s="1412"/>
      <c r="Q312" s="1221"/>
    </row>
    <row r="313" spans="1:32" ht="11.45" customHeight="1">
      <c r="A313" s="3055" t="s">
        <v>4320</v>
      </c>
      <c r="B313" s="3056"/>
      <c r="C313" s="3056"/>
      <c r="D313" s="3056"/>
      <c r="E313" s="3056"/>
      <c r="F313" s="3056"/>
      <c r="G313" s="3056"/>
      <c r="H313" s="3056"/>
      <c r="I313" s="3056"/>
      <c r="J313" s="3056"/>
      <c r="K313" s="3056"/>
      <c r="L313" s="3056"/>
      <c r="M313" s="3056"/>
      <c r="N313" s="3056"/>
      <c r="O313" s="3056"/>
      <c r="P313" s="3056"/>
      <c r="Q313" s="3057"/>
      <c r="R313" s="500" t="s">
        <v>1301</v>
      </c>
      <c r="S313" s="501"/>
      <c r="U313" s="146"/>
      <c r="V313" s="146"/>
      <c r="W313" s="146"/>
      <c r="X313" s="146"/>
      <c r="Y313" s="146"/>
      <c r="Z313" s="146"/>
      <c r="AA313" s="146"/>
      <c r="AB313" s="146"/>
      <c r="AC313" s="146"/>
      <c r="AD313" s="146"/>
      <c r="AE313" s="527"/>
    </row>
    <row r="314" spans="1:32" ht="11.25" customHeight="1">
      <c r="B314" s="147" t="s">
        <v>1937</v>
      </c>
      <c r="C314" s="148"/>
      <c r="D314" s="1419"/>
      <c r="E314" s="1419"/>
      <c r="F314" s="1419"/>
      <c r="G314" s="1419"/>
      <c r="H314" s="1419"/>
      <c r="I314" s="1419"/>
      <c r="J314" s="1419"/>
      <c r="K314" s="1419"/>
      <c r="L314" s="1419"/>
      <c r="M314" s="1419"/>
      <c r="N314" s="1419"/>
      <c r="O314" s="1419"/>
      <c r="P314" s="1419"/>
      <c r="Q314" s="1419"/>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6">
        <v>19</v>
      </c>
      <c r="B316" s="10" t="s">
        <v>2760</v>
      </c>
      <c r="C316" s="10"/>
      <c r="D316" s="10"/>
      <c r="E316" s="10"/>
      <c r="F316" s="10"/>
      <c r="G316" s="10"/>
      <c r="H316" s="1419"/>
      <c r="I316" s="1419"/>
      <c r="J316" s="1419"/>
      <c r="K316" s="1419"/>
      <c r="L316" s="1419"/>
      <c r="M316" s="1419"/>
      <c r="O316" s="142" t="s">
        <v>1938</v>
      </c>
      <c r="P316" s="1763"/>
      <c r="Q316" s="1764"/>
    </row>
    <row r="317" spans="1:32" ht="11.45" customHeight="1">
      <c r="B317" s="155" t="s">
        <v>2332</v>
      </c>
      <c r="P317" s="3090" t="s">
        <v>3156</v>
      </c>
      <c r="Q317" s="630"/>
    </row>
    <row r="318" spans="1:32" ht="12" customHeight="1">
      <c r="B318" s="1178" t="s">
        <v>2290</v>
      </c>
      <c r="C318" s="1178"/>
      <c r="D318" s="1178"/>
      <c r="E318" s="1178"/>
      <c r="F318" s="1178"/>
      <c r="G318" s="1178"/>
      <c r="H318" s="1178"/>
      <c r="I318" s="1178"/>
      <c r="J318" s="1178"/>
      <c r="K318" s="1178"/>
      <c r="L318" s="1178"/>
      <c r="P318" s="3091" t="s">
        <v>3153</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44" t="s">
        <v>3020</v>
      </c>
      <c r="D320" s="1744"/>
      <c r="E320" s="1744"/>
      <c r="F320" s="1744"/>
      <c r="G320" s="1744"/>
      <c r="H320" s="1744"/>
      <c r="I320" s="1744"/>
      <c r="J320" s="1744"/>
      <c r="K320" s="1744"/>
      <c r="L320" s="1744"/>
      <c r="M320" s="1744"/>
      <c r="N320" s="1744"/>
      <c r="O320" s="174" t="s">
        <v>2058</v>
      </c>
      <c r="P320" s="3135"/>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2"/>
      <c r="Q321" s="1221"/>
    </row>
    <row r="322" spans="1:256 1523:1523" ht="23.25" customHeight="1">
      <c r="A322" s="154"/>
      <c r="C322" s="232" t="s">
        <v>1803</v>
      </c>
      <c r="D322" s="233" t="s">
        <v>1170</v>
      </c>
      <c r="E322" s="143"/>
      <c r="F322" s="143"/>
      <c r="G322" s="3136" t="s">
        <v>1499</v>
      </c>
      <c r="H322" s="3137"/>
      <c r="I322" s="3137"/>
      <c r="J322" s="3137"/>
      <c r="K322" s="3137"/>
      <c r="L322" s="3137"/>
      <c r="M322" s="3137"/>
      <c r="N322" s="3138"/>
      <c r="O322" s="236" t="s">
        <v>1803</v>
      </c>
      <c r="P322" s="3131" t="s">
        <v>3153</v>
      </c>
      <c r="Q322" s="633"/>
      <c r="BFO322" s="158" t="s">
        <v>2834</v>
      </c>
    </row>
    <row r="323" spans="1:256 1523:1523" ht="23.25" customHeight="1">
      <c r="A323" s="154"/>
      <c r="C323" s="232" t="s">
        <v>1804</v>
      </c>
      <c r="D323" s="1718" t="s">
        <v>1171</v>
      </c>
      <c r="E323" s="1771"/>
      <c r="F323" s="1772"/>
      <c r="G323" s="3125" t="s">
        <v>2742</v>
      </c>
      <c r="H323" s="3139"/>
      <c r="I323" s="3139"/>
      <c r="J323" s="3139"/>
      <c r="K323" s="3139"/>
      <c r="L323" s="3139"/>
      <c r="M323" s="3139"/>
      <c r="N323" s="3140"/>
      <c r="O323" s="236" t="s">
        <v>1804</v>
      </c>
      <c r="P323" s="3134" t="s">
        <v>3153</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7" t="s">
        <v>779</v>
      </c>
      <c r="P325" s="1412"/>
      <c r="Q325" s="1221"/>
      <c r="AE325" s="528"/>
      <c r="AF325" s="528"/>
    </row>
    <row r="326" spans="1:256 1523:1523" s="143" customFormat="1" ht="11.25" customHeight="1">
      <c r="A326" s="154"/>
      <c r="C326" s="232" t="s">
        <v>1803</v>
      </c>
      <c r="D326" s="3122" t="s">
        <v>1799</v>
      </c>
      <c r="E326" s="3123"/>
      <c r="F326" s="3123"/>
      <c r="G326" s="3123"/>
      <c r="H326" s="3123"/>
      <c r="I326" s="3123"/>
      <c r="J326" s="3123"/>
      <c r="K326" s="3123"/>
      <c r="L326" s="3123"/>
      <c r="M326" s="3123"/>
      <c r="N326" s="3124"/>
      <c r="O326" s="236" t="s">
        <v>1803</v>
      </c>
      <c r="P326" s="3131"/>
      <c r="Q326" s="633"/>
      <c r="AE326" s="528"/>
      <c r="AF326" s="528"/>
    </row>
    <row r="327" spans="1:256 1523:1523" s="143" customFormat="1" ht="11.25" customHeight="1">
      <c r="A327" s="154"/>
      <c r="C327" s="232" t="s">
        <v>1804</v>
      </c>
      <c r="D327" s="3125" t="s">
        <v>1799</v>
      </c>
      <c r="E327" s="3126"/>
      <c r="F327" s="3126"/>
      <c r="G327" s="3126"/>
      <c r="H327" s="3126"/>
      <c r="I327" s="3126"/>
      <c r="J327" s="3126"/>
      <c r="K327" s="3126"/>
      <c r="L327" s="3126"/>
      <c r="M327" s="3126"/>
      <c r="N327" s="3127"/>
      <c r="O327" s="236" t="s">
        <v>1804</v>
      </c>
      <c r="P327" s="3134"/>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1936</v>
      </c>
      <c r="D329" s="151"/>
      <c r="E329" s="151"/>
      <c r="F329" s="151"/>
      <c r="G329" s="151"/>
      <c r="H329" s="41"/>
      <c r="I329" s="1420"/>
      <c r="J329" s="1420"/>
      <c r="K329" s="1420"/>
      <c r="L329" s="1412"/>
      <c r="M329" s="1412"/>
      <c r="N329" s="1412"/>
      <c r="O329" s="1412"/>
      <c r="P329" s="1412"/>
      <c r="Q329" s="1221"/>
    </row>
    <row r="330" spans="1:256 1523:1523" ht="11.45" customHeight="1">
      <c r="A330" s="3055" t="s">
        <v>4321</v>
      </c>
      <c r="B330" s="3056"/>
      <c r="C330" s="3056"/>
      <c r="D330" s="3056"/>
      <c r="E330" s="3056"/>
      <c r="F330" s="3056"/>
      <c r="G330" s="3056"/>
      <c r="H330" s="3056"/>
      <c r="I330" s="3056"/>
      <c r="J330" s="3056"/>
      <c r="K330" s="3056"/>
      <c r="L330" s="3056"/>
      <c r="M330" s="3056"/>
      <c r="N330" s="3056"/>
      <c r="O330" s="3056"/>
      <c r="P330" s="3056"/>
      <c r="Q330" s="3057"/>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19"/>
      <c r="E331" s="1419"/>
      <c r="F331" s="1419"/>
      <c r="G331" s="1419"/>
      <c r="H331" s="1419"/>
      <c r="I331" s="1419"/>
      <c r="J331" s="1419"/>
      <c r="K331" s="1419"/>
      <c r="L331" s="1419"/>
      <c r="M331" s="1419"/>
      <c r="N331" s="1419"/>
      <c r="O331" s="1419"/>
      <c r="P331" s="1419"/>
      <c r="Q331" s="1419"/>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6">
        <v>20</v>
      </c>
      <c r="B333" s="1426" t="s">
        <v>3025</v>
      </c>
      <c r="C333" s="1426"/>
      <c r="D333" s="1419"/>
      <c r="E333" s="1419"/>
      <c r="F333" s="1419"/>
      <c r="G333" s="1419"/>
      <c r="H333" s="1419"/>
      <c r="O333" s="142" t="s">
        <v>1938</v>
      </c>
      <c r="P333" s="1711"/>
      <c r="Q333" s="1712"/>
    </row>
    <row r="334" spans="1:256 1523:1523" ht="11.45" customHeight="1">
      <c r="B334" s="57" t="s">
        <v>3026</v>
      </c>
      <c r="P334" s="3090" t="s">
        <v>3153</v>
      </c>
      <c r="Q334" s="630"/>
    </row>
    <row r="335" spans="1:256 1523:1523" ht="11.45" customHeight="1">
      <c r="B335" s="155" t="s">
        <v>2431</v>
      </c>
      <c r="P335" s="3091" t="s">
        <v>3156</v>
      </c>
      <c r="Q335" s="632"/>
    </row>
    <row r="336" spans="1:256 1523:1523" ht="11.45" customHeight="1">
      <c r="B336" s="57" t="s">
        <v>3027</v>
      </c>
      <c r="M336" s="3141" t="s">
        <v>3029</v>
      </c>
      <c r="N336" s="3142"/>
      <c r="O336" s="3143"/>
    </row>
    <row r="337" spans="1:31" ht="11.45" customHeight="1">
      <c r="B337" s="460" t="s">
        <v>2432</v>
      </c>
      <c r="M337" s="1756" t="s">
        <v>3028</v>
      </c>
      <c r="N337" s="1757"/>
      <c r="O337" s="1758"/>
    </row>
    <row r="338" spans="1:31" ht="11.25" customHeight="1">
      <c r="B338" s="151" t="s">
        <v>1936</v>
      </c>
      <c r="D338" s="151"/>
      <c r="E338" s="151"/>
      <c r="F338" s="151"/>
      <c r="G338" s="151"/>
      <c r="H338" s="41"/>
      <c r="I338" s="1420"/>
      <c r="J338" s="1420"/>
      <c r="K338" s="1420"/>
      <c r="L338" s="1412"/>
      <c r="M338" s="1412"/>
      <c r="N338" s="1412"/>
      <c r="O338" s="1412"/>
      <c r="P338" s="1412"/>
      <c r="Q338" s="1221"/>
    </row>
    <row r="339" spans="1:31" ht="13.15" customHeight="1">
      <c r="A339" s="3055" t="s">
        <v>4322</v>
      </c>
      <c r="B339" s="3056"/>
      <c r="C339" s="3056"/>
      <c r="D339" s="3056"/>
      <c r="E339" s="3056"/>
      <c r="F339" s="3056"/>
      <c r="G339" s="3056"/>
      <c r="H339" s="3056"/>
      <c r="I339" s="3056"/>
      <c r="J339" s="3056"/>
      <c r="K339" s="3056"/>
      <c r="L339" s="3056"/>
      <c r="M339" s="3056"/>
      <c r="N339" s="3056"/>
      <c r="O339" s="3056"/>
      <c r="P339" s="3056"/>
      <c r="Q339" s="3057"/>
      <c r="R339" s="500" t="s">
        <v>1301</v>
      </c>
      <c r="S339" s="501"/>
      <c r="U339" s="146"/>
      <c r="V339" s="146"/>
      <c r="W339" s="146"/>
      <c r="X339" s="146"/>
      <c r="Y339" s="146"/>
      <c r="Z339" s="146"/>
      <c r="AA339" s="146"/>
      <c r="AB339" s="146"/>
      <c r="AC339" s="146"/>
      <c r="AD339" s="146"/>
      <c r="AE339" s="527"/>
    </row>
    <row r="340" spans="1:31" ht="11.25" customHeight="1">
      <c r="B340" s="147" t="s">
        <v>1937</v>
      </c>
      <c r="C340" s="148"/>
      <c r="D340" s="1419"/>
      <c r="E340" s="1419"/>
      <c r="F340" s="1419"/>
      <c r="G340" s="1419"/>
      <c r="H340" s="1419"/>
      <c r="I340" s="1419"/>
      <c r="J340" s="1419"/>
      <c r="K340" s="1419"/>
      <c r="L340" s="1419"/>
      <c r="M340" s="1419"/>
      <c r="N340" s="1419"/>
      <c r="O340" s="1419"/>
      <c r="P340" s="1419"/>
      <c r="Q340" s="1419"/>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6">
        <v>21</v>
      </c>
      <c r="B342" s="4" t="s">
        <v>2761</v>
      </c>
      <c r="C342" s="4"/>
      <c r="D342" s="92"/>
      <c r="E342" s="1419"/>
      <c r="F342" s="1419"/>
      <c r="G342" s="1419"/>
      <c r="H342" s="1419"/>
      <c r="I342" s="1419"/>
      <c r="J342" s="1419"/>
      <c r="K342" s="1419"/>
      <c r="L342" s="1419"/>
      <c r="M342" s="1419"/>
      <c r="O342" s="142" t="s">
        <v>1938</v>
      </c>
      <c r="P342" s="1711"/>
      <c r="Q342" s="1712"/>
    </row>
    <row r="343" spans="1:31">
      <c r="B343" s="152" t="s">
        <v>2058</v>
      </c>
      <c r="C343" s="1718" t="s">
        <v>4090</v>
      </c>
      <c r="D343" s="1718"/>
      <c r="E343" s="1718"/>
      <c r="F343" s="1718"/>
      <c r="G343" s="1718"/>
      <c r="H343" s="1718"/>
      <c r="I343" s="1718"/>
      <c r="J343" s="1718"/>
      <c r="K343" s="1718"/>
      <c r="L343" s="1718"/>
      <c r="M343" s="1718"/>
      <c r="N343" s="1718"/>
      <c r="O343" s="174" t="s">
        <v>2058</v>
      </c>
      <c r="P343" s="3090" t="s">
        <v>3153</v>
      </c>
      <c r="Q343" s="630"/>
    </row>
    <row r="344" spans="1:31">
      <c r="B344" s="152" t="s">
        <v>2061</v>
      </c>
      <c r="C344" s="1718" t="s">
        <v>4091</v>
      </c>
      <c r="D344" s="1718"/>
      <c r="E344" s="1718"/>
      <c r="F344" s="1718"/>
      <c r="G344" s="1718"/>
      <c r="H344" s="1718"/>
      <c r="I344" s="1718"/>
      <c r="J344" s="1718"/>
      <c r="K344" s="1718"/>
      <c r="L344" s="1718"/>
      <c r="M344" s="1718"/>
      <c r="N344" s="1718"/>
      <c r="O344" s="174" t="s">
        <v>2061</v>
      </c>
      <c r="P344" s="3093" t="s">
        <v>3156</v>
      </c>
      <c r="Q344" s="631"/>
    </row>
    <row r="345" spans="1:31" ht="22.5" customHeight="1">
      <c r="B345" s="152" t="s">
        <v>779</v>
      </c>
      <c r="C345" s="1718" t="s">
        <v>3736</v>
      </c>
      <c r="D345" s="1718"/>
      <c r="E345" s="1718"/>
      <c r="F345" s="1718"/>
      <c r="G345" s="1718"/>
      <c r="H345" s="1718"/>
      <c r="I345" s="1718"/>
      <c r="J345" s="1718"/>
      <c r="K345" s="1718"/>
      <c r="L345" s="1718"/>
      <c r="M345" s="1718"/>
      <c r="N345" s="1718"/>
      <c r="O345" s="174" t="s">
        <v>779</v>
      </c>
      <c r="P345" s="3091"/>
      <c r="Q345" s="631"/>
    </row>
    <row r="346" spans="1:31" ht="11.25" customHeight="1">
      <c r="B346" s="151" t="s">
        <v>1936</v>
      </c>
      <c r="D346" s="151"/>
      <c r="E346" s="151"/>
      <c r="F346" s="151"/>
      <c r="G346" s="151"/>
      <c r="H346" s="41"/>
      <c r="I346" s="1420"/>
      <c r="J346" s="1420"/>
      <c r="K346" s="1420"/>
      <c r="L346" s="1412"/>
      <c r="M346" s="1412"/>
      <c r="N346" s="1412"/>
      <c r="O346" s="1412"/>
      <c r="P346" s="1412"/>
      <c r="Q346" s="1221"/>
    </row>
    <row r="347" spans="1:31" ht="11.45" customHeight="1">
      <c r="A347" s="3055" t="s">
        <v>4323</v>
      </c>
      <c r="B347" s="3056"/>
      <c r="C347" s="3056"/>
      <c r="D347" s="3056"/>
      <c r="E347" s="3056"/>
      <c r="F347" s="3056"/>
      <c r="G347" s="3056"/>
      <c r="H347" s="3056"/>
      <c r="I347" s="3056"/>
      <c r="J347" s="3056"/>
      <c r="K347" s="3056"/>
      <c r="L347" s="3056"/>
      <c r="M347" s="3056"/>
      <c r="N347" s="3056"/>
      <c r="O347" s="3056"/>
      <c r="P347" s="3056"/>
      <c r="Q347" s="3057"/>
      <c r="U347" s="146"/>
      <c r="V347" s="146"/>
      <c r="W347" s="146"/>
      <c r="X347" s="146"/>
      <c r="Y347" s="146"/>
      <c r="Z347" s="146"/>
      <c r="AA347" s="146"/>
      <c r="AB347" s="146"/>
      <c r="AC347" s="146"/>
      <c r="AD347" s="146"/>
      <c r="AE347" s="527"/>
    </row>
    <row r="348" spans="1:31" ht="11.25" customHeight="1">
      <c r="B348" s="147" t="s">
        <v>1937</v>
      </c>
      <c r="C348" s="148"/>
      <c r="D348" s="1419"/>
      <c r="E348" s="1419"/>
      <c r="F348" s="1419"/>
      <c r="G348" s="1419"/>
      <c r="H348" s="1419"/>
      <c r="I348" s="1419"/>
      <c r="J348" s="1419"/>
      <c r="K348" s="1419"/>
      <c r="L348" s="1419"/>
      <c r="M348" s="1419"/>
      <c r="N348" s="1419"/>
      <c r="O348" s="1419"/>
      <c r="P348" s="1419"/>
      <c r="Q348" s="1419"/>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2782</v>
      </c>
      <c r="C351" s="4"/>
      <c r="D351" s="4"/>
      <c r="E351" s="4"/>
      <c r="F351" s="4"/>
      <c r="G351" s="4"/>
      <c r="H351" s="1419"/>
      <c r="I351" s="1419"/>
      <c r="J351" s="1419"/>
      <c r="K351" s="1419"/>
      <c r="L351" s="1419"/>
      <c r="M351" s="1419"/>
      <c r="O351" s="142" t="s">
        <v>1938</v>
      </c>
      <c r="P351" s="1711"/>
      <c r="Q351" s="1712"/>
    </row>
    <row r="352" spans="1:31" ht="12" customHeight="1">
      <c r="B352" s="48" t="s">
        <v>2058</v>
      </c>
      <c r="C352" s="126" t="s">
        <v>2780</v>
      </c>
      <c r="D352" s="161"/>
      <c r="E352" s="161"/>
      <c r="F352" s="161"/>
      <c r="G352" s="161"/>
      <c r="H352" s="161"/>
      <c r="I352" s="43"/>
      <c r="J352" s="525" t="s">
        <v>2058</v>
      </c>
      <c r="K352" s="3070"/>
      <c r="L352" s="3071"/>
      <c r="M352" s="3071"/>
      <c r="N352" s="3071"/>
      <c r="O352" s="3071"/>
      <c r="P352" s="3072"/>
      <c r="Q352" s="627"/>
    </row>
    <row r="353" spans="1:32" ht="21.75" customHeight="1">
      <c r="B353" s="152" t="s">
        <v>2061</v>
      </c>
      <c r="C353" s="1719" t="s">
        <v>3891</v>
      </c>
      <c r="D353" s="1719"/>
      <c r="E353" s="1719"/>
      <c r="F353" s="1719"/>
      <c r="G353" s="1719"/>
      <c r="H353" s="1719"/>
      <c r="I353" s="1719"/>
      <c r="J353" s="1719"/>
      <c r="K353" s="1719"/>
      <c r="L353" s="1719"/>
      <c r="M353" s="1719"/>
      <c r="N353" s="1719"/>
      <c r="O353" s="174" t="s">
        <v>2061</v>
      </c>
      <c r="P353" s="3131"/>
      <c r="Q353" s="630"/>
    </row>
    <row r="354" spans="1:32" ht="21.75" customHeight="1">
      <c r="B354" s="152" t="s">
        <v>779</v>
      </c>
      <c r="C354" s="1718" t="s">
        <v>3892</v>
      </c>
      <c r="D354" s="1718"/>
      <c r="E354" s="1718"/>
      <c r="F354" s="1718"/>
      <c r="G354" s="1718"/>
      <c r="H354" s="1718"/>
      <c r="I354" s="1718"/>
      <c r="J354" s="1718"/>
      <c r="K354" s="1718"/>
      <c r="L354" s="1718"/>
      <c r="M354" s="1718"/>
      <c r="N354" s="1718"/>
      <c r="O354" s="174" t="s">
        <v>779</v>
      </c>
      <c r="P354" s="3094"/>
      <c r="Q354" s="634"/>
    </row>
    <row r="355" spans="1:32" ht="11.45" customHeight="1">
      <c r="B355" s="48" t="s">
        <v>2193</v>
      </c>
      <c r="C355" s="54" t="s">
        <v>2781</v>
      </c>
      <c r="D355" s="54"/>
      <c r="E355" s="54"/>
      <c r="F355" s="54"/>
      <c r="G355" s="54"/>
      <c r="H355" s="54"/>
      <c r="I355" s="54"/>
      <c r="J355" s="54"/>
      <c r="K355" s="54"/>
      <c r="L355" s="54"/>
      <c r="M355" s="54"/>
      <c r="O355" s="525" t="s">
        <v>2193</v>
      </c>
      <c r="P355" s="3093"/>
      <c r="Q355" s="631"/>
    </row>
    <row r="356" spans="1:32" s="143" customFormat="1" ht="21.75" customHeight="1">
      <c r="B356" s="152" t="s">
        <v>1801</v>
      </c>
      <c r="C356" s="1718" t="s">
        <v>3893</v>
      </c>
      <c r="D356" s="1718"/>
      <c r="E356" s="1718"/>
      <c r="F356" s="1718"/>
      <c r="G356" s="1718"/>
      <c r="H356" s="1718"/>
      <c r="I356" s="1718"/>
      <c r="J356" s="1718"/>
      <c r="K356" s="1718"/>
      <c r="L356" s="1718"/>
      <c r="M356" s="1718"/>
      <c r="N356" s="1718"/>
      <c r="O356" s="174" t="s">
        <v>1801</v>
      </c>
      <c r="P356" s="3144"/>
      <c r="Q356" s="1179"/>
      <c r="AE356" s="528"/>
      <c r="AF356" s="528"/>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31"/>
      <c r="Q357" s="633"/>
      <c r="AE357" s="528"/>
      <c r="AF357" s="528"/>
    </row>
    <row r="358" spans="1:32" s="143" customFormat="1" ht="11.45" customHeight="1">
      <c r="B358" s="152"/>
      <c r="C358" s="232" t="s">
        <v>1803</v>
      </c>
      <c r="D358" s="1178" t="s">
        <v>3894</v>
      </c>
      <c r="E358" s="1419"/>
      <c r="F358" s="1419"/>
      <c r="G358" s="1419"/>
      <c r="H358" s="1419"/>
      <c r="I358" s="1419"/>
      <c r="J358" s="1419"/>
      <c r="K358" s="1419"/>
      <c r="L358" s="1419"/>
      <c r="M358" s="1419"/>
      <c r="N358" s="1419"/>
      <c r="O358" s="174"/>
      <c r="P358" s="3134"/>
      <c r="Q358" s="635"/>
      <c r="AE358" s="528"/>
      <c r="AF358" s="528"/>
    </row>
    <row r="359" spans="1:32" ht="21.75" customHeight="1">
      <c r="B359" s="152" t="s">
        <v>2021</v>
      </c>
      <c r="C359" s="1718" t="s">
        <v>3895</v>
      </c>
      <c r="D359" s="1718"/>
      <c r="E359" s="1718"/>
      <c r="F359" s="1718"/>
      <c r="G359" s="1718"/>
      <c r="H359" s="1718"/>
      <c r="I359" s="1718"/>
      <c r="J359" s="1718"/>
      <c r="K359" s="1718"/>
      <c r="L359" s="1718"/>
      <c r="M359" s="1718"/>
      <c r="N359" s="1718"/>
      <c r="O359" s="174" t="s">
        <v>2021</v>
      </c>
      <c r="P359" s="3131"/>
      <c r="Q359" s="633"/>
    </row>
    <row r="360" spans="1:32" ht="33" customHeight="1">
      <c r="B360" s="152" t="s">
        <v>3559</v>
      </c>
      <c r="C360" s="1745" t="s">
        <v>3896</v>
      </c>
      <c r="D360" s="1745"/>
      <c r="E360" s="1745"/>
      <c r="F360" s="1745"/>
      <c r="G360" s="1745"/>
      <c r="H360" s="1745"/>
      <c r="I360" s="1745"/>
      <c r="J360" s="1745"/>
      <c r="K360" s="1745"/>
      <c r="L360" s="1745"/>
      <c r="M360" s="1745"/>
      <c r="N360" s="1745"/>
      <c r="O360" s="174" t="s">
        <v>3559</v>
      </c>
      <c r="P360" s="3134"/>
      <c r="Q360" s="635"/>
    </row>
    <row r="361" spans="1:32" ht="11.25" customHeight="1">
      <c r="B361" s="151" t="s">
        <v>1936</v>
      </c>
      <c r="D361" s="151"/>
      <c r="E361" s="151"/>
      <c r="F361" s="151"/>
      <c r="G361" s="151"/>
      <c r="H361" s="41"/>
      <c r="I361" s="1420"/>
      <c r="J361" s="1420"/>
      <c r="K361" s="1420"/>
      <c r="L361" s="1412"/>
      <c r="M361" s="1412"/>
      <c r="N361" s="1412"/>
      <c r="O361" s="1412"/>
      <c r="P361" s="1412"/>
      <c r="Q361" s="1221"/>
    </row>
    <row r="362" spans="1:32" ht="11.45" customHeight="1">
      <c r="A362" s="3055" t="s">
        <v>4326</v>
      </c>
      <c r="B362" s="3056"/>
      <c r="C362" s="3056"/>
      <c r="D362" s="3056"/>
      <c r="E362" s="3056"/>
      <c r="F362" s="3056"/>
      <c r="G362" s="3056"/>
      <c r="H362" s="3056"/>
      <c r="I362" s="3056"/>
      <c r="J362" s="3056"/>
      <c r="K362" s="3056"/>
      <c r="L362" s="3056"/>
      <c r="M362" s="3056"/>
      <c r="N362" s="3056"/>
      <c r="O362" s="3056"/>
      <c r="P362" s="3056"/>
      <c r="Q362" s="3057"/>
      <c r="U362" s="146"/>
      <c r="V362" s="146"/>
      <c r="W362" s="146"/>
      <c r="X362" s="146"/>
      <c r="Y362" s="146"/>
      <c r="Z362" s="146"/>
      <c r="AA362" s="146"/>
      <c r="AB362" s="146"/>
      <c r="AC362" s="146"/>
      <c r="AD362" s="146"/>
      <c r="AE362" s="527"/>
    </row>
    <row r="363" spans="1:32" ht="11.25" customHeight="1">
      <c r="B363" s="147" t="s">
        <v>1937</v>
      </c>
      <c r="C363" s="148"/>
      <c r="D363" s="1419"/>
      <c r="E363" s="1419"/>
      <c r="F363" s="1419"/>
      <c r="G363" s="1419"/>
      <c r="H363" s="1419"/>
      <c r="I363" s="1419"/>
      <c r="J363" s="1419"/>
      <c r="K363" s="1419"/>
      <c r="L363" s="1419"/>
      <c r="M363" s="1419"/>
      <c r="N363" s="1419"/>
      <c r="O363" s="1419"/>
      <c r="P363" s="1419"/>
      <c r="Q363" s="1419"/>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2784</v>
      </c>
      <c r="C366" s="4"/>
      <c r="D366" s="4"/>
      <c r="E366" s="4"/>
      <c r="F366" s="4"/>
      <c r="G366" s="4"/>
      <c r="H366" s="1419"/>
      <c r="I366" s="1419"/>
      <c r="J366" s="1419"/>
      <c r="O366" s="142" t="s">
        <v>1938</v>
      </c>
      <c r="P366" s="1711"/>
      <c r="Q366" s="1712"/>
    </row>
    <row r="367" spans="1:32" ht="11.45" customHeight="1">
      <c r="B367" s="48" t="s">
        <v>2058</v>
      </c>
      <c r="C367" s="126" t="s">
        <v>1071</v>
      </c>
      <c r="E367" s="3095"/>
      <c r="F367" s="3096"/>
      <c r="G367" s="3096"/>
      <c r="H367" s="3096"/>
      <c r="I367" s="3097"/>
      <c r="J367" s="1767" t="s">
        <v>2765</v>
      </c>
      <c r="K367" s="1768"/>
      <c r="L367" s="1769"/>
      <c r="M367" s="3095"/>
      <c r="N367" s="3096"/>
      <c r="O367" s="3096"/>
      <c r="P367" s="3096"/>
      <c r="Q367" s="3097"/>
    </row>
    <row r="368" spans="1:32" ht="11.45" customHeight="1">
      <c r="B368" s="48" t="s">
        <v>2061</v>
      </c>
      <c r="C368" s="54" t="s">
        <v>3720</v>
      </c>
      <c r="D368" s="54"/>
      <c r="E368" s="54"/>
      <c r="F368" s="54"/>
      <c r="G368" s="54"/>
      <c r="H368" s="54"/>
      <c r="I368" s="54"/>
      <c r="J368" s="54"/>
      <c r="K368" s="54"/>
      <c r="L368" s="1222"/>
      <c r="M368" s="1222"/>
      <c r="O368" s="525" t="s">
        <v>2061</v>
      </c>
      <c r="P368" s="3090"/>
      <c r="Q368" s="630"/>
    </row>
    <row r="369" spans="1:31" ht="22.5" customHeight="1">
      <c r="B369" s="152" t="s">
        <v>779</v>
      </c>
      <c r="C369" s="1719" t="s">
        <v>3737</v>
      </c>
      <c r="D369" s="1719"/>
      <c r="E369" s="1719"/>
      <c r="F369" s="1719"/>
      <c r="G369" s="1719"/>
      <c r="H369" s="1719"/>
      <c r="I369" s="1719"/>
      <c r="J369" s="1719"/>
      <c r="K369" s="1719"/>
      <c r="L369" s="1719"/>
      <c r="M369" s="1719"/>
      <c r="N369" s="1719"/>
      <c r="O369" s="525" t="s">
        <v>779</v>
      </c>
      <c r="P369" s="3091"/>
      <c r="Q369" s="632"/>
    </row>
    <row r="370" spans="1:31">
      <c r="B370" s="48" t="s">
        <v>2193</v>
      </c>
      <c r="C370" s="57" t="s">
        <v>4151</v>
      </c>
      <c r="G370" s="1424"/>
      <c r="H370" s="1424"/>
      <c r="I370" s="1424"/>
      <c r="J370" s="1222" t="s">
        <v>4152</v>
      </c>
      <c r="L370" s="1424"/>
      <c r="M370" s="1759">
        <f>'Part III-Sources of Funds'!E10</f>
        <v>0</v>
      </c>
      <c r="N370" s="1760"/>
      <c r="O370" s="525" t="s">
        <v>2193</v>
      </c>
      <c r="P370" s="3091"/>
      <c r="Q370" s="632"/>
    </row>
    <row r="371" spans="1:31" ht="11.25" customHeight="1">
      <c r="B371" s="151" t="s">
        <v>1936</v>
      </c>
      <c r="D371" s="151"/>
      <c r="E371" s="151"/>
      <c r="F371" s="151"/>
      <c r="G371" s="151"/>
      <c r="H371" s="41"/>
      <c r="I371" s="1420"/>
      <c r="J371" s="1420"/>
      <c r="K371" s="1420"/>
      <c r="L371" s="1412"/>
      <c r="M371" s="1412"/>
      <c r="N371" s="1412"/>
      <c r="O371" s="1412"/>
      <c r="P371" s="1412"/>
      <c r="Q371" s="1221"/>
    </row>
    <row r="372" spans="1:31" ht="11.45" customHeight="1">
      <c r="A372" s="3055" t="s">
        <v>4324</v>
      </c>
      <c r="B372" s="3056"/>
      <c r="C372" s="3056"/>
      <c r="D372" s="3056"/>
      <c r="E372" s="3056"/>
      <c r="F372" s="3056"/>
      <c r="G372" s="3056"/>
      <c r="H372" s="3056"/>
      <c r="I372" s="3056"/>
      <c r="J372" s="3056"/>
      <c r="K372" s="3056"/>
      <c r="L372" s="3056"/>
      <c r="M372" s="3056"/>
      <c r="N372" s="3056"/>
      <c r="O372" s="3056"/>
      <c r="P372" s="3056"/>
      <c r="Q372" s="3057"/>
      <c r="U372" s="146"/>
      <c r="V372" s="146"/>
      <c r="W372" s="146"/>
      <c r="X372" s="146"/>
      <c r="Y372" s="146"/>
      <c r="Z372" s="146"/>
      <c r="AA372" s="146"/>
      <c r="AB372" s="146"/>
      <c r="AC372" s="146"/>
      <c r="AD372" s="146"/>
      <c r="AE372" s="527"/>
    </row>
    <row r="373" spans="1:31" ht="11.25" customHeight="1">
      <c r="B373" s="147" t="s">
        <v>1937</v>
      </c>
      <c r="C373" s="148"/>
      <c r="D373" s="1419"/>
      <c r="E373" s="1419"/>
      <c r="F373" s="1419"/>
      <c r="G373" s="1419"/>
      <c r="H373" s="1419"/>
      <c r="I373" s="1419"/>
      <c r="J373" s="1419"/>
      <c r="K373" s="1419"/>
      <c r="L373" s="1419"/>
      <c r="M373" s="1419"/>
      <c r="N373" s="1419"/>
      <c r="O373" s="1419"/>
      <c r="P373" s="1419"/>
      <c r="Q373" s="1419"/>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2762</v>
      </c>
      <c r="C376" s="4"/>
      <c r="D376" s="4"/>
      <c r="E376" s="1419"/>
      <c r="G376" s="150" t="s">
        <v>729</v>
      </c>
      <c r="H376" s="1419"/>
      <c r="I376" s="1419"/>
      <c r="J376" s="1419"/>
      <c r="K376" s="1419"/>
      <c r="L376" s="1419"/>
      <c r="M376" s="1419"/>
      <c r="O376" s="142" t="s">
        <v>1938</v>
      </c>
      <c r="P376" s="1711"/>
      <c r="Q376" s="1750"/>
    </row>
    <row r="377" spans="1:31" ht="12" customHeight="1">
      <c r="A377" s="154"/>
      <c r="B377" s="48" t="s">
        <v>2058</v>
      </c>
      <c r="C377" s="54" t="s">
        <v>2767</v>
      </c>
      <c r="D377" s="1223"/>
      <c r="E377" s="1223"/>
      <c r="H377" s="150"/>
      <c r="O377" s="525" t="s">
        <v>2058</v>
      </c>
      <c r="P377" s="3090"/>
      <c r="Q377" s="630"/>
    </row>
    <row r="378" spans="1:31" ht="12" customHeight="1">
      <c r="A378" s="154"/>
      <c r="B378" s="48" t="s">
        <v>2061</v>
      </c>
      <c r="C378" s="54" t="s">
        <v>3897</v>
      </c>
      <c r="D378" s="1223"/>
      <c r="E378" s="1223"/>
      <c r="O378" s="525" t="s">
        <v>2061</v>
      </c>
      <c r="P378" s="3093"/>
      <c r="Q378" s="631"/>
    </row>
    <row r="379" spans="1:31" ht="12" customHeight="1">
      <c r="A379" s="154"/>
      <c r="B379" s="48" t="s">
        <v>779</v>
      </c>
      <c r="C379" s="54" t="s">
        <v>3898</v>
      </c>
      <c r="D379" s="1223"/>
      <c r="E379" s="1223"/>
      <c r="O379" s="525" t="s">
        <v>779</v>
      </c>
      <c r="P379" s="3093"/>
      <c r="Q379" s="631"/>
    </row>
    <row r="380" spans="1:31" ht="12" customHeight="1">
      <c r="A380" s="154"/>
      <c r="B380" s="48" t="s">
        <v>2193</v>
      </c>
      <c r="C380" s="54" t="s">
        <v>3899</v>
      </c>
      <c r="E380" s="150"/>
      <c r="O380" s="525" t="s">
        <v>2193</v>
      </c>
      <c r="P380" s="3093"/>
      <c r="Q380" s="631"/>
    </row>
    <row r="381" spans="1:31" ht="12" customHeight="1">
      <c r="B381" s="48" t="s">
        <v>1801</v>
      </c>
      <c r="C381" s="54" t="s">
        <v>2157</v>
      </c>
      <c r="E381" s="150"/>
      <c r="G381" s="525" t="s">
        <v>1801</v>
      </c>
      <c r="H381" s="3145"/>
      <c r="I381" s="3146"/>
      <c r="J381" s="3146"/>
      <c r="K381" s="3146"/>
      <c r="L381" s="3146"/>
      <c r="M381" s="3146"/>
      <c r="N381" s="3146"/>
      <c r="O381" s="3147"/>
      <c r="P381" s="3091"/>
      <c r="Q381" s="632"/>
    </row>
    <row r="382" spans="1:31" ht="11.25" customHeight="1">
      <c r="B382" s="151" t="s">
        <v>1936</v>
      </c>
      <c r="D382" s="151"/>
      <c r="E382" s="151"/>
      <c r="F382" s="151"/>
      <c r="G382" s="151"/>
      <c r="H382" s="41"/>
      <c r="I382" s="1420"/>
      <c r="J382" s="1420"/>
      <c r="K382" s="1420"/>
      <c r="L382" s="1412"/>
      <c r="M382" s="1412"/>
      <c r="N382" s="1412"/>
      <c r="O382" s="1412"/>
      <c r="P382" s="1412"/>
      <c r="Q382" s="1221"/>
    </row>
    <row r="383" spans="1:31" ht="11.45" customHeight="1">
      <c r="A383" s="3055" t="s">
        <v>4325</v>
      </c>
      <c r="B383" s="3056"/>
      <c r="C383" s="3056"/>
      <c r="D383" s="3056"/>
      <c r="E383" s="3056"/>
      <c r="F383" s="3056"/>
      <c r="G383" s="3056"/>
      <c r="H383" s="3056"/>
      <c r="I383" s="3056"/>
      <c r="J383" s="3056"/>
      <c r="K383" s="3056"/>
      <c r="L383" s="3056"/>
      <c r="M383" s="3056"/>
      <c r="N383" s="3056"/>
      <c r="O383" s="3056"/>
      <c r="P383" s="3056"/>
      <c r="Q383" s="3057"/>
      <c r="U383" s="146"/>
      <c r="V383" s="146"/>
      <c r="W383" s="146"/>
      <c r="X383" s="146"/>
      <c r="Y383" s="146"/>
      <c r="Z383" s="146"/>
      <c r="AA383" s="146"/>
      <c r="AB383" s="146"/>
      <c r="AC383" s="146"/>
      <c r="AD383" s="146"/>
      <c r="AE383" s="527"/>
    </row>
    <row r="384" spans="1:31" ht="11.25" customHeight="1">
      <c r="B384" s="147" t="s">
        <v>1937</v>
      </c>
      <c r="C384" s="148"/>
      <c r="D384" s="1419"/>
      <c r="E384" s="1419"/>
      <c r="F384" s="1419"/>
      <c r="G384" s="1419"/>
      <c r="H384" s="1419"/>
      <c r="I384" s="1419"/>
      <c r="J384" s="1419"/>
      <c r="K384" s="1419"/>
      <c r="L384" s="1419"/>
      <c r="M384" s="1419"/>
      <c r="N384" s="1419"/>
      <c r="O384" s="1419"/>
      <c r="P384" s="1419"/>
      <c r="Q384" s="1419"/>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2763</v>
      </c>
      <c r="C387" s="4"/>
      <c r="D387" s="4"/>
      <c r="E387" s="4"/>
      <c r="F387" s="4"/>
      <c r="G387" s="4"/>
      <c r="H387" s="1419"/>
      <c r="I387" s="1419"/>
      <c r="J387" s="1419"/>
      <c r="K387" s="1419"/>
      <c r="L387" s="1419"/>
      <c r="M387" s="1419"/>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5" t="s">
        <v>2058</v>
      </c>
      <c r="P388" s="3090"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1" t="s">
        <v>3153</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0" t="s">
        <v>3156</v>
      </c>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3133" t="s">
        <v>3156</v>
      </c>
      <c r="Q392" s="628"/>
      <c r="AE392" s="529"/>
      <c r="AF392" s="529"/>
    </row>
    <row r="393" spans="1:32" ht="12" customHeight="1">
      <c r="A393" s="43"/>
      <c r="B393" s="48" t="s">
        <v>779</v>
      </c>
      <c r="C393" s="1719" t="s">
        <v>2280</v>
      </c>
      <c r="D393" s="1719"/>
      <c r="E393" s="1719"/>
      <c r="F393" s="1719"/>
      <c r="G393" s="1719"/>
      <c r="H393" s="1719"/>
      <c r="I393" s="1719"/>
      <c r="J393" s="1719"/>
      <c r="K393" s="1719"/>
      <c r="L393" s="1719"/>
      <c r="M393" s="1719"/>
      <c r="N393" s="1719"/>
      <c r="O393" s="525" t="s">
        <v>779</v>
      </c>
      <c r="P393" s="3091"/>
      <c r="Q393" s="632"/>
    </row>
    <row r="394" spans="1:32" ht="12" customHeight="1">
      <c r="A394" s="43"/>
      <c r="B394" s="48" t="s">
        <v>2193</v>
      </c>
      <c r="C394" s="1222" t="s">
        <v>2938</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3148"/>
      <c r="H395" s="644"/>
      <c r="J395" s="145" t="s">
        <v>2284</v>
      </c>
      <c r="K395" s="1222"/>
      <c r="N395" s="3148"/>
      <c r="O395" s="644"/>
    </row>
    <row r="396" spans="1:32" ht="12" customHeight="1">
      <c r="A396" s="43"/>
      <c r="B396" s="48"/>
      <c r="C396" s="145" t="s">
        <v>2282</v>
      </c>
      <c r="D396" s="37"/>
      <c r="E396" s="43"/>
      <c r="F396" s="1222"/>
      <c r="G396" s="3149"/>
      <c r="H396" s="645"/>
      <c r="J396" s="145" t="s">
        <v>2285</v>
      </c>
      <c r="K396" s="1222"/>
      <c r="N396" s="3150"/>
      <c r="O396" s="646"/>
    </row>
    <row r="397" spans="1:32" ht="12" customHeight="1">
      <c r="A397" s="43"/>
      <c r="B397" s="48"/>
      <c r="C397" s="145" t="s">
        <v>2283</v>
      </c>
      <c r="D397" s="37"/>
      <c r="E397" s="43"/>
      <c r="F397" s="1222"/>
      <c r="G397" s="3150"/>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090"/>
      <c r="H399" s="630"/>
      <c r="J399" s="484" t="s">
        <v>1225</v>
      </c>
      <c r="K399" s="1222"/>
      <c r="N399" s="3133"/>
      <c r="O399" s="628"/>
    </row>
    <row r="400" spans="1:32" ht="12" customHeight="1">
      <c r="A400" s="43"/>
      <c r="B400" s="48"/>
      <c r="C400" s="484" t="s">
        <v>1224</v>
      </c>
      <c r="D400" s="1222"/>
      <c r="E400" s="1222"/>
      <c r="F400" s="1222"/>
      <c r="G400" s="3091"/>
      <c r="H400" s="632"/>
      <c r="J400" s="484" t="s">
        <v>2333</v>
      </c>
      <c r="N400" s="3151"/>
      <c r="O400" s="3152"/>
      <c r="P400" s="3152"/>
      <c r="Q400" s="3153"/>
    </row>
    <row r="401" spans="1:32" ht="12" customHeight="1">
      <c r="B401" s="151" t="s">
        <v>1936</v>
      </c>
      <c r="D401" s="151"/>
      <c r="E401" s="151"/>
      <c r="F401" s="151"/>
      <c r="G401" s="151"/>
      <c r="H401" s="41"/>
      <c r="I401" s="1420"/>
      <c r="J401" s="1420"/>
      <c r="K401" s="1420"/>
      <c r="P401" s="1412"/>
      <c r="Q401" s="1221"/>
    </row>
    <row r="402" spans="1:32" ht="12" customHeight="1">
      <c r="A402" s="3055" t="s">
        <v>4332</v>
      </c>
      <c r="B402" s="3056"/>
      <c r="C402" s="3056"/>
      <c r="D402" s="3056"/>
      <c r="E402" s="3056"/>
      <c r="F402" s="3056"/>
      <c r="G402" s="3056"/>
      <c r="H402" s="3056"/>
      <c r="I402" s="3056"/>
      <c r="J402" s="3056"/>
      <c r="K402" s="3056"/>
      <c r="L402" s="3056"/>
      <c r="M402" s="3056"/>
      <c r="N402" s="3056"/>
      <c r="O402" s="3056"/>
      <c r="P402" s="3056"/>
      <c r="Q402" s="3057"/>
      <c r="U402" s="146"/>
      <c r="V402" s="146"/>
      <c r="W402" s="146"/>
      <c r="X402" s="146"/>
      <c r="Y402" s="146"/>
      <c r="Z402" s="146"/>
      <c r="AA402" s="146"/>
      <c r="AB402" s="146"/>
      <c r="AC402" s="146"/>
      <c r="AD402" s="146"/>
      <c r="AE402" s="527"/>
    </row>
    <row r="403" spans="1:32" ht="12" customHeight="1">
      <c r="B403" s="147" t="s">
        <v>1937</v>
      </c>
      <c r="C403" s="148"/>
      <c r="D403" s="1419"/>
      <c r="E403" s="1419"/>
      <c r="F403" s="1419"/>
      <c r="G403" s="1419"/>
      <c r="H403" s="1419"/>
      <c r="I403" s="1419"/>
      <c r="J403" s="1419"/>
      <c r="K403" s="1419"/>
      <c r="L403" s="1419"/>
      <c r="M403" s="1419"/>
      <c r="N403" s="1419"/>
      <c r="O403" s="1419"/>
      <c r="P403" s="1419"/>
      <c r="Q403" s="1419"/>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2939</v>
      </c>
      <c r="C406" s="4"/>
      <c r="D406" s="92"/>
      <c r="E406" s="1419"/>
      <c r="F406" s="1419"/>
      <c r="G406" s="1419"/>
      <c r="H406" s="1419"/>
      <c r="O406" s="142" t="s">
        <v>1938</v>
      </c>
      <c r="P406" s="1711"/>
      <c r="Q406" s="1712"/>
    </row>
    <row r="407" spans="1:32" ht="13.9" customHeight="1">
      <c r="A407" s="1426"/>
      <c r="B407" s="92" t="s">
        <v>3561</v>
      </c>
      <c r="C407" s="4"/>
      <c r="D407" s="92"/>
      <c r="E407" s="1419"/>
      <c r="F407" s="1419"/>
      <c r="G407" s="1419"/>
      <c r="H407" s="1419"/>
    </row>
    <row r="408" spans="1:32" s="143" customFormat="1" ht="21.75" customHeight="1">
      <c r="B408" s="152" t="s">
        <v>2058</v>
      </c>
      <c r="C408" s="1749" t="s">
        <v>3562</v>
      </c>
      <c r="D408" s="1749"/>
      <c r="E408" s="1749"/>
      <c r="F408" s="1749"/>
      <c r="G408" s="1749"/>
      <c r="H408" s="1749"/>
      <c r="I408" s="1749"/>
      <c r="J408" s="1749"/>
      <c r="K408" s="1749"/>
      <c r="L408" s="1749"/>
      <c r="M408" s="1749"/>
      <c r="N408" s="1749"/>
      <c r="O408" s="174" t="s">
        <v>2058</v>
      </c>
      <c r="P408" s="3131" t="s">
        <v>4228</v>
      </c>
      <c r="Q408" s="633"/>
      <c r="AE408" s="528"/>
      <c r="AF408" s="528"/>
    </row>
    <row r="409" spans="1:32" s="143" customFormat="1">
      <c r="B409" s="152" t="s">
        <v>2061</v>
      </c>
      <c r="C409" s="1749" t="s">
        <v>3739</v>
      </c>
      <c r="D409" s="1749"/>
      <c r="E409" s="1749"/>
      <c r="F409" s="1749"/>
      <c r="G409" s="1749"/>
      <c r="H409" s="1749"/>
      <c r="I409" s="1749"/>
      <c r="J409" s="1749"/>
      <c r="K409" s="1749"/>
      <c r="L409" s="1749"/>
      <c r="M409" s="1749"/>
      <c r="N409" s="1749"/>
      <c r="O409" s="174" t="s">
        <v>2061</v>
      </c>
      <c r="P409" s="3094" t="s">
        <v>4228</v>
      </c>
      <c r="Q409" s="634"/>
      <c r="AE409" s="528"/>
      <c r="AF409" s="528"/>
    </row>
    <row r="410" spans="1:32" s="143" customFormat="1">
      <c r="B410" s="152" t="s">
        <v>779</v>
      </c>
      <c r="C410" s="1749" t="s">
        <v>3740</v>
      </c>
      <c r="D410" s="1749"/>
      <c r="E410" s="1749"/>
      <c r="F410" s="1749"/>
      <c r="G410" s="1749"/>
      <c r="H410" s="1749"/>
      <c r="I410" s="1749"/>
      <c r="J410" s="1749"/>
      <c r="K410" s="1749"/>
      <c r="L410" s="1749"/>
      <c r="M410" s="1749"/>
      <c r="N410" s="1749"/>
      <c r="O410" s="174" t="s">
        <v>779</v>
      </c>
      <c r="P410" s="3094" t="s">
        <v>4228</v>
      </c>
      <c r="Q410" s="634"/>
      <c r="AE410" s="528"/>
      <c r="AF410" s="528"/>
    </row>
    <row r="411" spans="1:32" s="143" customFormat="1" ht="22.5" customHeight="1">
      <c r="B411" s="152" t="s">
        <v>2193</v>
      </c>
      <c r="C411" s="1749" t="s">
        <v>3563</v>
      </c>
      <c r="D411" s="1749"/>
      <c r="E411" s="1749"/>
      <c r="F411" s="1749"/>
      <c r="G411" s="1749"/>
      <c r="H411" s="1749"/>
      <c r="I411" s="1749"/>
      <c r="J411" s="1749"/>
      <c r="K411" s="1749"/>
      <c r="L411" s="1749"/>
      <c r="M411" s="1749"/>
      <c r="N411" s="1749"/>
      <c r="O411" s="174" t="s">
        <v>2193</v>
      </c>
      <c r="P411" s="3094" t="s">
        <v>4228</v>
      </c>
      <c r="Q411" s="634"/>
      <c r="AE411" s="528"/>
      <c r="AF411" s="528"/>
    </row>
    <row r="412" spans="1:32" s="143" customFormat="1">
      <c r="B412" s="152" t="s">
        <v>1801</v>
      </c>
      <c r="C412" s="1749" t="s">
        <v>3564</v>
      </c>
      <c r="D412" s="1749"/>
      <c r="E412" s="1749"/>
      <c r="F412" s="1749"/>
      <c r="G412" s="1749"/>
      <c r="H412" s="1749"/>
      <c r="I412" s="1749"/>
      <c r="J412" s="1749"/>
      <c r="K412" s="1749"/>
      <c r="L412" s="1749"/>
      <c r="M412" s="1749"/>
      <c r="N412" s="1749"/>
      <c r="O412" s="174" t="s">
        <v>1801</v>
      </c>
      <c r="P412" s="3094" t="s">
        <v>4228</v>
      </c>
      <c r="Q412" s="634"/>
      <c r="AE412" s="528"/>
      <c r="AF412" s="528"/>
    </row>
    <row r="413" spans="1:32" s="143" customFormat="1">
      <c r="B413" s="152" t="s">
        <v>1802</v>
      </c>
      <c r="C413" s="1749" t="s">
        <v>3565</v>
      </c>
      <c r="D413" s="1749"/>
      <c r="E413" s="1749"/>
      <c r="F413" s="1749"/>
      <c r="G413" s="1749"/>
      <c r="H413" s="1749"/>
      <c r="I413" s="1749"/>
      <c r="J413" s="1749"/>
      <c r="K413" s="1749"/>
      <c r="L413" s="1749"/>
      <c r="M413" s="1749"/>
      <c r="N413" s="1749"/>
      <c r="O413" s="174" t="s">
        <v>1802</v>
      </c>
      <c r="P413" s="3094" t="s">
        <v>4228</v>
      </c>
      <c r="Q413" s="634"/>
      <c r="AE413" s="528"/>
      <c r="AF413" s="528"/>
    </row>
    <row r="414" spans="1:32" s="143" customFormat="1" ht="21.75" customHeight="1">
      <c r="B414" s="152" t="s">
        <v>2021</v>
      </c>
      <c r="C414" s="1749" t="s">
        <v>3742</v>
      </c>
      <c r="D414" s="1749"/>
      <c r="E414" s="1749"/>
      <c r="F414" s="1749"/>
      <c r="G414" s="1749"/>
      <c r="H414" s="1749"/>
      <c r="I414" s="1749"/>
      <c r="J414" s="1749"/>
      <c r="K414" s="1749"/>
      <c r="L414" s="1749"/>
      <c r="M414" s="1749"/>
      <c r="N414" s="1749"/>
      <c r="O414" s="174" t="s">
        <v>2021</v>
      </c>
      <c r="P414" s="3134" t="s">
        <v>4228</v>
      </c>
      <c r="Q414" s="635"/>
      <c r="AE414" s="528"/>
      <c r="AF414" s="528"/>
    </row>
    <row r="415" spans="1:32" ht="11.25" customHeight="1">
      <c r="B415" s="151" t="s">
        <v>1936</v>
      </c>
      <c r="D415" s="151"/>
      <c r="E415" s="151"/>
      <c r="F415" s="151"/>
      <c r="G415" s="151"/>
      <c r="H415" s="41"/>
      <c r="I415" s="1420"/>
      <c r="J415" s="1420"/>
      <c r="K415" s="1420"/>
      <c r="L415" s="1412"/>
      <c r="M415" s="1412"/>
      <c r="N415" s="1412"/>
      <c r="O415" s="1412"/>
      <c r="P415" s="1412"/>
      <c r="Q415" s="1221"/>
    </row>
    <row r="416" spans="1:32" ht="11.45" customHeight="1">
      <c r="A416" s="3055" t="s">
        <v>4361</v>
      </c>
      <c r="B416" s="3056"/>
      <c r="C416" s="3056"/>
      <c r="D416" s="3056"/>
      <c r="E416" s="3056"/>
      <c r="F416" s="3056"/>
      <c r="G416" s="3056"/>
      <c r="H416" s="3056"/>
      <c r="I416" s="3056"/>
      <c r="J416" s="3056"/>
      <c r="K416" s="3056"/>
      <c r="L416" s="3056"/>
      <c r="M416" s="3056"/>
      <c r="N416" s="3056"/>
      <c r="O416" s="3056"/>
      <c r="P416" s="3056"/>
      <c r="Q416" s="3057"/>
      <c r="R416" s="500" t="s">
        <v>1301</v>
      </c>
      <c r="S416" s="501"/>
      <c r="U416" s="146"/>
      <c r="V416" s="146"/>
      <c r="W416" s="146"/>
      <c r="X416" s="146"/>
      <c r="Y416" s="146"/>
      <c r="Z416" s="146"/>
      <c r="AA416" s="146"/>
      <c r="AB416" s="146"/>
      <c r="AC416" s="146"/>
      <c r="AD416" s="146"/>
      <c r="AE416" s="527"/>
    </row>
    <row r="417" spans="1:32" ht="11.25" customHeight="1">
      <c r="B417" s="147" t="s">
        <v>1937</v>
      </c>
      <c r="C417" s="148"/>
      <c r="D417" s="1419"/>
      <c r="E417" s="1419"/>
      <c r="F417" s="1419"/>
      <c r="G417" s="1419"/>
      <c r="H417" s="1419"/>
      <c r="I417" s="1419"/>
      <c r="J417" s="1419"/>
      <c r="K417" s="1419"/>
      <c r="L417" s="1419"/>
      <c r="M417" s="1419"/>
      <c r="N417" s="1419"/>
      <c r="O417" s="1419"/>
      <c r="P417" s="1419"/>
      <c r="Q417" s="1419"/>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2764</v>
      </c>
      <c r="C420" s="4"/>
      <c r="D420" s="92"/>
      <c r="E420" s="1419"/>
      <c r="F420" s="1419"/>
      <c r="G420" s="1419"/>
      <c r="H420" s="1419"/>
      <c r="I420" s="1419"/>
      <c r="J420" s="1419"/>
      <c r="K420" s="1419"/>
      <c r="L420" s="1419"/>
      <c r="M420" s="1419"/>
      <c r="O420" s="142" t="s">
        <v>1938</v>
      </c>
      <c r="P420" s="1711"/>
      <c r="Q420" s="1712"/>
    </row>
    <row r="421" spans="1:32" ht="11.25" customHeight="1">
      <c r="A421" s="1426"/>
      <c r="B421" s="151" t="s">
        <v>1936</v>
      </c>
      <c r="D421" s="151"/>
      <c r="E421" s="151"/>
      <c r="F421" s="151"/>
      <c r="G421" s="151"/>
      <c r="H421" s="41"/>
      <c r="I421" s="1420"/>
      <c r="J421" s="1420"/>
      <c r="K421" s="1420"/>
      <c r="L421" s="1412"/>
      <c r="M421" s="1412"/>
      <c r="N421" s="1412"/>
      <c r="O421" s="1412"/>
      <c r="P421" s="1412"/>
      <c r="Q421" s="1221"/>
    </row>
    <row r="422" spans="1:32" ht="11.45" customHeight="1">
      <c r="A422" s="3055" t="s">
        <v>4327</v>
      </c>
      <c r="B422" s="3056"/>
      <c r="C422" s="3056"/>
      <c r="D422" s="3056"/>
      <c r="E422" s="3056"/>
      <c r="F422" s="3056"/>
      <c r="G422" s="3056"/>
      <c r="H422" s="3056"/>
      <c r="I422" s="3056"/>
      <c r="J422" s="3056"/>
      <c r="K422" s="3056"/>
      <c r="L422" s="3056"/>
      <c r="M422" s="3056"/>
      <c r="N422" s="3056"/>
      <c r="O422" s="3056"/>
      <c r="P422" s="3056"/>
      <c r="Q422" s="3057"/>
      <c r="R422" s="500" t="s">
        <v>1301</v>
      </c>
      <c r="S422" s="501"/>
      <c r="U422" s="146"/>
      <c r="V422" s="146"/>
      <c r="W422" s="146"/>
      <c r="X422" s="146"/>
      <c r="Y422" s="146"/>
      <c r="Z422" s="146"/>
      <c r="AA422" s="146"/>
      <c r="AB422" s="146"/>
      <c r="AC422" s="146"/>
      <c r="AD422" s="146"/>
      <c r="AE422" s="527"/>
    </row>
    <row r="423" spans="1:32" ht="11.25" customHeight="1">
      <c r="B423" s="147" t="s">
        <v>1937</v>
      </c>
      <c r="C423" s="148"/>
      <c r="D423" s="1419"/>
      <c r="E423" s="1419"/>
      <c r="F423" s="1419"/>
      <c r="G423" s="1419"/>
      <c r="H423" s="1419"/>
      <c r="I423" s="1419"/>
      <c r="J423" s="1419"/>
      <c r="K423" s="1419"/>
      <c r="L423" s="1419"/>
      <c r="M423" s="1419"/>
      <c r="N423" s="1419"/>
      <c r="O423" s="1419"/>
      <c r="P423" s="1419"/>
      <c r="Q423" s="1419"/>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3860</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1"/>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1"/>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1"/>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1"/>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1"/>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1"/>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1"/>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1"/>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1"/>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1"/>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1"/>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1"/>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1"/>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1"/>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1"/>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1"/>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1"/>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1"/>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1"/>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1"/>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NSfNrIQafVJt20xQLNdjVFfB3hXNRe1rOE4idj/yTdi+65Drg6NTpyChCP5HsjUFee17ERw9muwlxYB+3AARFw==" saltValue="QZaTYK7pQZErLZryQq2mT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61" zoomScale="150" zoomScaleNormal="150" workbookViewId="0">
      <selection activeCell="A361"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2016-028 The Village on Park, Hahira, Lowndes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4045</v>
      </c>
      <c r="B3" s="1875"/>
      <c r="C3" s="1875"/>
      <c r="D3" s="1875"/>
      <c r="E3" s="1875"/>
      <c r="F3" s="1875"/>
      <c r="G3" s="1875"/>
      <c r="H3" s="1875"/>
      <c r="I3" s="1875"/>
      <c r="J3" s="1875"/>
      <c r="K3" s="1875"/>
      <c r="L3" s="1875"/>
      <c r="M3" s="97" t="s">
        <v>2298</v>
      </c>
      <c r="N3" s="78"/>
      <c r="O3" s="88" t="s">
        <v>2297</v>
      </c>
      <c r="P3" s="189" t="s">
        <v>268</v>
      </c>
    </row>
    <row r="4" spans="1:19" s="45" customFormat="1" ht="12.6" customHeight="1">
      <c r="A4" s="1875"/>
      <c r="B4" s="1875"/>
      <c r="C4" s="1875"/>
      <c r="D4" s="1875"/>
      <c r="E4" s="1875"/>
      <c r="F4" s="1875"/>
      <c r="G4" s="1875"/>
      <c r="H4" s="1875"/>
      <c r="I4" s="1875"/>
      <c r="J4" s="1875"/>
      <c r="K4" s="1875"/>
      <c r="L4" s="187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4218</v>
      </c>
      <c r="G6" s="1464"/>
      <c r="H6" s="1465"/>
      <c r="I6" s="43"/>
      <c r="J6" s="43"/>
      <c r="L6" s="74" t="s">
        <v>1272</v>
      </c>
      <c r="M6" s="295">
        <f>M408</f>
        <v>103</v>
      </c>
      <c r="N6" s="9"/>
      <c r="O6" s="68">
        <f>O408</f>
        <v>61</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2062</v>
      </c>
      <c r="B8" s="112" t="s">
        <v>2902</v>
      </c>
      <c r="C8" s="4"/>
      <c r="D8" s="4"/>
      <c r="E8" s="4"/>
      <c r="F8" s="10"/>
      <c r="H8" s="50" t="s">
        <v>3743</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2058</v>
      </c>
      <c r="B10" s="180" t="s">
        <v>1939</v>
      </c>
      <c r="D10" s="49"/>
      <c r="E10" s="49"/>
      <c r="F10" s="1432" t="s">
        <v>2671</v>
      </c>
      <c r="G10" s="1222">
        <f>F15</f>
        <v>0</v>
      </c>
      <c r="H10" s="188" t="s">
        <v>4067</v>
      </c>
      <c r="M10" s="6"/>
      <c r="N10" s="69" t="s">
        <v>2058</v>
      </c>
      <c r="O10" s="3154"/>
      <c r="P10" s="3155">
        <f>F15</f>
        <v>0</v>
      </c>
    </row>
    <row r="11" spans="1:19" s="44" customFormat="1" ht="11.25" customHeight="1">
      <c r="A11" s="196"/>
      <c r="B11" s="116" t="s">
        <v>2191</v>
      </c>
      <c r="D11" s="49"/>
      <c r="E11" s="49"/>
      <c r="F11" s="1432" t="s">
        <v>2671</v>
      </c>
      <c r="G11" s="1222">
        <f>J15</f>
        <v>0</v>
      </c>
      <c r="H11" s="188" t="s">
        <v>2881</v>
      </c>
      <c r="J11" s="50"/>
      <c r="M11" s="6">
        <v>1</v>
      </c>
      <c r="N11" s="69"/>
      <c r="O11" s="3156"/>
      <c r="P11" s="3157">
        <f>J15</f>
        <v>0</v>
      </c>
    </row>
    <row r="12" spans="1:19" s="43" customFormat="1" ht="11.25" customHeight="1">
      <c r="A12" s="196" t="s">
        <v>2061</v>
      </c>
      <c r="B12" s="180" t="s">
        <v>756</v>
      </c>
      <c r="D12" s="49"/>
      <c r="E12" s="49"/>
      <c r="F12" s="1432" t="s">
        <v>2671</v>
      </c>
      <c r="G12" s="1222">
        <f>O15</f>
        <v>0</v>
      </c>
      <c r="H12" s="188" t="s">
        <v>2836</v>
      </c>
      <c r="J12" s="50"/>
      <c r="M12" s="6"/>
      <c r="N12" s="69" t="s">
        <v>2061</v>
      </c>
      <c r="O12" s="3158"/>
      <c r="P12" s="3159">
        <f>O15</f>
        <v>0</v>
      </c>
      <c r="Q12" s="115"/>
    </row>
    <row r="13" spans="1:19" s="43" customFormat="1" ht="10.9" customHeight="1">
      <c r="A13" s="71" t="s">
        <v>1937</v>
      </c>
      <c r="C13" s="100"/>
      <c r="D13" s="100"/>
      <c r="F13" s="1420" t="s">
        <v>1780</v>
      </c>
      <c r="K13" s="1420" t="s">
        <v>1780</v>
      </c>
      <c r="P13" s="525" t="s">
        <v>1780</v>
      </c>
      <c r="R13" s="502"/>
      <c r="S13" s="171"/>
    </row>
    <row r="14" spans="1:19" s="43" customFormat="1" ht="10.9" customHeight="1">
      <c r="A14" s="234" t="s">
        <v>3907</v>
      </c>
      <c r="B14" s="234"/>
      <c r="C14" s="234"/>
      <c r="D14" s="234"/>
      <c r="E14" s="234"/>
      <c r="K14" s="1420"/>
      <c r="P14" s="525"/>
      <c r="R14" s="502"/>
      <c r="S14" s="171"/>
    </row>
    <row r="15" spans="1:19" s="43" customFormat="1" ht="12" customHeight="1">
      <c r="A15" s="1180" t="s">
        <v>3906</v>
      </c>
      <c r="B15" s="1180"/>
      <c r="C15" s="1180"/>
      <c r="D15" s="1180"/>
      <c r="E15" s="70" t="s">
        <v>527</v>
      </c>
      <c r="F15" s="81">
        <f>SUM(F16:F27)</f>
        <v>0</v>
      </c>
      <c r="G15" s="1869" t="s">
        <v>3900</v>
      </c>
      <c r="H15" s="1870"/>
      <c r="I15" s="1181"/>
      <c r="J15" s="81">
        <f>SUM(J16:J27)</f>
        <v>0</v>
      </c>
      <c r="K15" s="1867" t="s">
        <v>3566</v>
      </c>
      <c r="L15" s="1868"/>
      <c r="M15" s="1868"/>
      <c r="N15" s="70" t="s">
        <v>527</v>
      </c>
      <c r="O15" s="1873">
        <f>SUM(O16:O27)</f>
        <v>0</v>
      </c>
      <c r="P15" s="1874"/>
      <c r="Q15" s="502"/>
      <c r="R15" s="171"/>
    </row>
    <row r="16" spans="1:19" s="43" customFormat="1" ht="37.5" customHeight="1">
      <c r="A16" s="1864">
        <v>1</v>
      </c>
      <c r="B16" s="1865"/>
      <c r="C16" s="1865"/>
      <c r="D16" s="1865"/>
      <c r="E16" s="1866"/>
      <c r="F16" s="1182"/>
      <c r="G16" s="1864">
        <v>1</v>
      </c>
      <c r="H16" s="1865"/>
      <c r="I16" s="1866"/>
      <c r="J16" s="1187" t="s">
        <v>1799</v>
      </c>
      <c r="K16" s="1862">
        <v>1</v>
      </c>
      <c r="L16" s="1863"/>
      <c r="M16" s="1863"/>
      <c r="N16" s="1863"/>
      <c r="O16" s="1871" t="s">
        <v>1799</v>
      </c>
      <c r="P16" s="1872"/>
      <c r="Q16" s="500" t="s">
        <v>1301</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3056</v>
      </c>
      <c r="K18" s="1842">
        <v>3</v>
      </c>
      <c r="L18" s="1843"/>
      <c r="M18" s="1843"/>
      <c r="N18" s="1843"/>
      <c r="O18" s="1840" t="s">
        <v>3056</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3056</v>
      </c>
      <c r="P19" s="1841"/>
      <c r="Q19" s="501"/>
      <c r="R19" s="171"/>
    </row>
    <row r="20" spans="1:18" s="43" customFormat="1" ht="37.5" customHeight="1">
      <c r="A20" s="1854">
        <v>5</v>
      </c>
      <c r="B20" s="1855"/>
      <c r="C20" s="1855"/>
      <c r="D20" s="1855"/>
      <c r="E20" s="1856"/>
      <c r="F20" s="1183"/>
      <c r="G20" s="1854">
        <v>5</v>
      </c>
      <c r="H20" s="1855"/>
      <c r="I20" s="1856"/>
      <c r="J20" s="1188" t="s">
        <v>3902</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3903</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3904</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3905</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2064</v>
      </c>
      <c r="B29" s="119" t="s">
        <v>3908</v>
      </c>
      <c r="E29" s="60"/>
      <c r="G29" s="93"/>
      <c r="H29" s="54"/>
      <c r="I29" s="46" t="s">
        <v>3767</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2058</v>
      </c>
      <c r="B31" s="1266" t="s">
        <v>2713</v>
      </c>
      <c r="E31" s="60"/>
      <c r="G31" s="93"/>
      <c r="H31" s="1905" t="s">
        <v>3909</v>
      </c>
      <c r="I31" s="1905"/>
      <c r="J31" s="1268">
        <f>'Part VI-Revenues &amp; Expenses'!$O$60</f>
        <v>64</v>
      </c>
      <c r="K31" s="1267"/>
      <c r="M31" s="1192"/>
      <c r="N31" s="7"/>
      <c r="Q31" s="7"/>
      <c r="R31" s="417"/>
    </row>
    <row r="32" spans="1:18" s="108" customFormat="1" ht="13.5" customHeight="1">
      <c r="A32" s="149"/>
      <c r="B32" s="1719" t="s">
        <v>3910</v>
      </c>
      <c r="C32" s="1719"/>
      <c r="D32" s="1719"/>
      <c r="E32" s="1719"/>
      <c r="F32" s="1719"/>
      <c r="G32" s="1181"/>
      <c r="H32" s="1271" t="s">
        <v>3911</v>
      </c>
      <c r="I32" s="1271" t="s">
        <v>3912</v>
      </c>
      <c r="J32" s="1181"/>
      <c r="K32" s="1906" t="s">
        <v>3568</v>
      </c>
      <c r="L32" s="1906"/>
      <c r="M32" s="1192"/>
      <c r="N32" s="7"/>
      <c r="Q32" s="7"/>
      <c r="R32" s="417"/>
    </row>
    <row r="33" spans="1:18" s="108" customFormat="1" ht="13.5" customHeight="1">
      <c r="B33" s="1719"/>
      <c r="C33" s="1719"/>
      <c r="D33" s="1719"/>
      <c r="E33" s="1719"/>
      <c r="F33" s="1719"/>
      <c r="G33" s="1852" t="s">
        <v>4208</v>
      </c>
      <c r="H33" s="1852"/>
      <c r="I33" s="1852"/>
      <c r="J33" s="1852"/>
      <c r="K33" s="1271" t="s">
        <v>3911</v>
      </c>
      <c r="L33" s="1271" t="s">
        <v>3912</v>
      </c>
      <c r="M33" s="483"/>
      <c r="N33" s="434" t="s">
        <v>2058</v>
      </c>
      <c r="O33" s="1276">
        <f>SUM(O34:O35)</f>
        <v>2</v>
      </c>
      <c r="P33" s="1276">
        <f>SUM(P34:P35)</f>
        <v>0</v>
      </c>
    </row>
    <row r="34" spans="1:18" s="477" customFormat="1" ht="13.5" customHeight="1">
      <c r="A34" s="476"/>
      <c r="B34" s="763" t="s">
        <v>2062</v>
      </c>
      <c r="C34" s="764">
        <v>0.15</v>
      </c>
      <c r="D34" s="150" t="s">
        <v>3567</v>
      </c>
      <c r="H34" s="3160">
        <v>14</v>
      </c>
      <c r="I34" s="625"/>
      <c r="K34" s="765">
        <f>IF(OR('Part VI-Revenues &amp; Expenses'!$O$60="", 'Part VI-Revenues &amp; Expenses'!$O$60=0),0,H34/'Part VI-Revenues &amp; Expenses'!$O$60)</f>
        <v>0.21875</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3529</v>
      </c>
      <c r="B35" s="763" t="s">
        <v>2064</v>
      </c>
      <c r="C35" s="764">
        <v>0.2</v>
      </c>
      <c r="D35" s="150" t="s">
        <v>3567</v>
      </c>
      <c r="H35" s="3161">
        <v>14</v>
      </c>
      <c r="I35" s="762"/>
      <c r="K35" s="1327">
        <f>IF(OR('Part VI-Revenues &amp; Expenses'!$O$60="", 'Part VI-Revenues &amp; Expenses'!$O$60=0),0,H35/'Part VI-Revenues &amp; Expenses'!$O$60)</f>
        <v>0.21875</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4071</v>
      </c>
      <c r="E37" s="478"/>
      <c r="H37" s="1852" t="s">
        <v>4073</v>
      </c>
      <c r="I37" s="1852"/>
      <c r="M37" s="483"/>
      <c r="N37" s="174" t="s">
        <v>2061</v>
      </c>
      <c r="O37" s="1276">
        <f>SUM(O38:O39)</f>
        <v>0</v>
      </c>
      <c r="P37" s="1276">
        <f>SUM(P38:P39)</f>
        <v>0</v>
      </c>
    </row>
    <row r="38" spans="1:18" s="477" customFormat="1" ht="13.5" customHeight="1">
      <c r="A38" s="476"/>
      <c r="B38" s="763" t="s">
        <v>2062</v>
      </c>
      <c r="C38" s="764">
        <v>0.15</v>
      </c>
      <c r="D38" s="150" t="s">
        <v>4072</v>
      </c>
      <c r="E38" s="478"/>
      <c r="F38" s="1185"/>
      <c r="H38" s="3162"/>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3529</v>
      </c>
      <c r="B39" s="763" t="s">
        <v>2064</v>
      </c>
      <c r="C39" s="1185" t="s">
        <v>4075</v>
      </c>
      <c r="E39" s="1352">
        <v>3</v>
      </c>
      <c r="F39" s="1185" t="s">
        <v>4074</v>
      </c>
      <c r="I39" s="1273" t="s">
        <v>4076</v>
      </c>
      <c r="K39" s="1272">
        <f>O113</f>
        <v>5</v>
      </c>
      <c r="L39" s="1272">
        <f>P113</f>
        <v>0</v>
      </c>
      <c r="M39" s="483">
        <v>1</v>
      </c>
      <c r="N39" s="434" t="s">
        <v>2064</v>
      </c>
      <c r="O39" s="3163"/>
      <c r="P39" s="624"/>
    </row>
    <row r="40" spans="1:18" s="44" customFormat="1" ht="10.5" customHeight="1">
      <c r="A40" s="43"/>
      <c r="B40" s="103" t="s">
        <v>1937</v>
      </c>
      <c r="C40" s="477"/>
      <c r="D40" s="91"/>
      <c r="E40" s="1419"/>
      <c r="F40" s="1419"/>
      <c r="G40" s="1419"/>
      <c r="H40" s="1419"/>
      <c r="I40" s="1419"/>
      <c r="J40" s="1419"/>
      <c r="K40" s="1419"/>
      <c r="L40" s="1419"/>
      <c r="M40" s="1419"/>
      <c r="N40" s="79"/>
      <c r="O40" s="75"/>
      <c r="P40" s="1414"/>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2622</v>
      </c>
      <c r="B43" s="111" t="s">
        <v>1945</v>
      </c>
      <c r="D43" s="42"/>
      <c r="I43" s="1853" t="s">
        <v>619</v>
      </c>
      <c r="J43" s="1853"/>
      <c r="K43" s="1853"/>
      <c r="L43" s="1853"/>
      <c r="M43" s="1414">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2058</v>
      </c>
      <c r="B45" s="180" t="s">
        <v>1946</v>
      </c>
      <c r="C45" s="4"/>
      <c r="D45" s="4"/>
      <c r="E45" s="188" t="s">
        <v>2824</v>
      </c>
      <c r="F45" s="331"/>
      <c r="G45" s="331"/>
      <c r="I45" s="1853"/>
      <c r="J45" s="1853"/>
      <c r="K45" s="1853"/>
      <c r="L45" s="1853"/>
      <c r="M45" s="77">
        <v>12</v>
      </c>
      <c r="N45" s="192" t="s">
        <v>2058</v>
      </c>
      <c r="O45" s="3164">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65">
        <v>1</v>
      </c>
      <c r="P46" s="624"/>
      <c r="Q46" s="433" t="s">
        <v>2810</v>
      </c>
      <c r="R46" s="417"/>
    </row>
    <row r="47" spans="1:18" s="44" customFormat="1" ht="12" customHeight="1">
      <c r="A47" s="149"/>
      <c r="B47" s="1907" t="s">
        <v>4077</v>
      </c>
      <c r="C47" s="1907"/>
      <c r="D47" s="1907"/>
      <c r="E47" s="1907"/>
      <c r="F47" s="3166" t="s">
        <v>3635</v>
      </c>
      <c r="G47" s="3167"/>
      <c r="H47" s="3168"/>
      <c r="I47" s="3166" t="s">
        <v>4219</v>
      </c>
      <c r="J47" s="3167"/>
      <c r="K47" s="3168"/>
      <c r="L47" s="3169">
        <v>0.2</v>
      </c>
      <c r="M47" s="77"/>
      <c r="N47" s="192"/>
      <c r="O47" s="192"/>
      <c r="P47" s="192"/>
      <c r="Q47" s="433"/>
      <c r="R47" s="417"/>
    </row>
    <row r="48" spans="1:18" s="44" customFormat="1" ht="12" customHeight="1">
      <c r="A48" s="149"/>
      <c r="B48" s="1907"/>
      <c r="C48" s="1907"/>
      <c r="D48" s="1907"/>
      <c r="E48" s="1907"/>
      <c r="F48" s="3170" t="s">
        <v>3640</v>
      </c>
      <c r="G48" s="3171"/>
      <c r="H48" s="3172"/>
      <c r="I48" s="3170" t="s">
        <v>4220</v>
      </c>
      <c r="J48" s="3171"/>
      <c r="K48" s="3172"/>
      <c r="L48" s="3173">
        <v>0.4</v>
      </c>
      <c r="M48" s="77"/>
      <c r="N48" s="192"/>
      <c r="O48" s="192"/>
      <c r="P48" s="192"/>
      <c r="Q48" s="433"/>
      <c r="R48" s="417"/>
    </row>
    <row r="49" spans="1:18" s="44" customFormat="1" ht="12" customHeight="1">
      <c r="A49" s="149"/>
      <c r="B49" s="1907"/>
      <c r="C49" s="1907"/>
      <c r="D49" s="1907"/>
      <c r="E49" s="1907"/>
      <c r="F49" s="3174" t="s">
        <v>3646</v>
      </c>
      <c r="G49" s="3175"/>
      <c r="H49" s="3176"/>
      <c r="I49" s="3174" t="s">
        <v>4352</v>
      </c>
      <c r="J49" s="3175"/>
      <c r="K49" s="3176"/>
      <c r="L49" s="3177">
        <v>0.3</v>
      </c>
      <c r="M49" s="77"/>
      <c r="N49" s="192"/>
      <c r="O49" s="192"/>
      <c r="P49" s="192"/>
      <c r="Q49" s="433"/>
      <c r="R49" s="417"/>
    </row>
    <row r="50" spans="1:18" s="44" customFormat="1" ht="12.6" customHeight="1">
      <c r="A50" s="149" t="s">
        <v>779</v>
      </c>
      <c r="B50" s="180" t="s">
        <v>1947</v>
      </c>
      <c r="D50" s="42"/>
      <c r="E50" s="188" t="s">
        <v>442</v>
      </c>
      <c r="F50" s="437"/>
      <c r="G50" s="437"/>
      <c r="H50" s="437"/>
      <c r="M50" s="1420" t="s">
        <v>1285</v>
      </c>
      <c r="N50" s="525" t="s">
        <v>779</v>
      </c>
      <c r="O50" s="3178">
        <v>0</v>
      </c>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23.45" customHeight="1">
      <c r="A52" s="3055" t="s">
        <v>4339</v>
      </c>
      <c r="B52" s="3056"/>
      <c r="C52" s="3056"/>
      <c r="D52" s="3056"/>
      <c r="E52" s="3056"/>
      <c r="F52" s="3056"/>
      <c r="G52" s="3056"/>
      <c r="H52" s="3056"/>
      <c r="I52" s="3056"/>
      <c r="J52" s="3056"/>
      <c r="K52" s="3056"/>
      <c r="L52" s="3056"/>
      <c r="M52" s="3056"/>
      <c r="N52" s="3056"/>
      <c r="O52" s="3056"/>
      <c r="P52" s="3057"/>
      <c r="Q52" s="500" t="s">
        <v>1301</v>
      </c>
      <c r="R52" s="501"/>
    </row>
    <row r="53" spans="1:18" s="44" customFormat="1" ht="11.45" customHeight="1">
      <c r="A53" s="43"/>
      <c r="B53" s="71" t="s">
        <v>1937</v>
      </c>
      <c r="C53" s="43"/>
      <c r="D53" s="147"/>
      <c r="E53" s="1419"/>
      <c r="F53" s="1419"/>
      <c r="G53" s="1419"/>
      <c r="H53" s="1419"/>
      <c r="I53" s="1419"/>
      <c r="J53" s="1419"/>
      <c r="K53" s="1419"/>
      <c r="L53" s="1419"/>
      <c r="M53" s="1419"/>
      <c r="N53" s="79"/>
      <c r="O53" s="75"/>
      <c r="P53" s="1414"/>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4">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14"/>
      <c r="N57" s="525"/>
      <c r="O57" s="1193" t="s">
        <v>3920</v>
      </c>
      <c r="P57" s="1193" t="s">
        <v>3921</v>
      </c>
      <c r="Q57" s="115"/>
    </row>
    <row r="58" spans="1:18" s="44" customFormat="1" ht="12.6" customHeight="1">
      <c r="A58" s="165"/>
      <c r="B58" s="541" t="s">
        <v>2062</v>
      </c>
      <c r="C58" s="57" t="s">
        <v>3914</v>
      </c>
      <c r="D58" s="42"/>
      <c r="H58" s="46"/>
      <c r="I58" s="50"/>
      <c r="J58" s="49"/>
      <c r="K58" s="49"/>
      <c r="M58" s="1414"/>
      <c r="N58" s="525"/>
      <c r="O58" s="3051" t="s">
        <v>3153</v>
      </c>
      <c r="P58" s="627"/>
      <c r="Q58" s="115"/>
    </row>
    <row r="59" spans="1:18" s="44" customFormat="1" ht="12.6" customHeight="1">
      <c r="A59" s="165"/>
      <c r="B59" s="541" t="s">
        <v>2064</v>
      </c>
      <c r="C59" s="57" t="s">
        <v>3915</v>
      </c>
      <c r="D59" s="42"/>
      <c r="H59" s="46"/>
      <c r="I59" s="50"/>
      <c r="J59" s="49"/>
      <c r="K59" s="49"/>
      <c r="M59" s="1414"/>
      <c r="N59" s="525"/>
      <c r="O59" s="525"/>
      <c r="P59" s="628"/>
      <c r="Q59" s="115"/>
    </row>
    <row r="60" spans="1:18" s="44" customFormat="1" ht="12.6" customHeight="1">
      <c r="A60" s="165"/>
      <c r="B60" s="541" t="s">
        <v>2622</v>
      </c>
      <c r="C60" s="57" t="s">
        <v>3916</v>
      </c>
      <c r="D60" s="42"/>
      <c r="H60" s="46"/>
      <c r="I60" s="50"/>
      <c r="J60" s="49"/>
      <c r="K60" s="49"/>
      <c r="M60" s="1414"/>
      <c r="N60" s="525"/>
      <c r="O60" s="3051" t="s">
        <v>3153</v>
      </c>
      <c r="P60" s="627"/>
      <c r="Q60" s="115"/>
    </row>
    <row r="61" spans="1:18" s="44" customFormat="1" ht="22.5" customHeight="1">
      <c r="A61" s="165"/>
      <c r="B61" s="541" t="s">
        <v>1270</v>
      </c>
      <c r="C61" s="1859" t="s">
        <v>3917</v>
      </c>
      <c r="D61" s="1859"/>
      <c r="E61" s="1859"/>
      <c r="F61" s="1859"/>
      <c r="G61" s="1859"/>
      <c r="H61" s="1859"/>
      <c r="I61" s="1859"/>
      <c r="J61" s="1859"/>
      <c r="K61" s="1859"/>
      <c r="L61" s="1859"/>
      <c r="M61" s="621"/>
      <c r="N61" s="525"/>
      <c r="O61" s="3135" t="s">
        <v>3153</v>
      </c>
      <c r="P61" s="639"/>
      <c r="Q61" s="115"/>
    </row>
    <row r="62" spans="1:18" s="44" customFormat="1" ht="12.6" customHeight="1">
      <c r="A62" s="165"/>
      <c r="B62" s="541" t="s">
        <v>1271</v>
      </c>
      <c r="C62" s="57" t="s">
        <v>3918</v>
      </c>
      <c r="D62" s="42"/>
      <c r="H62" s="46"/>
      <c r="I62" s="50"/>
      <c r="J62" s="49"/>
      <c r="K62" s="49"/>
      <c r="M62" s="1414"/>
      <c r="N62" s="525"/>
      <c r="O62" s="3051" t="s">
        <v>3153</v>
      </c>
      <c r="P62" s="627"/>
      <c r="Q62" s="115"/>
    </row>
    <row r="63" spans="1:18" s="44" customFormat="1" ht="12.6" customHeight="1">
      <c r="A63" s="165"/>
      <c r="B63" s="541" t="s">
        <v>1955</v>
      </c>
      <c r="C63" s="57" t="s">
        <v>3919</v>
      </c>
      <c r="D63" s="42"/>
      <c r="H63" s="46"/>
      <c r="I63" s="50"/>
      <c r="J63" s="49"/>
      <c r="K63" s="49"/>
      <c r="M63" s="1414"/>
      <c r="N63" s="525"/>
      <c r="O63" s="3051" t="s">
        <v>3153</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2903</v>
      </c>
      <c r="B65" s="111"/>
      <c r="D65" s="42"/>
      <c r="H65" s="180" t="s">
        <v>2912</v>
      </c>
      <c r="I65" s="594"/>
      <c r="J65" s="180" t="str">
        <f>'Part I-Project Information'!$H$90</f>
        <v>Rural</v>
      </c>
      <c r="L65" s="28"/>
      <c r="M65" s="1414"/>
      <c r="N65" s="1414"/>
      <c r="O65" s="1414"/>
      <c r="P65" s="1414"/>
      <c r="Q65" s="115"/>
    </row>
    <row r="66" spans="1:18" s="462" customFormat="1" ht="23.25" customHeight="1">
      <c r="A66" s="154" t="s">
        <v>2058</v>
      </c>
      <c r="B66" s="1895" t="s">
        <v>3922</v>
      </c>
      <c r="C66" s="1895"/>
      <c r="D66" s="1895"/>
      <c r="E66" s="1895"/>
      <c r="F66" s="1895"/>
      <c r="G66" s="1895"/>
      <c r="H66" s="1895"/>
      <c r="I66" s="1896" t="s">
        <v>3761</v>
      </c>
      <c r="J66" s="1897"/>
      <c r="K66" s="1897"/>
      <c r="L66" s="1898"/>
      <c r="M66" s="589">
        <v>5</v>
      </c>
      <c r="N66" s="434" t="s">
        <v>2058</v>
      </c>
      <c r="O66" s="3179"/>
      <c r="P66" s="1434"/>
      <c r="Q66" s="590" t="str">
        <f>IF(OR($O66=$M66,$O66=0,$O66=""),"","* * Check Score! * *")</f>
        <v/>
      </c>
      <c r="R66" s="433" t="s">
        <v>2810</v>
      </c>
    </row>
    <row r="67" spans="1:18" s="462" customFormat="1" ht="12" customHeight="1">
      <c r="A67" s="154" t="s">
        <v>2061</v>
      </c>
      <c r="B67" s="867" t="s">
        <v>3757</v>
      </c>
      <c r="C67" s="867"/>
      <c r="D67" s="867"/>
      <c r="E67" s="867"/>
      <c r="F67" s="867"/>
      <c r="G67" s="867"/>
      <c r="H67" s="867"/>
      <c r="I67" s="3180" t="s">
        <v>4236</v>
      </c>
      <c r="J67" s="3181"/>
      <c r="K67" s="3181"/>
      <c r="L67" s="3182">
        <v>2293162153</v>
      </c>
      <c r="M67" s="589">
        <v>4</v>
      </c>
      <c r="N67" s="174" t="s">
        <v>2061</v>
      </c>
      <c r="O67" s="3183"/>
      <c r="P67" s="1149"/>
      <c r="Q67" s="590" t="str">
        <f>IF(OR($O67=$M67,$O67=0,$O67=""),"","* * Check Score! * *")</f>
        <v/>
      </c>
      <c r="R67" s="433" t="s">
        <v>2810</v>
      </c>
    </row>
    <row r="68" spans="1:18" s="462" customFormat="1" ht="12" customHeight="1">
      <c r="A68" s="149" t="s">
        <v>779</v>
      </c>
      <c r="B68" s="116" t="s">
        <v>3758</v>
      </c>
      <c r="C68" s="867"/>
      <c r="D68" s="867"/>
      <c r="E68" s="867"/>
      <c r="F68" s="867"/>
      <c r="G68" s="867"/>
      <c r="H68" s="867"/>
      <c r="I68" s="3184" t="s">
        <v>4333</v>
      </c>
      <c r="J68" s="3185"/>
      <c r="K68" s="3185"/>
      <c r="L68" s="3186"/>
      <c r="M68" s="589">
        <v>3</v>
      </c>
      <c r="N68" s="192" t="s">
        <v>779</v>
      </c>
      <c r="O68" s="3183"/>
      <c r="P68" s="1149"/>
      <c r="Q68" s="590" t="str">
        <f>IF(OR($O68=$M68,$O68=0,$O68=""),"","* * Check Score! * *")</f>
        <v/>
      </c>
      <c r="R68" s="433" t="s">
        <v>2810</v>
      </c>
    </row>
    <row r="69" spans="1:18" s="44" customFormat="1" ht="12.6" customHeight="1">
      <c r="A69" s="149" t="s">
        <v>2193</v>
      </c>
      <c r="B69" s="116" t="s">
        <v>3759</v>
      </c>
      <c r="E69" s="42"/>
      <c r="I69" s="3187"/>
      <c r="J69" s="3188"/>
      <c r="K69" s="3188"/>
      <c r="L69" s="3189"/>
      <c r="M69" s="77">
        <v>2</v>
      </c>
      <c r="N69" s="192" t="s">
        <v>2193</v>
      </c>
      <c r="O69" s="3190"/>
      <c r="P69" s="623"/>
      <c r="Q69" s="417" t="str">
        <f>IF(OR($O69=$M69,$O69=0,$O69=""),"","* * Check Score! * *")</f>
        <v/>
      </c>
      <c r="R69" s="433" t="s">
        <v>2810</v>
      </c>
    </row>
    <row r="70" spans="1:18" s="44" customFormat="1" ht="12.6" customHeight="1">
      <c r="A70" s="149" t="s">
        <v>1801</v>
      </c>
      <c r="B70" s="867" t="s">
        <v>3760</v>
      </c>
      <c r="E70" s="42"/>
      <c r="I70" s="3184" t="s">
        <v>4334</v>
      </c>
      <c r="J70" s="3185"/>
      <c r="K70" s="3185"/>
      <c r="L70" s="3186"/>
      <c r="M70" s="77">
        <v>1</v>
      </c>
      <c r="N70" s="192" t="s">
        <v>1801</v>
      </c>
      <c r="O70" s="3165"/>
      <c r="P70" s="624"/>
      <c r="Q70" s="417" t="str">
        <f>IF(OR($O70=$M70,$O70=0,$O70=""),"","* * Check Score! * *")</f>
        <v/>
      </c>
      <c r="R70" s="433" t="s">
        <v>2810</v>
      </c>
    </row>
    <row r="71" spans="1:18" s="44" customFormat="1" ht="12.6" customHeight="1">
      <c r="A71" s="593" t="s">
        <v>2905</v>
      </c>
      <c r="B71" s="180"/>
      <c r="E71" s="42"/>
      <c r="I71" s="3191"/>
      <c r="J71" s="3192"/>
      <c r="K71" s="3192"/>
      <c r="L71" s="3193"/>
      <c r="M71" s="77"/>
      <c r="N71" s="77"/>
      <c r="O71" s="77"/>
      <c r="P71" s="77"/>
      <c r="Q71" s="417"/>
      <c r="R71" s="417"/>
    </row>
    <row r="72" spans="1:18" s="108" customFormat="1" ht="12" customHeight="1">
      <c r="A72" s="149" t="s">
        <v>1802</v>
      </c>
      <c r="B72" s="180" t="s">
        <v>3923</v>
      </c>
      <c r="C72" s="180"/>
      <c r="D72" s="180"/>
      <c r="E72" s="180"/>
      <c r="F72" s="180"/>
      <c r="G72" s="180"/>
      <c r="H72" s="180"/>
      <c r="I72" s="180"/>
      <c r="J72" s="180"/>
      <c r="K72" s="180"/>
      <c r="L72" s="180"/>
      <c r="M72" s="77">
        <v>2</v>
      </c>
      <c r="N72" s="192" t="s">
        <v>1802</v>
      </c>
      <c r="O72" s="3178">
        <v>2</v>
      </c>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12.75" customHeight="1">
      <c r="A75" s="3055" t="s">
        <v>4340</v>
      </c>
      <c r="B75" s="3056"/>
      <c r="C75" s="3056"/>
      <c r="D75" s="3056"/>
      <c r="E75" s="3056"/>
      <c r="F75" s="3056"/>
      <c r="G75" s="3056"/>
      <c r="H75" s="3056"/>
      <c r="I75" s="3056"/>
      <c r="J75" s="3056"/>
      <c r="K75" s="3056"/>
      <c r="L75" s="3056"/>
      <c r="M75" s="3056"/>
      <c r="N75" s="3056"/>
      <c r="O75" s="3056"/>
      <c r="P75" s="3057"/>
      <c r="Q75" s="500" t="s">
        <v>1301</v>
      </c>
    </row>
    <row r="76" spans="1:18" s="108" customFormat="1" ht="11.45" customHeight="1">
      <c r="A76" s="43"/>
      <c r="B76" s="103" t="s">
        <v>1937</v>
      </c>
      <c r="C76" s="43"/>
      <c r="D76" s="103"/>
      <c r="E76" s="1424"/>
      <c r="F76" s="1424"/>
      <c r="G76" s="1424"/>
      <c r="H76" s="1424"/>
      <c r="I76" s="1424"/>
      <c r="J76" s="1424"/>
      <c r="K76" s="1424"/>
      <c r="L76" s="1424"/>
      <c r="M76" s="1424"/>
      <c r="N76" s="99"/>
      <c r="O76" s="1165"/>
      <c r="P76" s="1414"/>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4">
        <v>2</v>
      </c>
      <c r="N79" s="441" t="str">
        <f>IF(OR($O79=$M79,$O79=0,$O79=""),"","***")</f>
        <v/>
      </c>
      <c r="O79" s="3194"/>
      <c r="P79" s="1147"/>
      <c r="Q79" s="115" t="s">
        <v>456</v>
      </c>
      <c r="R79" s="433" t="s">
        <v>2810</v>
      </c>
    </row>
    <row r="80" spans="1:18" s="44" customFormat="1" ht="12.6" customHeight="1">
      <c r="A80" s="154" t="s">
        <v>2058</v>
      </c>
      <c r="B80" s="438" t="s">
        <v>2714</v>
      </c>
      <c r="D80" s="42"/>
      <c r="E80" s="37"/>
      <c r="K80" s="3195"/>
      <c r="L80" s="3196"/>
      <c r="M80" s="3197"/>
      <c r="P80" s="525"/>
      <c r="Q80" s="115"/>
    </row>
    <row r="81" spans="1:18" s="44" customFormat="1" ht="12.6" customHeight="1">
      <c r="A81" s="154" t="s">
        <v>2061</v>
      </c>
      <c r="B81" s="438" t="s">
        <v>3653</v>
      </c>
      <c r="D81" s="42"/>
      <c r="E81" s="37"/>
      <c r="K81" s="3195"/>
      <c r="L81" s="3196"/>
      <c r="M81" s="3197"/>
      <c r="O81" s="127" t="s">
        <v>2597</v>
      </c>
      <c r="P81" s="127" t="s">
        <v>2597</v>
      </c>
      <c r="Q81" s="115"/>
    </row>
    <row r="82" spans="1:18" s="44" customFormat="1" ht="12.6" customHeight="1">
      <c r="A82" s="149" t="s">
        <v>779</v>
      </c>
      <c r="B82" s="438" t="s">
        <v>3745</v>
      </c>
      <c r="D82" s="42"/>
      <c r="E82" s="37"/>
      <c r="N82" s="192" t="s">
        <v>779</v>
      </c>
      <c r="O82" s="3051"/>
      <c r="P82" s="627"/>
      <c r="Q82" s="115"/>
    </row>
    <row r="83" spans="1:18" s="108" customFormat="1" ht="11.45" customHeight="1">
      <c r="A83" s="43"/>
      <c r="B83" s="103" t="s">
        <v>1937</v>
      </c>
      <c r="C83" s="43"/>
      <c r="D83" s="103"/>
      <c r="E83" s="1424"/>
      <c r="F83" s="1424"/>
      <c r="G83" s="1424"/>
      <c r="H83" s="1424"/>
      <c r="I83" s="1424"/>
      <c r="J83" s="1424"/>
      <c r="K83" s="1424"/>
      <c r="L83" s="1424"/>
      <c r="M83" s="1424"/>
      <c r="N83" s="99"/>
      <c r="O83" s="1165"/>
      <c r="P83" s="1414"/>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1955</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6" t="s">
        <v>4238</v>
      </c>
      <c r="J87" s="3198"/>
      <c r="K87" s="2627"/>
      <c r="M87" s="1414"/>
      <c r="N87" s="441"/>
      <c r="O87" s="483"/>
      <c r="P87" s="483"/>
      <c r="Q87" s="115"/>
    </row>
    <row r="88" spans="1:18" s="44" customFormat="1" ht="12.6" customHeight="1">
      <c r="A88" s="165"/>
      <c r="B88" s="92" t="s">
        <v>2912</v>
      </c>
      <c r="G88" s="42"/>
      <c r="H88" s="42"/>
      <c r="I88" s="826" t="str">
        <f>'Part I-Project Information'!$H$90</f>
        <v>Rural</v>
      </c>
      <c r="K88" s="28"/>
      <c r="M88" s="1414"/>
      <c r="N88" s="441"/>
      <c r="O88" s="127" t="s">
        <v>2597</v>
      </c>
      <c r="P88" s="127" t="s">
        <v>2597</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4078</v>
      </c>
      <c r="C90" s="1909"/>
      <c r="D90" s="1909"/>
      <c r="E90" s="1909"/>
      <c r="F90" s="1910"/>
      <c r="G90" s="481" t="s">
        <v>4079</v>
      </c>
      <c r="H90" s="3199" t="s">
        <v>4378</v>
      </c>
      <c r="I90" s="3200" t="s">
        <v>4379</v>
      </c>
      <c r="J90" s="3201"/>
      <c r="K90" s="3200" t="s">
        <v>4380</v>
      </c>
      <c r="L90" s="3202"/>
      <c r="M90" s="3201"/>
      <c r="N90" s="192"/>
      <c r="O90" s="3133" t="s">
        <v>3153</v>
      </c>
      <c r="P90" s="628"/>
      <c r="Q90" s="115"/>
    </row>
    <row r="91" spans="1:18" ht="11.45" customHeight="1">
      <c r="B91" s="1911"/>
      <c r="C91" s="1912"/>
      <c r="D91" s="1912"/>
      <c r="E91" s="1912"/>
      <c r="F91" s="1913"/>
      <c r="G91" s="481" t="s">
        <v>4079</v>
      </c>
      <c r="H91" s="3203"/>
      <c r="I91" s="3204" t="s">
        <v>4179</v>
      </c>
      <c r="J91" s="3205"/>
      <c r="K91" s="3204" t="s">
        <v>4178</v>
      </c>
      <c r="L91" s="3206"/>
      <c r="M91" s="3205"/>
      <c r="N91" s="28"/>
      <c r="O91" s="28"/>
      <c r="P91" s="28"/>
    </row>
    <row r="92" spans="1:18" s="44" customFormat="1" ht="12.6" customHeight="1">
      <c r="A92" s="165"/>
      <c r="B92" s="484" t="s">
        <v>4174</v>
      </c>
      <c r="G92" s="42"/>
      <c r="H92" s="42"/>
      <c r="I92" s="826"/>
      <c r="K92" s="28"/>
      <c r="M92" s="1414"/>
      <c r="N92" s="441"/>
      <c r="O92" s="3051" t="s">
        <v>3153</v>
      </c>
      <c r="P92" s="627"/>
      <c r="Q92" s="115"/>
    </row>
    <row r="93" spans="1:18" s="44" customFormat="1" ht="12.6" customHeight="1">
      <c r="A93" s="165"/>
      <c r="B93" s="92" t="s">
        <v>4182</v>
      </c>
      <c r="G93" s="42"/>
      <c r="H93" s="42"/>
      <c r="I93" s="314" t="s">
        <v>4183</v>
      </c>
      <c r="J93" s="3207"/>
      <c r="K93" s="314" t="s">
        <v>4181</v>
      </c>
      <c r="L93" s="3207"/>
      <c r="M93" s="1414"/>
      <c r="N93" s="441"/>
      <c r="O93" s="3051"/>
      <c r="P93" s="627"/>
      <c r="Q93" s="115"/>
    </row>
    <row r="94" spans="1:18" s="44" customFormat="1" ht="6" customHeight="1">
      <c r="A94" s="165"/>
      <c r="B94" s="92"/>
      <c r="G94" s="42"/>
      <c r="H94" s="42"/>
      <c r="I94" s="826"/>
      <c r="K94" s="28"/>
      <c r="M94" s="1414"/>
      <c r="N94" s="1414"/>
      <c r="O94" s="1414"/>
      <c r="P94" s="1414"/>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4172</v>
      </c>
      <c r="D96" s="42"/>
      <c r="M96" s="1414"/>
      <c r="O96" s="3051"/>
      <c r="P96" s="627"/>
      <c r="Q96" s="115"/>
    </row>
    <row r="97" spans="1:17" ht="11.45" customHeight="1">
      <c r="B97" s="415" t="s">
        <v>2062</v>
      </c>
      <c r="C97" s="426" t="s">
        <v>2715</v>
      </c>
      <c r="E97" s="125"/>
      <c r="N97" s="28"/>
      <c r="O97" s="28"/>
      <c r="P97" s="28"/>
    </row>
    <row r="98" spans="1:17" ht="11.25" customHeight="1">
      <c r="A98" s="461"/>
      <c r="B98" s="432"/>
      <c r="C98" s="1354" t="s">
        <v>4173</v>
      </c>
      <c r="D98" s="1353"/>
      <c r="E98" s="1353"/>
      <c r="F98" s="1353"/>
      <c r="G98" s="1353"/>
      <c r="H98" s="1353"/>
      <c r="I98" s="1353"/>
      <c r="J98" s="1353"/>
      <c r="K98" s="1353"/>
      <c r="L98" s="3207"/>
      <c r="M98" s="429"/>
      <c r="N98" s="28"/>
      <c r="O98" s="28"/>
      <c r="P98" s="28"/>
    </row>
    <row r="99" spans="1:17" ht="11.45" customHeight="1">
      <c r="B99" s="415" t="s">
        <v>2064</v>
      </c>
      <c r="C99" s="426" t="s">
        <v>3924</v>
      </c>
      <c r="E99" s="125"/>
      <c r="M99" s="430"/>
      <c r="N99" s="28"/>
      <c r="O99" s="28"/>
      <c r="P99" s="28"/>
    </row>
    <row r="100" spans="1:17" ht="11.25" customHeight="1">
      <c r="A100" s="461"/>
      <c r="B100" s="431" t="s">
        <v>2520</v>
      </c>
      <c r="C100" s="1354" t="s">
        <v>4180</v>
      </c>
      <c r="D100" s="1353"/>
      <c r="E100" s="1353"/>
      <c r="F100" s="1353"/>
      <c r="G100" s="1353"/>
      <c r="H100" s="1353"/>
      <c r="K100" s="1353"/>
      <c r="L100" s="3208"/>
      <c r="M100" s="429"/>
      <c r="N100" s="28"/>
      <c r="O100" s="28"/>
      <c r="P100" s="28"/>
    </row>
    <row r="101" spans="1:17" ht="11.25" customHeight="1">
      <c r="A101" s="461"/>
      <c r="B101" s="416" t="s">
        <v>2521</v>
      </c>
      <c r="C101" s="1354" t="s">
        <v>4175</v>
      </c>
      <c r="D101" s="1353"/>
      <c r="E101" s="1353"/>
      <c r="F101" s="1353"/>
      <c r="G101" s="1353"/>
      <c r="H101" s="1353"/>
      <c r="I101" s="3209" t="s">
        <v>4176</v>
      </c>
      <c r="J101" s="3210"/>
      <c r="K101" s="3209" t="s">
        <v>4177</v>
      </c>
      <c r="L101" s="3211"/>
      <c r="M101" s="3210"/>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4"/>
      <c r="N103" s="541" t="s">
        <v>2062</v>
      </c>
      <c r="O103" s="3090"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4"/>
      <c r="N104" s="541" t="s">
        <v>2064</v>
      </c>
      <c r="O104" s="3093"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4"/>
      <c r="N105" s="541" t="s">
        <v>2622</v>
      </c>
      <c r="O105" s="3093"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4"/>
      <c r="N106" s="541" t="s">
        <v>1270</v>
      </c>
      <c r="O106" s="3091"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12.75" customHeight="1">
      <c r="A109" s="3212" t="s">
        <v>4341</v>
      </c>
      <c r="B109" s="3213"/>
      <c r="C109" s="3213"/>
      <c r="D109" s="3213"/>
      <c r="E109" s="3213"/>
      <c r="F109" s="3213"/>
      <c r="G109" s="3213"/>
      <c r="H109" s="3213"/>
      <c r="I109" s="3213"/>
      <c r="J109" s="3213"/>
      <c r="K109" s="3213"/>
      <c r="L109" s="3213"/>
      <c r="M109" s="3213"/>
      <c r="N109" s="3213"/>
      <c r="O109" s="3213"/>
      <c r="P109" s="3214"/>
      <c r="Q109" s="500" t="s">
        <v>1301</v>
      </c>
    </row>
    <row r="110" spans="1:17" s="44" customFormat="1" ht="11.25" customHeight="1">
      <c r="B110" s="103" t="s">
        <v>1937</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1301</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521</v>
      </c>
      <c r="B113" s="112" t="s">
        <v>2904</v>
      </c>
      <c r="C113" s="98"/>
      <c r="D113" s="62"/>
      <c r="E113" s="62"/>
      <c r="H113" s="188" t="s">
        <v>3925</v>
      </c>
      <c r="M113" s="1414">
        <v>8</v>
      </c>
      <c r="N113" s="7"/>
      <c r="O113" s="1198">
        <f>O115+O122+O125</f>
        <v>5</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7" t="s">
        <v>3928</v>
      </c>
      <c r="B115" s="1161" t="s">
        <v>3926</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7"/>
      <c r="B116" s="116" t="s">
        <v>2912</v>
      </c>
      <c r="C116" s="591"/>
      <c r="D116" s="591"/>
      <c r="E116" s="592" t="str">
        <f>'Part I-Project Information'!$H$90</f>
        <v>Rural</v>
      </c>
      <c r="N116" s="28"/>
      <c r="O116" s="127" t="s">
        <v>2597</v>
      </c>
      <c r="P116" s="127" t="s">
        <v>2597</v>
      </c>
    </row>
    <row r="117" spans="1:18" ht="11.45" customHeight="1">
      <c r="A117" s="1857"/>
      <c r="B117" s="415" t="s">
        <v>2062</v>
      </c>
      <c r="C117" s="492" t="s">
        <v>2785</v>
      </c>
      <c r="E117" s="125"/>
      <c r="M117" s="85"/>
      <c r="N117" s="28"/>
      <c r="O117" s="3133" t="s">
        <v>3153</v>
      </c>
      <c r="P117" s="628"/>
      <c r="Q117" s="1904" t="str">
        <f>IF(AND(O117="Yes",O120="Yes"),"Only 1 or 4 can be 'Yes'!","")</f>
        <v/>
      </c>
      <c r="R117" s="1904"/>
    </row>
    <row r="118" spans="1:18" ht="11.45" customHeight="1">
      <c r="B118" s="415" t="s">
        <v>2064</v>
      </c>
      <c r="C118" s="492" t="s">
        <v>2853</v>
      </c>
      <c r="D118" s="3215">
        <v>0.15</v>
      </c>
      <c r="E118" s="492" t="s">
        <v>2854</v>
      </c>
      <c r="G118" s="106" t="s">
        <v>2474</v>
      </c>
      <c r="K118" s="145" t="s">
        <v>2852</v>
      </c>
      <c r="L118" s="3216">
        <v>9.9099999999999994E-2</v>
      </c>
      <c r="M118" s="1196" t="str">
        <f>IF(L118&gt;D118,"CHECK ACTUAL PERCENT!!!","")</f>
        <v/>
      </c>
      <c r="N118" s="480"/>
      <c r="Q118" s="1904"/>
      <c r="R118" s="1904"/>
    </row>
    <row r="119" spans="1:18" ht="11.45" customHeight="1">
      <c r="B119" s="415" t="s">
        <v>2622</v>
      </c>
      <c r="C119" s="466" t="s">
        <v>2475</v>
      </c>
      <c r="E119" s="125"/>
      <c r="G119" s="106" t="s">
        <v>2476</v>
      </c>
      <c r="K119" s="537" t="s">
        <v>2844</v>
      </c>
      <c r="L119" s="3217" t="s">
        <v>4241</v>
      </c>
      <c r="Q119" s="1904"/>
      <c r="R119" s="1904"/>
    </row>
    <row r="120" spans="1:18" ht="11.45" customHeight="1">
      <c r="B120" s="415" t="s">
        <v>1270</v>
      </c>
      <c r="C120" s="1829" t="s">
        <v>3932</v>
      </c>
      <c r="D120" s="1829"/>
      <c r="E120" s="1829"/>
      <c r="F120" s="1829"/>
      <c r="G120" s="1829"/>
      <c r="H120" s="1829"/>
      <c r="I120" s="1829"/>
      <c r="J120" s="1829"/>
      <c r="K120" s="1829"/>
      <c r="L120" s="1829"/>
      <c r="M120" s="1829"/>
      <c r="N120" s="28"/>
      <c r="O120" s="3133"/>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779</v>
      </c>
      <c r="B122" s="1194" t="s">
        <v>3927</v>
      </c>
      <c r="C122" s="466"/>
      <c r="E122" s="125"/>
      <c r="G122" s="106"/>
      <c r="K122" s="1441" t="s">
        <v>3911</v>
      </c>
      <c r="L122" s="1441" t="s">
        <v>3912</v>
      </c>
      <c r="M122" s="130">
        <v>3</v>
      </c>
      <c r="O122" s="1198">
        <f>IF(OR(K123="A2",K123="A3",K123="B1"),3,IF(OR(K123="A1",K123="B2",K123="C1"),2,IF(OR(K123="B3",K123="C2"),1,0)))</f>
        <v>3</v>
      </c>
      <c r="P122" s="81">
        <f>IF(OR(L123="A2",L123="A3",L123="B1"),3,IF(OR(L123="A1",L123="B2",L123="C1"),2,IF(OR(L123="B3",L123="C2"),1,0)))</f>
        <v>0</v>
      </c>
    </row>
    <row r="123" spans="1:18" ht="11.45" customHeight="1">
      <c r="A123" s="594"/>
      <c r="B123" s="1861" t="s">
        <v>3931</v>
      </c>
      <c r="C123" s="1861"/>
      <c r="D123" s="1861"/>
      <c r="E123" s="1861"/>
      <c r="F123" s="1861"/>
      <c r="G123" s="1861"/>
      <c r="H123" s="1861"/>
      <c r="I123" s="1861"/>
      <c r="J123" s="1861"/>
      <c r="K123" s="3218" t="s">
        <v>4242</v>
      </c>
      <c r="L123" s="628" t="s">
        <v>207</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2193</v>
      </c>
      <c r="B125" s="1194" t="s">
        <v>3929</v>
      </c>
      <c r="C125" s="466"/>
      <c r="E125" s="125"/>
      <c r="G125" s="537" t="s">
        <v>3930</v>
      </c>
      <c r="H125" s="1195">
        <f>'Part VI-Revenues &amp; Expenses'!$O$59</f>
        <v>19</v>
      </c>
      <c r="I125" s="1441" t="s">
        <v>3945</v>
      </c>
      <c r="J125" s="1195">
        <f>'Part VI-Revenues &amp; Expenses'!$O$62</f>
        <v>64</v>
      </c>
      <c r="K125" s="1441" t="s">
        <v>3946</v>
      </c>
      <c r="L125" s="1197">
        <f>IF(J125=0,0,H125/J125)</f>
        <v>0.296875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1301</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522</v>
      </c>
      <c r="B129" s="112" t="s">
        <v>3569</v>
      </c>
      <c r="C129" s="98"/>
      <c r="D129" s="62"/>
      <c r="E129" s="62"/>
      <c r="H129" s="767"/>
      <c r="J129" s="3219" t="s">
        <v>2946</v>
      </c>
      <c r="K129" s="3220"/>
      <c r="L129" s="3221"/>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9" t="s">
        <v>4080</v>
      </c>
      <c r="E131" s="34"/>
      <c r="G131" s="3222"/>
      <c r="H131" s="3223"/>
      <c r="I131" s="3223"/>
      <c r="J131" s="3223"/>
      <c r="K131" s="3223"/>
      <c r="L131" s="3223"/>
      <c r="M131" s="3223"/>
      <c r="N131" s="3223"/>
      <c r="O131" s="3223"/>
      <c r="P131" s="3224"/>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3"/>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5"/>
      <c r="M136" s="3225"/>
      <c r="N136" s="431" t="s">
        <v>2520</v>
      </c>
      <c r="O136" s="3090"/>
      <c r="P136" s="630"/>
    </row>
    <row r="137" spans="1:18" s="44" customFormat="1" ht="11.45" customHeight="1">
      <c r="A137" s="414"/>
      <c r="B137" s="416" t="s">
        <v>2521</v>
      </c>
      <c r="C137" s="1821" t="s">
        <v>3933</v>
      </c>
      <c r="D137" s="1821"/>
      <c r="E137" s="1821"/>
      <c r="F137" s="1821"/>
      <c r="G137" s="57" t="s">
        <v>3575</v>
      </c>
      <c r="L137" s="3226"/>
      <c r="M137" s="3226"/>
      <c r="N137" s="416" t="s">
        <v>2521</v>
      </c>
      <c r="O137" s="3091"/>
      <c r="P137" s="632"/>
    </row>
    <row r="138" spans="1:18" s="44" customFormat="1" ht="11.45" customHeight="1">
      <c r="A138" s="414"/>
      <c r="B138" s="416"/>
      <c r="C138" s="1821"/>
      <c r="D138" s="1821"/>
      <c r="E138" s="1821"/>
      <c r="F138" s="1821"/>
      <c r="G138" s="57" t="s">
        <v>3053</v>
      </c>
      <c r="L138" s="3174"/>
      <c r="M138" s="3176"/>
    </row>
    <row r="139" spans="1:18" s="44" customFormat="1" ht="11.45" customHeight="1">
      <c r="A139" s="414"/>
      <c r="B139" s="416"/>
      <c r="C139" s="1821"/>
      <c r="D139" s="1821"/>
      <c r="E139" s="1821"/>
      <c r="F139" s="1821"/>
      <c r="G139" s="57" t="s">
        <v>2948</v>
      </c>
      <c r="J139" s="3166" t="s">
        <v>2950</v>
      </c>
      <c r="K139" s="3168"/>
      <c r="L139" s="3227" t="s">
        <v>2950</v>
      </c>
      <c r="M139" s="3228"/>
    </row>
    <row r="140" spans="1:18" s="44" customFormat="1" ht="11.45" customHeight="1">
      <c r="A140" s="414"/>
      <c r="B140" s="416"/>
      <c r="C140" s="537"/>
      <c r="D140" s="108"/>
      <c r="E140" s="41"/>
      <c r="G140" s="57" t="s">
        <v>2949</v>
      </c>
      <c r="J140" s="3229"/>
      <c r="K140" s="3230"/>
      <c r="L140" s="3229"/>
      <c r="M140" s="3230"/>
    </row>
    <row r="141" spans="1:18" s="44" customFormat="1" ht="11.45" customHeight="1">
      <c r="A141" s="414"/>
      <c r="B141" s="416"/>
      <c r="C141" s="537"/>
      <c r="D141" s="108"/>
      <c r="E141" s="41"/>
      <c r="G141" s="1859" t="s">
        <v>4084</v>
      </c>
      <c r="H141" s="1859"/>
      <c r="I141" s="57" t="s">
        <v>1778</v>
      </c>
      <c r="J141" s="3166" t="s">
        <v>4082</v>
      </c>
      <c r="K141" s="3168"/>
      <c r="L141" s="3166" t="s">
        <v>4082</v>
      </c>
      <c r="M141" s="3168"/>
    </row>
    <row r="142" spans="1:18" s="44" customFormat="1" ht="11.45" customHeight="1">
      <c r="A142" s="414"/>
      <c r="B142" s="416"/>
      <c r="C142" s="537"/>
      <c r="D142" s="108"/>
      <c r="E142" s="41"/>
      <c r="G142" s="1859"/>
      <c r="H142" s="1859"/>
      <c r="I142" s="57" t="s">
        <v>4083</v>
      </c>
      <c r="J142" s="3174"/>
      <c r="K142" s="3176"/>
      <c r="L142" s="3174"/>
      <c r="M142" s="3176"/>
    </row>
    <row r="143" spans="1:18" ht="11.25" customHeight="1">
      <c r="B143" s="416" t="s">
        <v>2522</v>
      </c>
      <c r="C143" s="1821" t="s">
        <v>3934</v>
      </c>
      <c r="D143" s="1821"/>
      <c r="E143" s="1821"/>
      <c r="F143" s="1821"/>
      <c r="G143" s="484" t="s">
        <v>3054</v>
      </c>
      <c r="L143" s="3231"/>
      <c r="M143" s="3232"/>
      <c r="N143" s="416" t="s">
        <v>2522</v>
      </c>
      <c r="O143" s="3133"/>
      <c r="P143" s="628"/>
    </row>
    <row r="144" spans="1:18" ht="11.25" customHeight="1">
      <c r="B144" s="416"/>
      <c r="C144" s="1821"/>
      <c r="D144" s="1821"/>
      <c r="E144" s="1821"/>
      <c r="F144" s="1821"/>
      <c r="G144" s="57" t="s">
        <v>3721</v>
      </c>
      <c r="L144" s="3229"/>
      <c r="M144" s="3230"/>
      <c r="N144" s="28"/>
      <c r="O144" s="28"/>
      <c r="P144" s="28"/>
    </row>
    <row r="145" spans="1:25" ht="11.25" customHeight="1">
      <c r="B145" s="416" t="s">
        <v>2523</v>
      </c>
      <c r="C145" s="569" t="s">
        <v>3935</v>
      </c>
      <c r="D145" s="106"/>
      <c r="G145" s="314"/>
      <c r="K145" s="41"/>
      <c r="L145" s="3233" t="s">
        <v>3937</v>
      </c>
      <c r="M145" s="3234"/>
      <c r="N145" s="416" t="s">
        <v>2523</v>
      </c>
      <c r="O145" s="3090"/>
      <c r="P145" s="630"/>
    </row>
    <row r="146" spans="1:25" ht="11.25" customHeight="1">
      <c r="B146" s="416" t="s">
        <v>2524</v>
      </c>
      <c r="C146" s="569" t="s">
        <v>2951</v>
      </c>
      <c r="K146" s="41"/>
      <c r="L146" s="3235" t="s">
        <v>3937</v>
      </c>
      <c r="M146" s="3236"/>
      <c r="N146" s="416" t="s">
        <v>2524</v>
      </c>
      <c r="O146" s="3093"/>
      <c r="P146" s="631"/>
    </row>
    <row r="147" spans="1:25" ht="11.25" customHeight="1">
      <c r="B147" s="431" t="s">
        <v>3578</v>
      </c>
      <c r="C147" s="54" t="s">
        <v>3572</v>
      </c>
      <c r="K147" s="41"/>
      <c r="L147" s="3235" t="s">
        <v>3937</v>
      </c>
      <c r="M147" s="3236"/>
      <c r="N147" s="431" t="s">
        <v>3578</v>
      </c>
      <c r="O147" s="3093"/>
      <c r="P147" s="631"/>
    </row>
    <row r="148" spans="1:25" ht="11.25" customHeight="1">
      <c r="B148" s="431" t="s">
        <v>3579</v>
      </c>
      <c r="C148" s="54" t="s">
        <v>3570</v>
      </c>
      <c r="K148" s="41"/>
      <c r="L148" s="3235" t="s">
        <v>3937</v>
      </c>
      <c r="M148" s="3236"/>
      <c r="N148" s="431" t="s">
        <v>3579</v>
      </c>
      <c r="O148" s="3093"/>
      <c r="P148" s="631"/>
    </row>
    <row r="149" spans="1:25" ht="11.25" customHeight="1">
      <c r="B149" s="416" t="s">
        <v>2541</v>
      </c>
      <c r="C149" s="569" t="s">
        <v>2952</v>
      </c>
      <c r="K149" s="41"/>
      <c r="L149" s="3235" t="s">
        <v>3937</v>
      </c>
      <c r="M149" s="3236"/>
      <c r="N149" s="416" t="s">
        <v>2541</v>
      </c>
      <c r="O149" s="3093"/>
      <c r="P149" s="631"/>
    </row>
    <row r="150" spans="1:25" ht="11.25" customHeight="1">
      <c r="B150" s="431" t="s">
        <v>2542</v>
      </c>
      <c r="C150" s="569" t="s">
        <v>2953</v>
      </c>
      <c r="D150" s="106"/>
      <c r="K150" s="41"/>
      <c r="L150" s="3237" t="s">
        <v>3937</v>
      </c>
      <c r="M150" s="3238"/>
      <c r="N150" s="431" t="s">
        <v>2542</v>
      </c>
      <c r="O150" s="3093"/>
      <c r="P150" s="631"/>
    </row>
    <row r="151" spans="1:25" ht="11.25" customHeight="1">
      <c r="B151" s="431" t="s">
        <v>2543</v>
      </c>
      <c r="C151" s="569" t="s">
        <v>3936</v>
      </c>
      <c r="K151" s="41"/>
      <c r="M151" s="414"/>
      <c r="N151" s="431" t="s">
        <v>2543</v>
      </c>
      <c r="O151" s="3091"/>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39" t="s">
        <v>3700</v>
      </c>
      <c r="M153" s="483">
        <v>3</v>
      </c>
      <c r="N153" s="431" t="s">
        <v>2058</v>
      </c>
      <c r="O153" s="3133"/>
      <c r="P153" s="628"/>
      <c r="X153" s="414"/>
      <c r="Y153" s="416"/>
    </row>
    <row r="154" spans="1:25" ht="11.25" customHeight="1">
      <c r="A154" s="587"/>
      <c r="G154" s="537" t="s">
        <v>3863</v>
      </c>
      <c r="H154" s="172"/>
      <c r="L154" s="1800" t="str">
        <f>'Part I-Project Information'!$O$28</f>
        <v>13185010202</v>
      </c>
      <c r="M154" s="1800"/>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State Boost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3"/>
      <c r="P158" s="628"/>
      <c r="Q158" s="433"/>
    </row>
    <row r="159" spans="1:25" ht="11.45" customHeight="1">
      <c r="A159" s="149" t="s">
        <v>779</v>
      </c>
      <c r="B159" s="195" t="s">
        <v>2916</v>
      </c>
      <c r="C159" s="195"/>
      <c r="D159" s="34"/>
      <c r="M159" s="122"/>
      <c r="O159" s="595"/>
      <c r="P159" s="595"/>
    </row>
    <row r="160" spans="1:25" ht="22.5" customHeight="1">
      <c r="B160" s="494"/>
      <c r="C160" s="1821" t="s">
        <v>3939</v>
      </c>
      <c r="D160" s="1821"/>
      <c r="E160" s="1821"/>
      <c r="F160" s="1821"/>
      <c r="G160" s="1821"/>
      <c r="H160" s="1821"/>
      <c r="I160" s="1821"/>
      <c r="J160" s="1821"/>
      <c r="K160" s="1821"/>
      <c r="L160" s="1821"/>
      <c r="M160" s="829">
        <v>10</v>
      </c>
      <c r="N160" s="236" t="s">
        <v>779</v>
      </c>
      <c r="O160" s="3240"/>
      <c r="P160" s="629"/>
      <c r="R160" s="1798" t="s">
        <v>3943</v>
      </c>
      <c r="S160" s="1798"/>
      <c r="T160" s="1798" t="s">
        <v>3943</v>
      </c>
      <c r="U160" s="1798"/>
    </row>
    <row r="161" spans="1:21" ht="11.45" customHeight="1">
      <c r="A161" s="149" t="s">
        <v>2193</v>
      </c>
      <c r="B161" s="195" t="s">
        <v>3938</v>
      </c>
      <c r="C161" s="195"/>
      <c r="D161" s="34"/>
      <c r="I161" s="1199" t="s">
        <v>4214</v>
      </c>
      <c r="J161" s="1199" t="s">
        <v>4213</v>
      </c>
      <c r="K161" s="1824" t="s">
        <v>4081</v>
      </c>
      <c r="L161" s="1824"/>
      <c r="M161" s="122">
        <v>4</v>
      </c>
      <c r="N161" s="69" t="s">
        <v>2193</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3421</v>
      </c>
      <c r="S161" s="1438" t="s">
        <v>268</v>
      </c>
      <c r="T161" s="1209" t="s">
        <v>3421</v>
      </c>
      <c r="U161" s="1438" t="s">
        <v>268</v>
      </c>
    </row>
    <row r="162" spans="1:21" ht="11.25" customHeight="1">
      <c r="B162" s="415" t="s">
        <v>2062</v>
      </c>
      <c r="C162" s="827" t="s">
        <v>3940</v>
      </c>
      <c r="D162" s="827"/>
      <c r="E162" s="827"/>
      <c r="F162" s="827"/>
      <c r="G162" s="827"/>
      <c r="H162" s="827"/>
      <c r="I162" s="1278">
        <f>$O$43</f>
        <v>13</v>
      </c>
      <c r="J162" s="1278">
        <f>$P$43</f>
        <v>0</v>
      </c>
      <c r="K162" s="3090"/>
      <c r="L162" s="630"/>
      <c r="M162" s="1828" t="str">
        <f>IF(OR(SUM(T162:T166)&gt;1,SUM(U162:U166)&gt;1),"Only one category can be met by other means!","")</f>
        <v/>
      </c>
      <c r="N162" s="488" t="s">
        <v>2062</v>
      </c>
      <c r="O162" s="1202" t="str">
        <f>IF(OR(I162&gt;=12,K162="Yes"),"Yes","No")</f>
        <v>Yes</v>
      </c>
      <c r="P162" s="630"/>
      <c r="R162" s="1438">
        <f>IF(O162="Yes",1,0)</f>
        <v>1</v>
      </c>
      <c r="S162" s="1438">
        <f>IF(P162="Yes",1,0)</f>
        <v>0</v>
      </c>
      <c r="T162" s="1438">
        <f>IF(K162="Yes",1,0)</f>
        <v>0</v>
      </c>
      <c r="U162" s="1438">
        <f>IF(L162="Yes",1,0)</f>
        <v>0</v>
      </c>
    </row>
    <row r="163" spans="1:21" ht="11.25" customHeight="1">
      <c r="B163" s="415" t="s">
        <v>2064</v>
      </c>
      <c r="C163" s="827" t="s">
        <v>4212</v>
      </c>
      <c r="D163" s="827"/>
      <c r="E163" s="827"/>
      <c r="F163" s="827"/>
      <c r="G163" s="827"/>
      <c r="H163" s="827"/>
      <c r="I163" s="1279" t="str">
        <f>IF(OR(M370="Yes",M371="Yes",M372="Yes"),"Yes","No")</f>
        <v>Yes</v>
      </c>
      <c r="J163" s="1279" t="str">
        <f>IF(OR(O370="Yes",O371="Yes",O372="Yes"),"Yes","No")</f>
        <v>No</v>
      </c>
      <c r="K163" s="3093"/>
      <c r="L163" s="631"/>
      <c r="M163" s="1828"/>
      <c r="N163" s="488" t="s">
        <v>2064</v>
      </c>
      <c r="O163" s="1203" t="str">
        <f>IF(OR(I163="Yes",K163="Yes"),"Yes","No")</f>
        <v>Yes</v>
      </c>
      <c r="P163" s="631"/>
      <c r="R163" s="1438">
        <f t="shared" ref="R163:S166" si="0">IF(O163="Yes",1,0)</f>
        <v>1</v>
      </c>
      <c r="S163" s="1438">
        <f t="shared" si="0"/>
        <v>0</v>
      </c>
      <c r="T163" s="1438">
        <f t="shared" ref="T163:T166" si="1">IF(K163="Yes",1,0)</f>
        <v>0</v>
      </c>
      <c r="U163" s="1438">
        <f t="shared" ref="U163:U166" si="2">IF(L163="Yes",1,0)</f>
        <v>0</v>
      </c>
    </row>
    <row r="164" spans="1:21" ht="11.25" customHeight="1">
      <c r="B164" s="415" t="s">
        <v>2622</v>
      </c>
      <c r="C164" s="827" t="s">
        <v>3942</v>
      </c>
      <c r="D164" s="827"/>
      <c r="E164" s="827"/>
      <c r="F164" s="827"/>
      <c r="G164" s="827"/>
      <c r="H164" s="827"/>
      <c r="I164" s="1278">
        <f>$O$275</f>
        <v>0</v>
      </c>
      <c r="J164" s="1278">
        <f>$P$275</f>
        <v>0</v>
      </c>
      <c r="K164" s="3093"/>
      <c r="L164" s="631"/>
      <c r="M164" s="1828"/>
      <c r="N164" s="488" t="s">
        <v>2622</v>
      </c>
      <c r="O164" s="1203" t="str">
        <f>IF(OR(I164&gt;=2,K164="Yes"),"Yes","No")</f>
        <v>No</v>
      </c>
      <c r="P164" s="631"/>
      <c r="R164" s="1438">
        <f t="shared" si="0"/>
        <v>0</v>
      </c>
      <c r="S164" s="1438">
        <f t="shared" si="0"/>
        <v>0</v>
      </c>
      <c r="T164" s="1438">
        <f t="shared" si="1"/>
        <v>0</v>
      </c>
      <c r="U164" s="1438">
        <f t="shared" si="2"/>
        <v>0</v>
      </c>
    </row>
    <row r="165" spans="1:21" ht="11.25" customHeight="1">
      <c r="B165" s="415" t="s">
        <v>1270</v>
      </c>
      <c r="C165" s="827" t="s">
        <v>3941</v>
      </c>
      <c r="D165" s="827"/>
      <c r="E165" s="827"/>
      <c r="F165" s="827"/>
      <c r="G165" s="827"/>
      <c r="H165" s="827"/>
      <c r="I165" s="1278">
        <f>$O$378</f>
        <v>0</v>
      </c>
      <c r="J165" s="1278">
        <f>$P$378</f>
        <v>0</v>
      </c>
      <c r="K165" s="3093"/>
      <c r="L165" s="631"/>
      <c r="M165" s="1828"/>
      <c r="N165" s="488" t="s">
        <v>1270</v>
      </c>
      <c r="O165" s="1203" t="str">
        <f>IF(OR(I165&gt;=2,K165="Yes"),"Yes","No")</f>
        <v>No</v>
      </c>
      <c r="P165" s="631"/>
      <c r="R165" s="1438">
        <f t="shared" si="0"/>
        <v>0</v>
      </c>
      <c r="S165" s="1438">
        <f t="shared" si="0"/>
        <v>0</v>
      </c>
      <c r="T165" s="1438">
        <f t="shared" si="1"/>
        <v>0</v>
      </c>
      <c r="U165" s="1438">
        <f t="shared" si="2"/>
        <v>0</v>
      </c>
    </row>
    <row r="166" spans="1:21" ht="11.25" customHeight="1">
      <c r="B166" s="415" t="s">
        <v>1271</v>
      </c>
      <c r="C166" s="827" t="s">
        <v>4217</v>
      </c>
      <c r="D166" s="827"/>
      <c r="E166" s="827"/>
      <c r="F166" s="827"/>
      <c r="G166" s="827"/>
      <c r="H166" s="827"/>
      <c r="I166" s="1201">
        <f>$L$125</f>
        <v>0.296875</v>
      </c>
      <c r="J166" s="1379"/>
      <c r="K166" s="3091"/>
      <c r="L166" s="632"/>
      <c r="M166" s="1828"/>
      <c r="N166" s="488" t="s">
        <v>1271</v>
      </c>
      <c r="O166" s="1204" t="str">
        <f>IF(OR(I166&gt;=15%,K166="Yes"),"Yes","No")</f>
        <v>Yes</v>
      </c>
      <c r="P166" s="632"/>
      <c r="R166" s="1438">
        <f t="shared" si="0"/>
        <v>1</v>
      </c>
      <c r="S166" s="1438">
        <f t="shared" si="0"/>
        <v>0</v>
      </c>
      <c r="T166" s="1438">
        <f t="shared" si="1"/>
        <v>0</v>
      </c>
      <c r="U166" s="1438">
        <f t="shared" si="2"/>
        <v>0</v>
      </c>
    </row>
    <row r="167" spans="1:21" s="44" customFormat="1" ht="13.9" customHeight="1">
      <c r="A167" s="43"/>
      <c r="B167" s="50" t="s">
        <v>267</v>
      </c>
      <c r="C167" s="43"/>
      <c r="D167" s="49"/>
      <c r="E167" s="49"/>
      <c r="F167" s="49"/>
      <c r="G167" s="49"/>
      <c r="H167" s="37"/>
      <c r="I167" s="145"/>
      <c r="M167" s="47"/>
      <c r="N167" s="65"/>
      <c r="O167" s="3"/>
      <c r="P167" s="1418"/>
    </row>
    <row r="168" spans="1:21" s="44" customFormat="1" ht="12.75" customHeight="1">
      <c r="A168" s="3212" t="s">
        <v>4381</v>
      </c>
      <c r="B168" s="3213"/>
      <c r="C168" s="3213"/>
      <c r="D168" s="3213"/>
      <c r="E168" s="3213"/>
      <c r="F168" s="3213"/>
      <c r="G168" s="3213"/>
      <c r="H168" s="3213"/>
      <c r="I168" s="3213"/>
      <c r="J168" s="3213"/>
      <c r="K168" s="3213"/>
      <c r="L168" s="3213"/>
      <c r="M168" s="3213"/>
      <c r="N168" s="3213"/>
      <c r="O168" s="3213"/>
      <c r="P168" s="3214"/>
      <c r="Q168" s="500" t="s">
        <v>1301</v>
      </c>
    </row>
    <row r="169" spans="1:21" s="44" customFormat="1" ht="11.25" customHeight="1">
      <c r="A169" s="43"/>
      <c r="B169" s="91" t="s">
        <v>1937</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4">
        <v>4</v>
      </c>
      <c r="N172" s="6"/>
      <c r="O172" s="81">
        <f>IF(AND($J$173="Flexible",O174=$M174),$M174,IF(AND($J$173="Flexible",O181&gt;0),O181,IF(AND($J$173="Rural",O185&gt;0),O185,0)))</f>
        <v>2</v>
      </c>
      <c r="P172" s="81">
        <f>IF(AND($J$173="Flexible",P174=$M174),$M174,IF(AND($J$173="Flexible",P181&gt;0),P181,IF(AND($J$173="Rural",P185&gt;0),P185,0)))</f>
        <v>0</v>
      </c>
      <c r="Q172" s="115" t="s">
        <v>456</v>
      </c>
    </row>
    <row r="173" spans="1:21" ht="10.9" customHeight="1">
      <c r="A173" s="587"/>
      <c r="B173" s="537"/>
      <c r="D173" s="766"/>
      <c r="E173" s="537"/>
      <c r="H173" s="92" t="s">
        <v>2912</v>
      </c>
      <c r="I173" s="484"/>
      <c r="J173" s="1839" t="str">
        <f>'Part I-Project Information'!$H$90</f>
        <v>Rural</v>
      </c>
      <c r="K173" s="1839"/>
      <c r="N173" s="28"/>
      <c r="O173" s="28"/>
      <c r="P173" s="28"/>
    </row>
    <row r="174" spans="1:21" ht="12" customHeight="1">
      <c r="A174" s="1412" t="s">
        <v>2058</v>
      </c>
      <c r="B174" s="195" t="s">
        <v>2312</v>
      </c>
      <c r="D174" s="34"/>
      <c r="E174" s="34"/>
      <c r="F174" s="34"/>
      <c r="H174" s="92" t="s">
        <v>4130</v>
      </c>
      <c r="I174" s="484"/>
      <c r="J174" s="1839" t="str">
        <f>'Part I-Project Information'!$O$24</f>
        <v>No</v>
      </c>
      <c r="K174" s="1839"/>
      <c r="L174" s="1332">
        <f>'Part I-Project Information'!$O$25</f>
        <v>0</v>
      </c>
      <c r="M174" s="77">
        <v>3</v>
      </c>
      <c r="N174" s="525" t="s">
        <v>2058</v>
      </c>
      <c r="O174" s="3164"/>
      <c r="P174" s="622"/>
      <c r="Q174" s="433" t="s">
        <v>2810</v>
      </c>
    </row>
    <row r="175" spans="1:21" s="106" customFormat="1" ht="22.5" customHeight="1">
      <c r="B175" s="1158" t="s">
        <v>2062</v>
      </c>
      <c r="C175" s="1821" t="s">
        <v>3944</v>
      </c>
      <c r="D175" s="1771"/>
      <c r="E175" s="1771"/>
      <c r="F175" s="1771"/>
      <c r="G175" s="1771"/>
      <c r="H175" s="1771"/>
      <c r="I175" s="1771"/>
      <c r="J175" s="1771"/>
      <c r="K175" s="1771"/>
      <c r="L175" s="1771"/>
      <c r="M175" s="464"/>
      <c r="N175" s="434" t="s">
        <v>2062</v>
      </c>
      <c r="O175" s="3134"/>
      <c r="P175" s="635"/>
    </row>
    <row r="176" spans="1:21" s="106" customFormat="1" ht="12" customHeight="1">
      <c r="B176" s="763"/>
      <c r="C176" s="126" t="s">
        <v>997</v>
      </c>
      <c r="H176" s="537" t="s">
        <v>2671</v>
      </c>
      <c r="J176" s="3241"/>
      <c r="K176" s="3242"/>
    </row>
    <row r="177" spans="1:17" s="106" customFormat="1" ht="12" customHeight="1">
      <c r="B177" s="763"/>
      <c r="C177" s="126"/>
      <c r="H177" s="537" t="s">
        <v>2381</v>
      </c>
      <c r="J177" s="3243"/>
      <c r="K177" s="3244"/>
      <c r="L177" s="3245"/>
    </row>
    <row r="178" spans="1:17" s="126" customFormat="1" ht="12" customHeight="1">
      <c r="B178" s="763" t="s">
        <v>2064</v>
      </c>
      <c r="C178" s="126" t="s">
        <v>998</v>
      </c>
      <c r="M178" s="7"/>
      <c r="N178" s="192" t="s">
        <v>2064</v>
      </c>
      <c r="O178" s="3090"/>
      <c r="P178" s="630"/>
    </row>
    <row r="179" spans="1:17" s="126" customFormat="1" ht="12" customHeight="1">
      <c r="B179" s="763" t="s">
        <v>2622</v>
      </c>
      <c r="C179" s="126" t="s">
        <v>999</v>
      </c>
      <c r="M179" s="7"/>
      <c r="N179" s="192" t="s">
        <v>2622</v>
      </c>
      <c r="O179" s="3093"/>
      <c r="P179" s="631"/>
    </row>
    <row r="180" spans="1:17" s="126" customFormat="1" ht="12" customHeight="1">
      <c r="A180" s="587"/>
      <c r="B180" s="763" t="s">
        <v>1270</v>
      </c>
      <c r="C180" s="126" t="s">
        <v>1000</v>
      </c>
      <c r="M180" s="7"/>
      <c r="N180" s="192" t="s">
        <v>1270</v>
      </c>
      <c r="O180" s="3091"/>
      <c r="P180" s="632"/>
    </row>
    <row r="181" spans="1:17" s="34" customFormat="1" ht="12" customHeight="1">
      <c r="A181" s="1412" t="s">
        <v>2061</v>
      </c>
      <c r="B181" s="195" t="s">
        <v>3947</v>
      </c>
      <c r="D181" s="772"/>
      <c r="H181" s="64" t="s">
        <v>3602</v>
      </c>
      <c r="M181" s="768">
        <v>3</v>
      </c>
      <c r="N181" s="525" t="s">
        <v>2061</v>
      </c>
      <c r="O181" s="1208">
        <f>IF($J$173="Flexible", MIN($M$181, SUM(O183:O184)), 0)</f>
        <v>0</v>
      </c>
      <c r="P181" s="1208">
        <f>IF($J$173="Flexible", MIN($M$181, SUM(P183:P184)), 0)</f>
        <v>0</v>
      </c>
    </row>
    <row r="182" spans="1:17" s="34" customFormat="1" ht="12" customHeight="1">
      <c r="A182" s="1412"/>
      <c r="B182" s="1205" t="s">
        <v>3949</v>
      </c>
      <c r="D182" s="772"/>
      <c r="H182" s="64"/>
    </row>
    <row r="183" spans="1:17" s="34" customFormat="1" ht="12" customHeight="1">
      <c r="B183" s="415" t="s">
        <v>2062</v>
      </c>
      <c r="C183" s="770" t="s">
        <v>3952</v>
      </c>
      <c r="M183" s="77">
        <v>3</v>
      </c>
      <c r="N183" s="488" t="s">
        <v>2062</v>
      </c>
      <c r="O183" s="3164"/>
      <c r="P183" s="622"/>
      <c r="Q183" s="188" t="s">
        <v>2810</v>
      </c>
    </row>
    <row r="184" spans="1:17" ht="12" customHeight="1">
      <c r="A184" s="771" t="s">
        <v>1403</v>
      </c>
      <c r="B184" s="494" t="s">
        <v>2064</v>
      </c>
      <c r="C184" s="493" t="s">
        <v>3950</v>
      </c>
      <c r="D184" s="34"/>
      <c r="E184" s="34"/>
      <c r="F184" s="34"/>
      <c r="G184" s="41"/>
      <c r="H184" s="64"/>
      <c r="I184" s="41"/>
      <c r="M184" s="85">
        <v>2</v>
      </c>
      <c r="N184" s="1206" t="s">
        <v>2064</v>
      </c>
      <c r="O184" s="3165"/>
      <c r="P184" s="624"/>
      <c r="Q184" s="188" t="s">
        <v>2810</v>
      </c>
    </row>
    <row r="185" spans="1:17" s="34" customFormat="1" ht="12" customHeight="1">
      <c r="A185" s="1412" t="s">
        <v>779</v>
      </c>
      <c r="B185" s="195" t="s">
        <v>3948</v>
      </c>
      <c r="D185" s="772"/>
      <c r="H185" s="64" t="s">
        <v>3956</v>
      </c>
      <c r="M185" s="768">
        <v>4</v>
      </c>
      <c r="N185" s="525" t="s">
        <v>779</v>
      </c>
      <c r="O185" s="1208">
        <f>IF($J$173="Rural", MIN($M$185, SUM(O187:O189)), 0)</f>
        <v>2</v>
      </c>
      <c r="P185" s="1208">
        <f>IF($J$173="Rural", MIN($M$181, SUM(P187:P189)), 0)</f>
        <v>0</v>
      </c>
    </row>
    <row r="186" spans="1:17" s="34" customFormat="1" ht="12" customHeight="1">
      <c r="A186" s="1412"/>
      <c r="B186" s="1205" t="s">
        <v>3953</v>
      </c>
      <c r="D186" s="772"/>
      <c r="H186" s="64"/>
    </row>
    <row r="187" spans="1:17" s="34" customFormat="1" ht="12" customHeight="1">
      <c r="B187" s="415" t="s">
        <v>2062</v>
      </c>
      <c r="C187" s="770" t="s">
        <v>3955</v>
      </c>
      <c r="K187" s="1809" t="str">
        <f>IF(AND(O187&gt;0,O189&gt;0),"Choose either option 1 or option 3!!!","")</f>
        <v/>
      </c>
      <c r="L187" s="1809"/>
      <c r="M187" s="77">
        <v>3</v>
      </c>
      <c r="N187" s="488" t="s">
        <v>2062</v>
      </c>
      <c r="O187" s="3164"/>
      <c r="P187" s="622"/>
      <c r="Q187" s="188" t="s">
        <v>2810</v>
      </c>
    </row>
    <row r="188" spans="1:17" ht="12" customHeight="1">
      <c r="A188" s="771"/>
      <c r="B188" s="494" t="s">
        <v>2064</v>
      </c>
      <c r="C188" s="484" t="s">
        <v>3951</v>
      </c>
      <c r="D188" s="34"/>
      <c r="E188" s="34"/>
      <c r="F188" s="34"/>
      <c r="G188" s="41"/>
      <c r="H188" s="1207" t="s">
        <v>3957</v>
      </c>
      <c r="I188" s="41"/>
      <c r="K188" s="1809"/>
      <c r="L188" s="1809"/>
      <c r="M188" s="85">
        <v>1</v>
      </c>
      <c r="N188" s="1206" t="s">
        <v>2064</v>
      </c>
      <c r="O188" s="3190"/>
      <c r="P188" s="623"/>
      <c r="Q188" s="188" t="s">
        <v>2810</v>
      </c>
    </row>
    <row r="189" spans="1:17" ht="12" customHeight="1">
      <c r="A189" s="771" t="s">
        <v>1403</v>
      </c>
      <c r="B189" s="494" t="s">
        <v>2622</v>
      </c>
      <c r="C189" s="493" t="s">
        <v>3954</v>
      </c>
      <c r="D189" s="34"/>
      <c r="E189" s="34"/>
      <c r="F189" s="34"/>
      <c r="G189" s="41"/>
      <c r="H189" s="64"/>
      <c r="I189" s="41"/>
      <c r="K189" s="1809"/>
      <c r="L189" s="1809"/>
      <c r="M189" s="85">
        <v>2</v>
      </c>
      <c r="N189" s="1206" t="s">
        <v>2622</v>
      </c>
      <c r="O189" s="3165">
        <v>2</v>
      </c>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24" customHeight="1">
      <c r="A191" s="3055" t="s">
        <v>4342</v>
      </c>
      <c r="B191" s="3056"/>
      <c r="C191" s="3056"/>
      <c r="D191" s="3056"/>
      <c r="E191" s="3056"/>
      <c r="F191" s="3056"/>
      <c r="G191" s="3056"/>
      <c r="H191" s="3056"/>
      <c r="I191" s="3056"/>
      <c r="J191" s="3056"/>
      <c r="K191" s="3056"/>
      <c r="L191" s="3056"/>
      <c r="M191" s="3056"/>
      <c r="N191" s="3056"/>
      <c r="O191" s="3056"/>
      <c r="P191" s="3057"/>
      <c r="Q191" s="500" t="s">
        <v>1301</v>
      </c>
    </row>
    <row r="192" spans="1:17" s="44" customFormat="1" ht="12" customHeight="1">
      <c r="B192" s="91" t="s">
        <v>1937</v>
      </c>
      <c r="C192" s="104"/>
      <c r="D192" s="91"/>
      <c r="E192" s="105"/>
      <c r="F192" s="1419"/>
      <c r="G192" s="1419"/>
      <c r="H192" s="1419"/>
      <c r="I192" s="1419"/>
      <c r="J192" s="1419"/>
      <c r="K192" s="1419"/>
      <c r="L192" s="1419"/>
      <c r="M192" s="1419"/>
      <c r="N192" s="79"/>
      <c r="O192" s="75"/>
      <c r="P192" s="1414"/>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4">
        <v>2</v>
      </c>
      <c r="N195" s="441"/>
      <c r="O195" s="839">
        <f>IF(SUM(R197:R200)=0,2,IF(SUM(R197:R200)=1,1,0))</f>
        <v>2</v>
      </c>
      <c r="P195" s="839">
        <f>IF(SUM(S197:S200)=0,2,IF(SUM(S197:S200)=1,1,0))</f>
        <v>2</v>
      </c>
      <c r="Q195" s="115" t="s">
        <v>456</v>
      </c>
      <c r="R195" s="1798" t="s">
        <v>3943</v>
      </c>
      <c r="S195" s="1798"/>
    </row>
    <row r="196" spans="1:20" ht="11.45" customHeight="1">
      <c r="B196" s="178" t="s">
        <v>1729</v>
      </c>
      <c r="E196" s="125"/>
      <c r="M196" s="430"/>
      <c r="N196" s="28"/>
      <c r="O196" s="127" t="s">
        <v>2597</v>
      </c>
      <c r="P196" s="127" t="s">
        <v>2597</v>
      </c>
      <c r="R196" s="1209" t="s">
        <v>3421</v>
      </c>
      <c r="S196" s="1438" t="s">
        <v>268</v>
      </c>
    </row>
    <row r="197" spans="1:20" s="436" customFormat="1" ht="22.5" customHeight="1">
      <c r="A197" s="154" t="s">
        <v>2058</v>
      </c>
      <c r="B197" s="1825" t="s">
        <v>3958</v>
      </c>
      <c r="C197" s="1825"/>
      <c r="D197" s="1825"/>
      <c r="E197" s="1825"/>
      <c r="F197" s="1825"/>
      <c r="G197" s="1825"/>
      <c r="H197" s="1825"/>
      <c r="I197" s="1825"/>
      <c r="J197" s="1825"/>
      <c r="K197" s="1825"/>
      <c r="L197" s="1825"/>
      <c r="M197" s="110"/>
      <c r="N197" s="174" t="s">
        <v>2058</v>
      </c>
      <c r="O197" s="3131" t="s">
        <v>3156</v>
      </c>
      <c r="P197" s="633"/>
      <c r="R197" s="1210">
        <f t="shared" ref="R197:S200" si="3">IF(O197="Yes",1,0)</f>
        <v>0</v>
      </c>
      <c r="S197" s="1210">
        <f t="shared" si="3"/>
        <v>0</v>
      </c>
    </row>
    <row r="198" spans="1:20" s="436" customFormat="1" ht="22.5" customHeight="1">
      <c r="A198" s="154" t="s">
        <v>2061</v>
      </c>
      <c r="B198" s="1825" t="s">
        <v>2841</v>
      </c>
      <c r="C198" s="1825"/>
      <c r="D198" s="1825"/>
      <c r="E198" s="1825"/>
      <c r="F198" s="1825"/>
      <c r="G198" s="1825"/>
      <c r="H198" s="1825"/>
      <c r="I198" s="1825"/>
      <c r="J198" s="1825"/>
      <c r="K198" s="1825"/>
      <c r="L198" s="1825"/>
      <c r="M198" s="110"/>
      <c r="N198" s="174" t="s">
        <v>2061</v>
      </c>
      <c r="O198" s="3094" t="s">
        <v>3156</v>
      </c>
      <c r="P198" s="634"/>
      <c r="R198" s="1210">
        <f t="shared" si="3"/>
        <v>0</v>
      </c>
      <c r="S198" s="1210">
        <f t="shared" si="3"/>
        <v>0</v>
      </c>
    </row>
    <row r="199" spans="1:20" s="436" customFormat="1" ht="11.25" customHeight="1">
      <c r="A199" s="154" t="s">
        <v>779</v>
      </c>
      <c r="B199" s="233" t="s">
        <v>1730</v>
      </c>
      <c r="M199" s="490"/>
      <c r="N199" s="69" t="s">
        <v>779</v>
      </c>
      <c r="O199" s="3093" t="s">
        <v>3156</v>
      </c>
      <c r="P199" s="634"/>
      <c r="R199" s="1438">
        <f t="shared" si="3"/>
        <v>0</v>
      </c>
      <c r="S199" s="1438">
        <f t="shared" si="3"/>
        <v>0</v>
      </c>
    </row>
    <row r="200" spans="1:20" s="436" customFormat="1" ht="11.25" customHeight="1">
      <c r="A200" s="154" t="s">
        <v>2193</v>
      </c>
      <c r="B200" s="150" t="s">
        <v>3959</v>
      </c>
      <c r="M200" s="490"/>
      <c r="N200" s="69" t="s">
        <v>2193</v>
      </c>
      <c r="O200" s="3091" t="s">
        <v>3156</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22.5" customHeight="1">
      <c r="A202" s="3055" t="s">
        <v>4343</v>
      </c>
      <c r="B202" s="3056"/>
      <c r="C202" s="3056"/>
      <c r="D202" s="3056"/>
      <c r="E202" s="3056"/>
      <c r="F202" s="3056"/>
      <c r="G202" s="3056"/>
      <c r="H202" s="3056"/>
      <c r="I202" s="3056"/>
      <c r="J202" s="3056"/>
      <c r="K202" s="3056"/>
      <c r="L202" s="3056"/>
      <c r="M202" s="3056"/>
      <c r="N202" s="3056"/>
      <c r="O202" s="3056"/>
      <c r="P202" s="3057"/>
      <c r="Q202" s="500" t="s">
        <v>1301</v>
      </c>
    </row>
    <row r="203" spans="1:20" s="44" customFormat="1" ht="11.25" customHeight="1">
      <c r="A203" s="43"/>
      <c r="B203" s="91" t="s">
        <v>1937</v>
      </c>
      <c r="C203" s="43"/>
      <c r="D203" s="91"/>
      <c r="E203" s="1419"/>
      <c r="F203" s="1419"/>
      <c r="G203" s="1419"/>
      <c r="H203" s="1419"/>
      <c r="I203" s="1419"/>
      <c r="J203" s="1419"/>
      <c r="K203" s="1419"/>
      <c r="L203" s="1419"/>
      <c r="M203" s="1419"/>
      <c r="N203" s="79"/>
      <c r="O203" s="75"/>
      <c r="P203" s="1414"/>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4">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1" t="s">
        <v>3153</v>
      </c>
      <c r="P208" s="632"/>
      <c r="Q208" s="433"/>
      <c r="R208" s="417"/>
    </row>
    <row r="209" spans="1:20" s="44" customFormat="1" ht="12" customHeight="1">
      <c r="A209" s="149" t="s">
        <v>2061</v>
      </c>
      <c r="B209" s="180" t="s">
        <v>2314</v>
      </c>
      <c r="D209" s="60"/>
      <c r="K209" s="54"/>
      <c r="L209" s="108"/>
      <c r="M209" s="7">
        <v>1</v>
      </c>
      <c r="N209" s="525" t="s">
        <v>2061</v>
      </c>
      <c r="O209" s="3164"/>
      <c r="P209" s="622"/>
      <c r="Q209" s="433" t="s">
        <v>2810</v>
      </c>
      <c r="T209" s="417" t="str">
        <f>IF(OR($O209=$M209,$O209=0,$O209=""),"","* * Check Score! * *")</f>
        <v/>
      </c>
    </row>
    <row r="210" spans="1:20" s="44" customFormat="1" ht="12" customHeight="1">
      <c r="A210" s="149"/>
      <c r="B210" s="1222" t="s">
        <v>3960</v>
      </c>
      <c r="D210" s="60"/>
      <c r="H210" s="1432"/>
      <c r="K210" s="54"/>
      <c r="L210" s="108"/>
      <c r="M210" s="7"/>
      <c r="N210" s="525"/>
      <c r="O210" s="3091"/>
      <c r="P210" s="632"/>
      <c r="Q210" s="433"/>
      <c r="R210" s="417"/>
    </row>
    <row r="211" spans="1:20" s="44" customFormat="1" ht="12" customHeight="1">
      <c r="A211" s="43"/>
      <c r="B211" s="91" t="s">
        <v>1937</v>
      </c>
      <c r="C211" s="104"/>
      <c r="D211" s="91"/>
      <c r="E211" s="105"/>
      <c r="F211" s="1419"/>
      <c r="G211" s="1419"/>
      <c r="H211" s="1419"/>
      <c r="I211" s="1419"/>
      <c r="J211" s="1419"/>
      <c r="K211" s="1419"/>
      <c r="L211" s="1419"/>
      <c r="M211" s="1419"/>
      <c r="N211" s="79"/>
      <c r="O211" s="75"/>
      <c r="P211" s="1414"/>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3595</v>
      </c>
      <c r="C214" s="93"/>
      <c r="D214" s="61"/>
      <c r="E214" s="54"/>
      <c r="M214" s="1414">
        <v>3</v>
      </c>
      <c r="N214" s="6"/>
      <c r="O214" s="6"/>
      <c r="P214" s="626"/>
      <c r="Q214" s="115" t="s">
        <v>456</v>
      </c>
    </row>
    <row r="215" spans="1:20" s="44" customFormat="1" ht="12" customHeight="1">
      <c r="A215" s="166"/>
      <c r="B215" s="41" t="s">
        <v>2786</v>
      </c>
      <c r="C215" s="93"/>
      <c r="D215" s="61"/>
      <c r="E215" s="54"/>
      <c r="I215" s="524" t="str">
        <f>'Part I-Project Information'!$H$86</f>
        <v>No</v>
      </c>
      <c r="M215" s="1414"/>
      <c r="N215" s="1414"/>
      <c r="O215" s="127" t="s">
        <v>2597</v>
      </c>
      <c r="P215" s="127" t="s">
        <v>2597</v>
      </c>
      <c r="Q215" s="115"/>
    </row>
    <row r="216" spans="1:20" s="44" customFormat="1" ht="12" customHeight="1">
      <c r="A216" s="149"/>
      <c r="B216" s="57" t="s">
        <v>3712</v>
      </c>
      <c r="D216" s="34"/>
      <c r="N216" s="525"/>
      <c r="O216" s="3090"/>
      <c r="P216" s="630"/>
      <c r="R216" s="417"/>
    </row>
    <row r="217" spans="1:20" s="44" customFormat="1" ht="12" customHeight="1">
      <c r="A217" s="149"/>
      <c r="B217" s="57" t="s">
        <v>3713</v>
      </c>
      <c r="D217" s="34"/>
      <c r="N217" s="525"/>
      <c r="O217" s="3093"/>
      <c r="P217" s="631"/>
      <c r="R217" s="417"/>
    </row>
    <row r="218" spans="1:20" s="44" customFormat="1" ht="12" customHeight="1">
      <c r="A218" s="149"/>
      <c r="B218" s="57" t="s">
        <v>3961</v>
      </c>
      <c r="D218" s="34"/>
      <c r="N218" s="525"/>
      <c r="O218" s="3091"/>
      <c r="P218" s="632"/>
      <c r="R218" s="417"/>
    </row>
    <row r="219" spans="1:20" s="44" customFormat="1" ht="12" customHeight="1">
      <c r="B219" s="91" t="s">
        <v>1937</v>
      </c>
      <c r="C219" s="104"/>
      <c r="D219" s="91"/>
      <c r="E219" s="105"/>
      <c r="F219" s="1419"/>
      <c r="G219" s="1419"/>
      <c r="H219" s="1419"/>
      <c r="I219" s="1419"/>
      <c r="J219" s="1419"/>
      <c r="K219" s="1419"/>
      <c r="L219" s="1419"/>
      <c r="M219" s="1419"/>
      <c r="N219" s="79"/>
      <c r="O219" s="75"/>
      <c r="P219" s="1414"/>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2955</v>
      </c>
      <c r="E222" s="37" t="s">
        <v>3865</v>
      </c>
      <c r="G222" s="828" t="str">
        <f>'Part I-Project Information'!$H$90</f>
        <v>Rural</v>
      </c>
      <c r="H222" s="596" t="str">
        <f>IF(G222="Flexible","(NOTE: Only Rural pool applicants are eligible for this section.)","")</f>
        <v/>
      </c>
      <c r="K222" s="481" t="s">
        <v>3866</v>
      </c>
      <c r="L222" s="596" t="str">
        <f>'Part I-Project Information'!$K$30</f>
        <v>Rural</v>
      </c>
      <c r="M222" s="1414">
        <v>2</v>
      </c>
      <c r="N222" s="441"/>
      <c r="O222" s="3246">
        <v>2</v>
      </c>
      <c r="P222" s="626"/>
      <c r="Q222" s="115" t="s">
        <v>456</v>
      </c>
      <c r="R222" s="775" t="s">
        <v>2810</v>
      </c>
    </row>
    <row r="223" spans="1:20" s="66" customFormat="1" ht="3" customHeight="1">
      <c r="A223" s="165"/>
      <c r="M223" s="1414"/>
      <c r="N223" s="441"/>
      <c r="O223" s="441"/>
      <c r="P223" s="441"/>
    </row>
    <row r="224" spans="1:20" s="66" customFormat="1" ht="24.75" customHeight="1">
      <c r="A224" s="1718" t="s">
        <v>3962</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3864</v>
      </c>
      <c r="C225" s="1822" t="str">
        <f>'Part II-Development Team'!$H$14</f>
        <v>Village on Park GP, LLC</v>
      </c>
      <c r="D225" s="1822"/>
      <c r="F225" s="1280">
        <f>'Part II-Development Team'!$L$139</f>
        <v>1E-4</v>
      </c>
      <c r="G225" s="1823" t="str">
        <f>'Part II-Development Team'!$Q$14</f>
        <v>Shawn Smith</v>
      </c>
      <c r="H225" s="1823"/>
      <c r="I225" s="1215" t="s">
        <v>4196</v>
      </c>
      <c r="J225" s="1367">
        <f>'Part VI-Revenues &amp; Expenses'!$O$62</f>
        <v>64</v>
      </c>
      <c r="K225" s="1826" t="s">
        <v>4197</v>
      </c>
      <c r="L225" s="1827"/>
      <c r="N225" s="441"/>
      <c r="O225" s="1934" t="s">
        <v>4202</v>
      </c>
      <c r="P225" s="1935"/>
      <c r="Q225" s="115"/>
      <c r="R225" s="28"/>
    </row>
    <row r="226" spans="1:18" s="66" customFormat="1" ht="10.5" customHeight="1">
      <c r="A226" s="1169" t="s">
        <v>3867</v>
      </c>
      <c r="C226" s="1822">
        <f>'Part II-Development Team'!$H$20</f>
        <v>0</v>
      </c>
      <c r="D226" s="1822"/>
      <c r="F226" s="1280">
        <f>'Part II-Development Team'!$L$140</f>
        <v>0</v>
      </c>
      <c r="G226" s="1823">
        <f>'Part II-Development Team'!$Q$20</f>
        <v>0</v>
      </c>
      <c r="H226" s="1823"/>
      <c r="I226" s="1216" t="s">
        <v>379</v>
      </c>
      <c r="J226" s="1368">
        <f>'Part VI-Revenues &amp; Expenses'!$O$81+'Part VI-Revenues &amp; Expenses'!$O$82</f>
        <v>0</v>
      </c>
      <c r="K226" s="1826"/>
      <c r="L226" s="1827"/>
      <c r="M226" s="3247"/>
      <c r="O226" s="1372" t="s">
        <v>1399</v>
      </c>
      <c r="P226" s="1373">
        <f>IF('Part VI-Revenues &amp; Expenses'!$O$62=0,0,'Part VI-Revenues &amp; Expenses'!$O$74/'Part VI-Revenues &amp; Expenses'!$O$62)</f>
        <v>1</v>
      </c>
      <c r="Q226" s="115"/>
      <c r="R226" s="28"/>
    </row>
    <row r="227" spans="1:18" s="66" customFormat="1" ht="10.5" customHeight="1">
      <c r="A227" s="1169" t="s">
        <v>3963</v>
      </c>
      <c r="C227" s="1822">
        <f>'Part II-Development Team'!$H$26</f>
        <v>0</v>
      </c>
      <c r="D227" s="1822"/>
      <c r="F227" s="1280">
        <f>'Part II-Development Team'!$L$141</f>
        <v>0</v>
      </c>
      <c r="G227" s="1823">
        <f>'Part II-Development Team'!$Q$26</f>
        <v>0</v>
      </c>
      <c r="H227" s="1823"/>
      <c r="I227" s="1217" t="s">
        <v>2375</v>
      </c>
      <c r="J227" s="1369">
        <f>'Part VI-Revenues &amp; Expenses'!$O$74</f>
        <v>64</v>
      </c>
      <c r="K227" s="1826"/>
      <c r="L227" s="182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3964</v>
      </c>
      <c r="C228" s="1822">
        <f>'Part II-Development Team'!$H$80</f>
        <v>0</v>
      </c>
      <c r="D228" s="1822"/>
      <c r="F228" s="1280">
        <f>'Part II-Development Team'!$L$148</f>
        <v>0</v>
      </c>
      <c r="G228" s="1823">
        <f>'Part II-Development Team'!$Q$80</f>
        <v>0</v>
      </c>
      <c r="H228" s="1823"/>
      <c r="I228" s="1170" t="s">
        <v>678</v>
      </c>
      <c r="J228" s="1822" t="str">
        <f>'Part II-Development Team'!$H$54</f>
        <v>Alga Development, LLC</v>
      </c>
      <c r="K228" s="1822"/>
      <c r="L228" s="1280">
        <f>'Part II-Development Team'!$L$145</f>
        <v>0</v>
      </c>
      <c r="M228" s="1823" t="str">
        <f>'Part II-Development Team'!$Q$54</f>
        <v>Ryan Hudspeth</v>
      </c>
      <c r="N228" s="1823"/>
      <c r="Q228" s="115"/>
      <c r="R228" s="28"/>
    </row>
    <row r="229" spans="1:18" s="66" customFormat="1" ht="10.5" customHeight="1">
      <c r="A229" s="1170" t="s">
        <v>3967</v>
      </c>
      <c r="C229" s="1822" t="str">
        <f>'Part II-Development Team'!$H$33</f>
        <v>Affordable Equity Partners, Inc</v>
      </c>
      <c r="D229" s="1822"/>
      <c r="F229" s="1280">
        <f>'Part II-Development Team'!$L$142</f>
        <v>0.9899</v>
      </c>
      <c r="G229" s="1823" t="str">
        <f>'Part II-Development Team'!$Q$33</f>
        <v>Brian Kimes</v>
      </c>
      <c r="H229" s="1823"/>
      <c r="I229" s="1170" t="s">
        <v>3039</v>
      </c>
      <c r="J229" s="1822">
        <f>'Part II-Development Team'!$H$60</f>
        <v>0</v>
      </c>
      <c r="K229" s="1822"/>
      <c r="L229" s="1280">
        <f>'Part II-Development Team'!$L$146</f>
        <v>0</v>
      </c>
      <c r="M229" s="1823">
        <f>'Part II-Development Team'!$Q$60</f>
        <v>0</v>
      </c>
      <c r="N229" s="1823"/>
      <c r="O229" s="441"/>
      <c r="P229" s="441"/>
      <c r="Q229" s="115"/>
      <c r="R229" s="28"/>
    </row>
    <row r="230" spans="1:18" s="66" customFormat="1" ht="10.5" customHeight="1">
      <c r="A230" s="1170" t="s">
        <v>3968</v>
      </c>
      <c r="C230" s="1822" t="str">
        <f>'Part II-Development Team'!$H$39</f>
        <v>Affordable Equity Partners, Inc</v>
      </c>
      <c r="D230" s="1822"/>
      <c r="F230" s="1280">
        <f>'Part II-Development Team'!$L$143</f>
        <v>0.01</v>
      </c>
      <c r="G230" s="1823" t="str">
        <f>'Part II-Development Team'!$Q$39</f>
        <v>Brian Kimes</v>
      </c>
      <c r="H230" s="1823"/>
      <c r="I230" s="1170" t="s">
        <v>3040</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3966</v>
      </c>
      <c r="C231" s="1822">
        <f>'Part II-Development Team'!$H$46</f>
        <v>0</v>
      </c>
      <c r="D231" s="1822"/>
      <c r="F231" s="1280">
        <f>'Part II-Development Team'!$L$144</f>
        <v>0</v>
      </c>
      <c r="G231" s="1823">
        <f>'Part II-Development Team'!$Q$46</f>
        <v>0</v>
      </c>
      <c r="H231" s="1823"/>
      <c r="I231" s="1170" t="s">
        <v>3965</v>
      </c>
      <c r="J231" s="1822" t="str">
        <f>'Part II-Development Team'!$H$72</f>
        <v>Peachtree Housing Communities II, LLC</v>
      </c>
      <c r="K231" s="1822"/>
      <c r="L231" s="1280">
        <f>'Part II-Development Team'!$L$149</f>
        <v>0</v>
      </c>
      <c r="M231" s="1823" t="str">
        <f>'Part II-Development Team'!$Q$72</f>
        <v>Josh Thomason</v>
      </c>
      <c r="N231" s="1823"/>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8"/>
    </row>
    <row r="233" spans="1:18" s="44" customFormat="1" ht="25.5" customHeight="1">
      <c r="A233" s="3055" t="s">
        <v>4344</v>
      </c>
      <c r="B233" s="3056"/>
      <c r="C233" s="3056"/>
      <c r="D233" s="3056"/>
      <c r="E233" s="3056"/>
      <c r="F233" s="3056"/>
      <c r="G233" s="3056"/>
      <c r="H233" s="3056"/>
      <c r="I233" s="3057"/>
      <c r="J233" s="1705"/>
      <c r="K233" s="1706"/>
      <c r="L233" s="1706"/>
      <c r="M233" s="1706"/>
      <c r="N233" s="1706"/>
      <c r="O233" s="1706"/>
      <c r="P233" s="1707"/>
      <c r="Q233" s="500" t="s">
        <v>1301</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1456</v>
      </c>
      <c r="B235" s="120" t="s">
        <v>1732</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2058</v>
      </c>
      <c r="B236" s="121" t="s">
        <v>3971</v>
      </c>
      <c r="D236" s="94"/>
      <c r="E236" s="94"/>
      <c r="G236" s="54"/>
      <c r="H236" s="54"/>
      <c r="I236" s="54"/>
      <c r="J236" s="56"/>
      <c r="K236" s="1432"/>
      <c r="L236" s="417" t="str">
        <f>IF(OR($O236=$M236,$O236=0,$O236=""),"","* * Check Score! * *")</f>
        <v/>
      </c>
      <c r="M236" s="483">
        <v>1</v>
      </c>
      <c r="N236" s="441" t="str">
        <f>IF(OR($O236=$M236,$O236=0,$O236=""),"","***")</f>
        <v/>
      </c>
      <c r="O236" s="3178"/>
      <c r="P236" s="1148"/>
      <c r="Q236" s="115"/>
      <c r="R236" s="433" t="s">
        <v>2810</v>
      </c>
    </row>
    <row r="237" spans="1:18" s="44" customFormat="1" ht="12" customHeight="1">
      <c r="B237" s="41" t="s">
        <v>3969</v>
      </c>
      <c r="D237" s="108"/>
      <c r="E237" s="94"/>
      <c r="F237" s="54"/>
      <c r="G237" s="54"/>
      <c r="H237" s="54"/>
      <c r="I237" s="53"/>
      <c r="N237" s="525" t="s">
        <v>2058</v>
      </c>
      <c r="O237" s="127" t="s">
        <v>2597</v>
      </c>
      <c r="P237" s="127" t="s">
        <v>2597</v>
      </c>
    </row>
    <row r="238" spans="1:18" s="106" customFormat="1" ht="12" customHeight="1">
      <c r="B238" s="488" t="s">
        <v>2062</v>
      </c>
      <c r="C238" s="145" t="s">
        <v>3970</v>
      </c>
      <c r="D238" s="126"/>
      <c r="E238" s="126"/>
      <c r="F238" s="126"/>
      <c r="I238" s="3248" t="s">
        <v>2609</v>
      </c>
      <c r="J238" s="3249"/>
      <c r="K238" s="3250"/>
      <c r="N238" s="488" t="s">
        <v>2062</v>
      </c>
      <c r="O238" s="3090"/>
      <c r="P238" s="630"/>
    </row>
    <row r="239" spans="1:18" s="106" customFormat="1" ht="12" customHeight="1">
      <c r="B239" s="488" t="s">
        <v>2064</v>
      </c>
      <c r="C239" s="145" t="s">
        <v>3021</v>
      </c>
      <c r="D239" s="126"/>
      <c r="E239" s="126"/>
      <c r="F239" s="126"/>
      <c r="G239" s="126"/>
      <c r="M239" s="126"/>
      <c r="N239" s="488" t="s">
        <v>2064</v>
      </c>
      <c r="O239" s="3093"/>
      <c r="P239" s="631"/>
    </row>
    <row r="240" spans="1:18" s="106" customFormat="1" ht="12" customHeight="1">
      <c r="A240" s="149"/>
      <c r="B240" s="488" t="s">
        <v>2622</v>
      </c>
      <c r="C240" s="145" t="s">
        <v>3972</v>
      </c>
      <c r="D240" s="126"/>
      <c r="E240" s="126"/>
      <c r="F240" s="126"/>
      <c r="G240" s="126"/>
      <c r="H240" s="126"/>
      <c r="L240" s="126"/>
      <c r="M240" s="126"/>
      <c r="N240" s="488" t="s">
        <v>2622</v>
      </c>
      <c r="O240" s="3093"/>
      <c r="P240" s="631"/>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091"/>
      <c r="P241" s="632"/>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3" t="s">
        <v>3762</v>
      </c>
      <c r="H243" s="1883"/>
      <c r="I243" s="1883"/>
      <c r="J243" s="1883"/>
      <c r="K243" s="1883"/>
      <c r="L243" s="417" t="str">
        <f>IF(OR($O243=$M243,$O243=0,$O243=""),"","* * Check Score! * *")</f>
        <v/>
      </c>
      <c r="M243" s="85">
        <v>1</v>
      </c>
      <c r="N243" s="441" t="str">
        <f>IF(OR($O243=$M243,$O243=0,$O243=""),"","***")</f>
        <v/>
      </c>
      <c r="O243" s="3178"/>
      <c r="P243" s="1148"/>
      <c r="Q243" s="115"/>
      <c r="R243" s="433" t="s">
        <v>2810</v>
      </c>
    </row>
    <row r="244" spans="1:18" ht="11.45" customHeight="1">
      <c r="B244" s="492" t="s">
        <v>2917</v>
      </c>
      <c r="E244" s="125"/>
      <c r="N244" s="69" t="s">
        <v>2061</v>
      </c>
      <c r="O244" s="3133"/>
      <c r="P244" s="628"/>
      <c r="Q244" s="433"/>
    </row>
    <row r="245" spans="1:18" ht="11.25" customHeight="1">
      <c r="A245" s="587"/>
      <c r="C245" s="145" t="s">
        <v>3976</v>
      </c>
      <c r="D245" s="1214" t="str">
        <f>'Part I-Project Information'!$F$28</f>
        <v>Hahira</v>
      </c>
      <c r="F245" s="145" t="s">
        <v>3756</v>
      </c>
      <c r="G245" s="1214" t="str">
        <f>'Part I-Project Information'!$J$29</f>
        <v>Lowndes</v>
      </c>
      <c r="H245" s="480" t="s">
        <v>468</v>
      </c>
      <c r="I245" s="491" t="str">
        <f>'Part I-Project Information'!$N$29</f>
        <v>No</v>
      </c>
      <c r="K245" s="537" t="s">
        <v>3975</v>
      </c>
      <c r="L245" s="1800" t="str">
        <f>'Part I-Project Information'!$O$28</f>
        <v>13185010202</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18"/>
    </row>
    <row r="247" spans="1:18" s="44" customFormat="1" ht="12" customHeight="1">
      <c r="A247" s="3055"/>
      <c r="B247" s="3056"/>
      <c r="C247" s="3056"/>
      <c r="D247" s="3056"/>
      <c r="E247" s="3056"/>
      <c r="F247" s="3056"/>
      <c r="G247" s="3056"/>
      <c r="H247" s="3056"/>
      <c r="I247" s="3057"/>
      <c r="J247" s="1705"/>
      <c r="K247" s="1706"/>
      <c r="L247" s="1706"/>
      <c r="M247" s="1706"/>
      <c r="N247" s="1706"/>
      <c r="O247" s="1706"/>
      <c r="P247" s="1707"/>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6" t="str">
        <f>IF(OR(O251="No",O252="No",O253="No",O254="No",O256="No"),"Unmet criterion results in no points!","")</f>
        <v/>
      </c>
      <c r="N251" s="192" t="s">
        <v>2062</v>
      </c>
      <c r="O251" s="3090" t="s">
        <v>3153</v>
      </c>
      <c r="P251" s="630"/>
    </row>
    <row r="252" spans="1:18" s="106" customFormat="1" ht="11.25" customHeight="1">
      <c r="B252" s="488" t="s">
        <v>2064</v>
      </c>
      <c r="C252" s="106" t="s">
        <v>588</v>
      </c>
      <c r="L252" s="1886"/>
      <c r="N252" s="192" t="s">
        <v>2064</v>
      </c>
      <c r="O252" s="3093" t="s">
        <v>3153</v>
      </c>
      <c r="P252" s="631"/>
    </row>
    <row r="253" spans="1:18" s="106" customFormat="1" ht="11.25" customHeight="1">
      <c r="B253" s="488" t="s">
        <v>2622</v>
      </c>
      <c r="C253" s="106" t="s">
        <v>589</v>
      </c>
      <c r="L253" s="1860" t="str">
        <f>IF(OR(P251="No",P252="No",P253="No",P254="No",P256="No"),"Unmet criterion results in no points!","")</f>
        <v/>
      </c>
      <c r="N253" s="192" t="s">
        <v>2622</v>
      </c>
      <c r="O253" s="3091" t="s">
        <v>3153</v>
      </c>
      <c r="P253" s="632"/>
    </row>
    <row r="254" spans="1:18" s="106" customFormat="1" ht="11.25" customHeight="1">
      <c r="B254" s="488" t="s">
        <v>1270</v>
      </c>
      <c r="C254" s="484" t="s">
        <v>3979</v>
      </c>
      <c r="L254" s="1860"/>
      <c r="N254" s="192" t="s">
        <v>1270</v>
      </c>
      <c r="O254" s="3090" t="s">
        <v>3153</v>
      </c>
      <c r="P254" s="630"/>
    </row>
    <row r="255" spans="1:18" s="106" customFormat="1" ht="11.25" customHeight="1">
      <c r="B255" s="416" t="s">
        <v>2520</v>
      </c>
      <c r="C255" s="484" t="s">
        <v>3981</v>
      </c>
      <c r="N255" s="192" t="s">
        <v>2520</v>
      </c>
      <c r="O255" s="3093" t="s">
        <v>3153</v>
      </c>
      <c r="P255" s="631"/>
    </row>
    <row r="256" spans="1:18" s="489" customFormat="1" ht="22.5" customHeight="1">
      <c r="A256" s="1340" t="s">
        <v>3529</v>
      </c>
      <c r="B256" s="432" t="s">
        <v>2521</v>
      </c>
      <c r="C256" s="1821" t="s">
        <v>3980</v>
      </c>
      <c r="D256" s="1821"/>
      <c r="E256" s="1821"/>
      <c r="F256" s="1821"/>
      <c r="G256" s="1821"/>
      <c r="H256" s="1821"/>
      <c r="I256" s="1821"/>
      <c r="J256" s="1821"/>
      <c r="K256" s="1821"/>
      <c r="L256" s="1821"/>
      <c r="M256" s="1821"/>
      <c r="N256" s="434" t="s">
        <v>2521</v>
      </c>
      <c r="O256" s="3134"/>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3982</v>
      </c>
      <c r="I258" s="1858" t="s">
        <v>2066</v>
      </c>
      <c r="J258" s="1858"/>
      <c r="L258" s="1858" t="s">
        <v>2066</v>
      </c>
      <c r="M258" s="1858"/>
      <c r="N258" s="192"/>
    </row>
    <row r="259" spans="1:18" s="44" customFormat="1" ht="11.25" customHeight="1">
      <c r="A259" s="193"/>
      <c r="B259" s="416" t="s">
        <v>2520</v>
      </c>
      <c r="C259" s="37" t="s">
        <v>1539</v>
      </c>
      <c r="H259" s="416" t="s">
        <v>2520</v>
      </c>
      <c r="I259" s="3251"/>
      <c r="J259" s="3252"/>
      <c r="K259" s="416" t="s">
        <v>2520</v>
      </c>
      <c r="L259" s="1890"/>
      <c r="M259" s="1891"/>
      <c r="N259" s="192"/>
      <c r="O259" s="1410"/>
      <c r="P259" s="1410"/>
      <c r="R259" s="417"/>
    </row>
    <row r="260" spans="1:18" ht="11.25" customHeight="1">
      <c r="A260" s="194"/>
      <c r="B260" s="432" t="s">
        <v>2521</v>
      </c>
      <c r="C260" s="37" t="s">
        <v>3985</v>
      </c>
      <c r="H260" s="432" t="s">
        <v>2521</v>
      </c>
      <c r="I260" s="3253"/>
      <c r="J260" s="3254"/>
      <c r="K260" s="432" t="s">
        <v>2521</v>
      </c>
      <c r="L260" s="1810"/>
      <c r="M260" s="1811"/>
      <c r="N260" s="192"/>
      <c r="R260" s="417"/>
    </row>
    <row r="261" spans="1:18" ht="11.25" customHeight="1">
      <c r="B261" s="416" t="s">
        <v>2522</v>
      </c>
      <c r="C261" s="37" t="s">
        <v>2716</v>
      </c>
      <c r="H261" s="416" t="s">
        <v>2522</v>
      </c>
      <c r="I261" s="3253"/>
      <c r="J261" s="3254"/>
      <c r="K261" s="416" t="s">
        <v>2522</v>
      </c>
      <c r="L261" s="1810"/>
      <c r="M261" s="1811"/>
      <c r="N261" s="192"/>
      <c r="R261" s="417"/>
    </row>
    <row r="262" spans="1:18" ht="11.25" customHeight="1">
      <c r="A262" s="194"/>
      <c r="B262" s="416" t="s">
        <v>2523</v>
      </c>
      <c r="C262" s="37" t="s">
        <v>3714</v>
      </c>
      <c r="H262" s="416" t="s">
        <v>2523</v>
      </c>
      <c r="I262" s="3253"/>
      <c r="J262" s="3254"/>
      <c r="K262" s="416" t="s">
        <v>2523</v>
      </c>
      <c r="L262" s="1810"/>
      <c r="M262" s="1811"/>
      <c r="N262" s="192"/>
      <c r="R262" s="417"/>
    </row>
    <row r="263" spans="1:18" s="44" customFormat="1" ht="11.25" customHeight="1">
      <c r="A263" s="193"/>
      <c r="B263" s="432" t="s">
        <v>2524</v>
      </c>
      <c r="C263" s="37" t="s">
        <v>2842</v>
      </c>
      <c r="H263" s="432" t="s">
        <v>2524</v>
      </c>
      <c r="I263" s="3253"/>
      <c r="J263" s="3254"/>
      <c r="K263" s="432" t="s">
        <v>2524</v>
      </c>
      <c r="L263" s="1810"/>
      <c r="M263" s="1811"/>
      <c r="N263" s="192"/>
      <c r="O263" s="1410"/>
      <c r="P263" s="1410"/>
      <c r="R263" s="417"/>
    </row>
    <row r="264" spans="1:18" ht="11.25" customHeight="1">
      <c r="B264" s="416" t="s">
        <v>2540</v>
      </c>
      <c r="C264" s="37" t="s">
        <v>1538</v>
      </c>
      <c r="H264" s="416" t="s">
        <v>2540</v>
      </c>
      <c r="I264" s="3253"/>
      <c r="J264" s="3254"/>
      <c r="K264" s="416" t="s">
        <v>2540</v>
      </c>
      <c r="L264" s="1810"/>
      <c r="M264" s="1811"/>
      <c r="N264" s="192"/>
      <c r="R264" s="417"/>
    </row>
    <row r="265" spans="1:18" ht="11.25" customHeight="1">
      <c r="A265" s="194"/>
      <c r="B265" s="416" t="s">
        <v>2541</v>
      </c>
      <c r="C265" s="37" t="s">
        <v>3983</v>
      </c>
      <c r="H265" s="416" t="s">
        <v>2541</v>
      </c>
      <c r="I265" s="3253"/>
      <c r="J265" s="3254"/>
      <c r="K265" s="416" t="s">
        <v>2541</v>
      </c>
      <c r="L265" s="1810"/>
      <c r="M265" s="1811"/>
      <c r="N265" s="192"/>
      <c r="R265" s="417"/>
    </row>
    <row r="266" spans="1:18" ht="11.25" customHeight="1">
      <c r="B266" s="431" t="s">
        <v>2542</v>
      </c>
      <c r="C266" s="37" t="s">
        <v>3984</v>
      </c>
      <c r="H266" s="431" t="s">
        <v>2542</v>
      </c>
      <c r="I266" s="3253"/>
      <c r="J266" s="3254"/>
      <c r="K266" s="431" t="s">
        <v>2542</v>
      </c>
      <c r="L266" s="1810"/>
      <c r="M266" s="1811"/>
      <c r="N266" s="192"/>
      <c r="R266" s="417"/>
    </row>
    <row r="267" spans="1:18" ht="11.25" customHeight="1">
      <c r="B267" s="431" t="s">
        <v>2543</v>
      </c>
      <c r="C267" s="37" t="s">
        <v>3986</v>
      </c>
      <c r="H267" s="431" t="s">
        <v>2543</v>
      </c>
      <c r="I267" s="3253"/>
      <c r="J267" s="3254"/>
      <c r="K267" s="431" t="s">
        <v>2543</v>
      </c>
      <c r="L267" s="1810"/>
      <c r="M267" s="1811"/>
      <c r="N267" s="192"/>
      <c r="R267" s="417"/>
    </row>
    <row r="268" spans="1:18" ht="11.25" customHeight="1" thickBot="1">
      <c r="A268" s="194"/>
      <c r="B268" s="431" t="s">
        <v>3987</v>
      </c>
      <c r="C268" s="37" t="s">
        <v>3988</v>
      </c>
      <c r="H268" s="431" t="s">
        <v>3987</v>
      </c>
      <c r="I268" s="3253">
        <v>1060000</v>
      </c>
      <c r="J268" s="3254"/>
      <c r="K268" s="431" t="s">
        <v>3987</v>
      </c>
      <c r="L268" s="1810"/>
      <c r="M268" s="1811"/>
      <c r="N268" s="1219" t="s">
        <v>3989</v>
      </c>
      <c r="R268" s="417"/>
    </row>
    <row r="269" spans="1:18" ht="12" customHeight="1" thickBot="1">
      <c r="A269" s="194"/>
      <c r="B269" s="488"/>
      <c r="C269" s="486" t="s">
        <v>2718</v>
      </c>
      <c r="H269" s="57"/>
      <c r="I269" s="1812">
        <f>SUM(I259:J268)</f>
        <v>1060000</v>
      </c>
      <c r="J269" s="1813"/>
      <c r="L269" s="1812">
        <f>SUM($L259:$L268)</f>
        <v>0</v>
      </c>
      <c r="M269" s="1813"/>
      <c r="N269" s="192"/>
      <c r="R269" s="417"/>
    </row>
    <row r="270" spans="1:18" s="44" customFormat="1" ht="3" customHeight="1">
      <c r="A270" s="43"/>
      <c r="B270" s="117"/>
      <c r="D270" s="40"/>
      <c r="E270" s="37"/>
      <c r="F270" s="1192"/>
      <c r="G270" s="1887" t="str">
        <f>IF(OR(I268=0,I268="",$I$271=0),"",IF(I268/$I$271&lt;10%,"Check amount of conventional loan in (j) - must be at least 10% of TDC!",""))</f>
        <v/>
      </c>
      <c r="H270" s="1887"/>
      <c r="I270" s="1887"/>
      <c r="J270" s="1887"/>
      <c r="K270" s="1887"/>
      <c r="L270" s="1930" t="str">
        <f>IF(OR(L268=0,L268="",$I$271=0),"",IF(L268/$I$271&lt;10%,"Check amount of conventional loan in (j) - must be at least 10% of TDC!",""))</f>
        <v/>
      </c>
      <c r="M270" s="1930"/>
      <c r="N270" s="1930"/>
      <c r="O270" s="1930"/>
      <c r="P270" s="1930"/>
    </row>
    <row r="271" spans="1:18" ht="12" customHeight="1">
      <c r="B271" s="415" t="s">
        <v>2064</v>
      </c>
      <c r="C271" s="493" t="s">
        <v>2717</v>
      </c>
      <c r="D271" s="486" t="s">
        <v>2719</v>
      </c>
      <c r="I271" s="1888">
        <f>'Part IV-Uses of Funds'!$G$131</f>
        <v>10550624</v>
      </c>
      <c r="J271" s="1889"/>
      <c r="L271" s="1930"/>
      <c r="M271" s="1930"/>
      <c r="N271" s="1930"/>
      <c r="O271" s="1930"/>
      <c r="P271" s="1930"/>
    </row>
    <row r="272" spans="1:18" ht="12" customHeight="1">
      <c r="B272" s="192"/>
      <c r="C272" s="485"/>
      <c r="D272" s="491" t="s">
        <v>2720</v>
      </c>
      <c r="G272" s="1171"/>
      <c r="H272" s="1171"/>
      <c r="I272" s="1814">
        <f>IF($I271=0,0,$I269/$I271)</f>
        <v>0.10046799127710361</v>
      </c>
      <c r="J272" s="1815"/>
      <c r="L272" s="1884">
        <f>IF($I271=0,0,$L269/$I271)</f>
        <v>0</v>
      </c>
      <c r="M272" s="1885"/>
      <c r="N272" s="28"/>
      <c r="O272" s="28"/>
      <c r="P272" s="28"/>
    </row>
    <row r="273" spans="1:18" s="44" customFormat="1" ht="12.75" customHeight="1">
      <c r="A273" s="149" t="s">
        <v>2061</v>
      </c>
      <c r="B273" s="197" t="s">
        <v>3990</v>
      </c>
      <c r="D273" s="40"/>
      <c r="E273" s="37"/>
      <c r="F273" s="1192"/>
      <c r="H273" s="37"/>
      <c r="I273" s="1192"/>
      <c r="J273" s="1222"/>
      <c r="K273" s="1222"/>
      <c r="L273" s="1222"/>
      <c r="M273" s="77">
        <v>2</v>
      </c>
      <c r="N273" s="525" t="s">
        <v>2061</v>
      </c>
      <c r="O273" s="3255">
        <v>2</v>
      </c>
      <c r="P273" s="622"/>
      <c r="Q273" s="433" t="s">
        <v>2810</v>
      </c>
    </row>
    <row r="274" spans="1:18" s="44" customFormat="1" ht="11.25" customHeight="1">
      <c r="A274" s="149"/>
      <c r="B274" s="54" t="s">
        <v>3991</v>
      </c>
      <c r="C274" s="54"/>
      <c r="D274" s="54"/>
      <c r="E274" s="54"/>
      <c r="F274" s="54"/>
      <c r="G274" s="54"/>
      <c r="H274" s="54"/>
      <c r="I274" s="54"/>
      <c r="J274" s="54"/>
      <c r="K274" s="54"/>
      <c r="L274" s="54"/>
      <c r="M274" s="54"/>
      <c r="N274" s="54"/>
      <c r="O274" s="3091" t="s">
        <v>3153</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098"/>
      <c r="J276" s="3099"/>
      <c r="K276" s="3099"/>
      <c r="L276" s="3099"/>
      <c r="M276" s="3099"/>
      <c r="N276" s="3100"/>
    </row>
    <row r="277" spans="1:18" s="44" customFormat="1" ht="11.25" customHeight="1">
      <c r="A277" s="193"/>
      <c r="B277" s="537" t="s">
        <v>3993</v>
      </c>
      <c r="I277" s="3243" t="s">
        <v>2958</v>
      </c>
      <c r="J277" s="3244"/>
      <c r="K277" s="3245"/>
    </row>
    <row r="278" spans="1:18" ht="11.25" customHeight="1">
      <c r="A278" s="194"/>
      <c r="B278" s="537" t="s">
        <v>4198</v>
      </c>
      <c r="F278" s="3256"/>
      <c r="G278" s="3256"/>
      <c r="H278" s="3256"/>
      <c r="I278" s="3257"/>
      <c r="K278" s="3256"/>
      <c r="L278" s="3256"/>
      <c r="M278" s="3256"/>
      <c r="N278" s="3256"/>
      <c r="O278" s="3256"/>
      <c r="P278" s="3256"/>
    </row>
    <row r="279" spans="1:18" ht="11.25" customHeight="1">
      <c r="A279" s="194"/>
      <c r="B279" s="435" t="s">
        <v>3992</v>
      </c>
      <c r="G279" s="435"/>
      <c r="I279" s="3258"/>
      <c r="J279" s="3259"/>
      <c r="K279" s="3256"/>
      <c r="L279" s="3256"/>
      <c r="M279" s="3256"/>
      <c r="N279" s="3256"/>
      <c r="O279" s="3256"/>
      <c r="P279" s="3256"/>
    </row>
    <row r="280" spans="1:18" ht="22.5" customHeight="1">
      <c r="A280" s="194"/>
      <c r="B280" s="1751" t="s">
        <v>2438</v>
      </c>
      <c r="C280" s="1751"/>
      <c r="D280" s="3260"/>
      <c r="E280" s="3261"/>
      <c r="F280" s="3261"/>
      <c r="G280" s="3261"/>
      <c r="H280" s="3261"/>
      <c r="I280" s="3261"/>
      <c r="J280" s="3261"/>
      <c r="K280" s="3261"/>
      <c r="L280" s="3261"/>
      <c r="M280" s="3261"/>
      <c r="N280" s="3261"/>
      <c r="O280" s="3261"/>
      <c r="P280" s="3262"/>
      <c r="Q280" s="500" t="s">
        <v>1301</v>
      </c>
    </row>
    <row r="281" spans="1:18" ht="11.25" customHeight="1">
      <c r="B281" s="37" t="s">
        <v>3701</v>
      </c>
      <c r="E281" s="1441"/>
      <c r="I281" s="3263"/>
      <c r="J281" s="3264"/>
      <c r="L281" s="1923"/>
      <c r="M281" s="1924"/>
      <c r="N281" s="28"/>
      <c r="O281" s="28"/>
    </row>
    <row r="282" spans="1:18" s="44" customFormat="1" ht="11.25" customHeight="1">
      <c r="A282" s="43"/>
      <c r="C282" s="37" t="s">
        <v>3702</v>
      </c>
      <c r="D282" s="1419"/>
      <c r="E282" s="1419"/>
      <c r="F282" s="1419"/>
      <c r="G282" s="1419"/>
      <c r="H282" s="1419"/>
      <c r="I282" s="1884">
        <f>IF($I281=0,0,$I281/$I271)</f>
        <v>0</v>
      </c>
      <c r="J282" s="1885"/>
      <c r="K282" s="1419"/>
      <c r="L282" s="1884">
        <f>IF($L281=0,0,$L281/$I271)</f>
        <v>0</v>
      </c>
      <c r="M282" s="188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35.25" customHeight="1">
      <c r="A284" s="3055" t="s">
        <v>4362</v>
      </c>
      <c r="B284" s="3056"/>
      <c r="C284" s="3056"/>
      <c r="D284" s="3056"/>
      <c r="E284" s="3056"/>
      <c r="F284" s="3056"/>
      <c r="G284" s="3056"/>
      <c r="H284" s="3056"/>
      <c r="I284" s="3056"/>
      <c r="J284" s="3056"/>
      <c r="K284" s="3056"/>
      <c r="L284" s="3056"/>
      <c r="M284" s="3056"/>
      <c r="N284" s="3056"/>
      <c r="O284" s="3056"/>
      <c r="P284" s="3057"/>
      <c r="Q284" s="500" t="s">
        <v>1301</v>
      </c>
    </row>
    <row r="285" spans="1:18" s="108" customFormat="1" ht="12" customHeight="1">
      <c r="A285" s="43"/>
      <c r="B285" s="103" t="s">
        <v>1937</v>
      </c>
      <c r="C285" s="104"/>
      <c r="D285" s="103"/>
      <c r="E285" s="198"/>
      <c r="F285" s="1424"/>
      <c r="G285" s="1424"/>
      <c r="H285" s="1424"/>
      <c r="I285" s="1424"/>
      <c r="J285" s="1424"/>
      <c r="K285" s="1424"/>
      <c r="L285" s="1424"/>
      <c r="M285" s="1424"/>
      <c r="N285" s="99"/>
      <c r="O285" s="1165"/>
      <c r="P285" s="1414"/>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4">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3"/>
      <c r="P289" s="628"/>
      <c r="R289" s="417"/>
    </row>
    <row r="290" spans="1:18" s="44" customFormat="1" ht="12" customHeight="1">
      <c r="A290" s="149" t="s">
        <v>2061</v>
      </c>
      <c r="B290" s="180" t="s">
        <v>3605</v>
      </c>
      <c r="D290" s="34"/>
      <c r="F290" s="431"/>
      <c r="G290" s="57" t="s">
        <v>4113</v>
      </c>
      <c r="I290" s="3265" t="s">
        <v>4005</v>
      </c>
      <c r="J290" s="3266"/>
      <c r="K290" s="3266"/>
      <c r="L290" s="3267"/>
      <c r="O290" s="1819" t="s">
        <v>4006</v>
      </c>
      <c r="P290" s="1819"/>
      <c r="R290" s="417"/>
    </row>
    <row r="291" spans="1:18" s="44" customFormat="1" ht="13.5" customHeight="1">
      <c r="A291" s="476" t="s">
        <v>779</v>
      </c>
      <c r="B291" s="850" t="s">
        <v>3994</v>
      </c>
      <c r="C291" s="477"/>
      <c r="D291" s="479"/>
      <c r="E291" s="479"/>
      <c r="F291" s="34"/>
      <c r="L291" s="1224" t="s">
        <v>4001</v>
      </c>
      <c r="O291" s="1820"/>
      <c r="P291" s="1820"/>
      <c r="R291" s="417"/>
    </row>
    <row r="292" spans="1:18" s="108" customFormat="1" ht="10.5" customHeight="1">
      <c r="A292" s="149"/>
      <c r="B292" s="415" t="s">
        <v>2062</v>
      </c>
      <c r="C292" s="37" t="s">
        <v>3995</v>
      </c>
      <c r="D292" s="34"/>
      <c r="F292" s="34"/>
      <c r="H292" s="37"/>
      <c r="L292" s="488" t="s">
        <v>4002</v>
      </c>
      <c r="N292" s="525" t="s">
        <v>779</v>
      </c>
      <c r="O292" s="192" t="s">
        <v>2062</v>
      </c>
      <c r="P292" s="630"/>
      <c r="R292" s="417"/>
    </row>
    <row r="293" spans="1:18" s="108" customFormat="1" ht="10.5" customHeight="1">
      <c r="A293" s="149"/>
      <c r="B293" s="415" t="s">
        <v>2064</v>
      </c>
      <c r="C293" s="37" t="s">
        <v>3996</v>
      </c>
      <c r="D293" s="34"/>
      <c r="F293" s="34"/>
      <c r="H293" s="37"/>
      <c r="L293" s="488" t="s">
        <v>4002</v>
      </c>
      <c r="O293" s="192" t="s">
        <v>2064</v>
      </c>
      <c r="P293" s="631"/>
      <c r="R293" s="417"/>
    </row>
    <row r="294" spans="1:18" s="108" customFormat="1" ht="10.5" customHeight="1">
      <c r="A294" s="149"/>
      <c r="B294" s="415" t="s">
        <v>2622</v>
      </c>
      <c r="C294" s="37" t="s">
        <v>3997</v>
      </c>
      <c r="D294" s="34"/>
      <c r="F294" s="34"/>
      <c r="H294" s="37"/>
      <c r="L294" s="488" t="s">
        <v>4003</v>
      </c>
      <c r="O294" s="192" t="s">
        <v>2622</v>
      </c>
      <c r="P294" s="631"/>
      <c r="R294" s="417"/>
    </row>
    <row r="295" spans="1:18" s="108" customFormat="1" ht="10.5" customHeight="1">
      <c r="A295" s="149"/>
      <c r="B295" s="415" t="s">
        <v>1270</v>
      </c>
      <c r="C295" s="37" t="s">
        <v>3998</v>
      </c>
      <c r="D295" s="34"/>
      <c r="F295" s="34"/>
      <c r="H295" s="37"/>
      <c r="L295" s="488" t="s">
        <v>4003</v>
      </c>
      <c r="O295" s="192" t="s">
        <v>1270</v>
      </c>
      <c r="P295" s="631"/>
      <c r="R295" s="417"/>
    </row>
    <row r="296" spans="1:18" s="108" customFormat="1" ht="10.5" customHeight="1">
      <c r="A296" s="149"/>
      <c r="B296" s="415" t="s">
        <v>1271</v>
      </c>
      <c r="C296" s="37" t="s">
        <v>3999</v>
      </c>
      <c r="D296" s="34"/>
      <c r="F296" s="34"/>
      <c r="H296" s="37"/>
      <c r="L296" s="488" t="s">
        <v>4003</v>
      </c>
      <c r="O296" s="192" t="s">
        <v>1271</v>
      </c>
      <c r="P296" s="631"/>
      <c r="R296" s="417"/>
    </row>
    <row r="297" spans="1:18" s="462" customFormat="1" ht="10.5" customHeight="1" thickBot="1">
      <c r="A297" s="154"/>
      <c r="B297" s="494" t="s">
        <v>1955</v>
      </c>
      <c r="C297" s="435" t="s">
        <v>4000</v>
      </c>
      <c r="D297" s="435"/>
      <c r="E297" s="435"/>
      <c r="F297" s="435"/>
      <c r="G297" s="435"/>
      <c r="H297" s="435"/>
      <c r="I297" s="435"/>
      <c r="J297" s="435"/>
      <c r="K297" s="435"/>
      <c r="L297" s="1225" t="s">
        <v>4003</v>
      </c>
      <c r="O297" s="434" t="s">
        <v>1955</v>
      </c>
      <c r="P297" s="634"/>
      <c r="R297" s="590"/>
    </row>
    <row r="298" spans="1:18" s="44" customFormat="1" ht="12" customHeight="1" thickBot="1">
      <c r="B298" s="103" t="s">
        <v>1937</v>
      </c>
      <c r="C298" s="57"/>
      <c r="D298" s="34"/>
      <c r="F298" s="34"/>
      <c r="H298" s="57"/>
      <c r="L298" s="488" t="s">
        <v>4004</v>
      </c>
      <c r="O298" s="773" t="s">
        <v>3606</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1734</v>
      </c>
      <c r="B301" s="119" t="s">
        <v>2825</v>
      </c>
      <c r="C301" s="93"/>
      <c r="D301" s="61"/>
      <c r="E301" s="54"/>
      <c r="J301" s="64"/>
      <c r="M301" s="1414">
        <v>3</v>
      </c>
      <c r="N301" s="6"/>
      <c r="O301" s="68">
        <f>MIN($M301,O302+O307)</f>
        <v>2</v>
      </c>
      <c r="P301" s="81">
        <f>MIN($M301,P302+P307)</f>
        <v>0</v>
      </c>
      <c r="Q301" s="115" t="s">
        <v>456</v>
      </c>
    </row>
    <row r="302" spans="1:18" s="44" customFormat="1" ht="12" customHeight="1">
      <c r="A302" s="149" t="s">
        <v>2058</v>
      </c>
      <c r="B302" s="180" t="s">
        <v>4070</v>
      </c>
      <c r="D302" s="34"/>
      <c r="E302" s="34"/>
      <c r="F302" s="34"/>
      <c r="H302" s="1136" t="s">
        <v>4209</v>
      </c>
      <c r="I302" s="866">
        <f>IF('Part VI-Revenues &amp; Expenses'!$O$62=0,0,L303/'Part VI-Revenues &amp; Expenses'!$O$62)</f>
        <v>6.25E-2</v>
      </c>
      <c r="K302" s="525" t="s">
        <v>4069</v>
      </c>
      <c r="L302" s="866">
        <f>IF('Part VI-Revenues &amp; Expenses'!$O$58=0,0,'Part VI-Revenues &amp; Expenses'!$K$58/'Part VI-Revenues &amp; Expenses'!$O$58)</f>
        <v>0.13333333333333333</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51" t="s">
        <v>4205</v>
      </c>
      <c r="D303" s="1751"/>
      <c r="E303" s="1751"/>
      <c r="F303" s="1751"/>
      <c r="G303" s="1751"/>
      <c r="H303" s="1751"/>
      <c r="I303" s="1377" t="s">
        <v>4207</v>
      </c>
      <c r="J303" s="3178">
        <v>4</v>
      </c>
      <c r="K303" s="1377" t="s">
        <v>4204</v>
      </c>
      <c r="L303" s="3178">
        <v>4</v>
      </c>
      <c r="M303" s="1378" t="str">
        <f>IF(J303&lt;L303,"Check DCA RA units!","")</f>
        <v/>
      </c>
      <c r="N303" s="434" t="s">
        <v>2062</v>
      </c>
      <c r="O303" s="3131" t="s">
        <v>4228</v>
      </c>
      <c r="P303" s="633"/>
      <c r="Q303" s="597"/>
      <c r="R303" s="590"/>
    </row>
    <row r="304" spans="1:18" s="489" customFormat="1" ht="11.25" customHeight="1">
      <c r="A304" s="619"/>
      <c r="B304" s="494" t="s">
        <v>2064</v>
      </c>
      <c r="C304" s="1749" t="s">
        <v>3607</v>
      </c>
      <c r="D304" s="1749"/>
      <c r="E304" s="1749"/>
      <c r="F304" s="1749"/>
      <c r="G304" s="1749"/>
      <c r="H304" s="1749"/>
      <c r="I304" s="1749"/>
      <c r="J304" s="1749"/>
      <c r="K304" s="1749"/>
      <c r="L304" s="1749"/>
      <c r="M304" s="1749"/>
      <c r="N304" s="434" t="s">
        <v>2064</v>
      </c>
      <c r="O304" s="3093" t="s">
        <v>3153</v>
      </c>
      <c r="P304" s="631"/>
    </row>
    <row r="305" spans="1:18" s="489" customFormat="1" ht="11.25" customHeight="1">
      <c r="A305" s="619"/>
      <c r="B305" s="494" t="s">
        <v>2622</v>
      </c>
      <c r="C305" s="1749" t="s">
        <v>4007</v>
      </c>
      <c r="D305" s="1749"/>
      <c r="E305" s="1749"/>
      <c r="F305" s="1749"/>
      <c r="G305" s="1749"/>
      <c r="H305" s="1749"/>
      <c r="I305" s="1749"/>
      <c r="J305" s="1749"/>
      <c r="K305" s="1749"/>
      <c r="L305" s="1749"/>
      <c r="M305" s="1749"/>
      <c r="N305" s="434" t="s">
        <v>2622</v>
      </c>
      <c r="O305" s="3091" t="s">
        <v>3153</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2061</v>
      </c>
      <c r="B307" s="180" t="s">
        <v>2826</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51" t="s">
        <v>3715</v>
      </c>
      <c r="D308" s="1751"/>
      <c r="E308" s="1751"/>
      <c r="F308" s="1751"/>
      <c r="G308" s="1751"/>
      <c r="H308" s="1751"/>
      <c r="I308" s="1751"/>
      <c r="J308" s="1751"/>
      <c r="K308" s="1751"/>
      <c r="L308" s="1751"/>
      <c r="M308" s="774"/>
      <c r="N308" s="434" t="s">
        <v>2062</v>
      </c>
      <c r="O308" s="3240"/>
      <c r="P308" s="629"/>
      <c r="Q308" s="597"/>
      <c r="R308" s="590"/>
    </row>
    <row r="309" spans="1:18" s="462" customFormat="1" ht="11.25" customHeight="1">
      <c r="A309" s="154"/>
      <c r="B309" s="494"/>
      <c r="C309" s="540" t="s">
        <v>4087</v>
      </c>
      <c r="D309" s="1423"/>
      <c r="E309" s="1423"/>
      <c r="F309" s="1423"/>
      <c r="G309" s="3268"/>
      <c r="H309" s="3269"/>
      <c r="I309" s="3269"/>
      <c r="J309" s="3270"/>
      <c r="K309" s="1370" t="s">
        <v>4088</v>
      </c>
      <c r="L309" s="3271"/>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4086</v>
      </c>
      <c r="K310" s="435"/>
      <c r="L310" s="3272">
        <v>0</v>
      </c>
      <c r="M310" s="1281">
        <f>IF('Part VI-Revenues &amp; Expenses'!$O$62=0,0,L310/'Part VI-Revenues &amp; Expenses'!$O$62)</f>
        <v>0</v>
      </c>
      <c r="N310" s="434" t="s">
        <v>2064</v>
      </c>
      <c r="O310" s="3240"/>
      <c r="P310" s="629"/>
    </row>
    <row r="311" spans="1:18" s="44" customFormat="1" ht="10.5" customHeight="1">
      <c r="B311" s="91" t="s">
        <v>1937</v>
      </c>
      <c r="C311" s="104"/>
      <c r="D311" s="91"/>
      <c r="E311" s="105"/>
      <c r="F311" s="1419"/>
      <c r="G311" s="1419"/>
      <c r="H311" s="1419"/>
      <c r="I311" s="1419"/>
      <c r="J311" s="1419"/>
      <c r="K311" s="1419"/>
      <c r="L311" s="1419"/>
      <c r="M311" s="1419"/>
      <c r="N311" s="79"/>
      <c r="O311" s="75"/>
      <c r="P311" s="1414"/>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1735</v>
      </c>
      <c r="B314" s="111" t="s">
        <v>2827</v>
      </c>
      <c r="D314" s="41"/>
      <c r="G314" s="64" t="s">
        <v>3601</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3716</v>
      </c>
      <c r="D316" s="3273" t="s">
        <v>3050</v>
      </c>
      <c r="E316" s="3274"/>
      <c r="F316" s="3274"/>
      <c r="G316" s="3274"/>
      <c r="H316" s="3274"/>
      <c r="I316" s="3275"/>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4114</v>
      </c>
      <c r="C318" s="435"/>
      <c r="D318" s="435"/>
      <c r="E318" s="435"/>
      <c r="F318" s="435"/>
      <c r="G318" s="435"/>
      <c r="H318" s="435"/>
      <c r="I318" s="435"/>
      <c r="J318" s="435" t="s">
        <v>4008</v>
      </c>
      <c r="L318" s="790">
        <f>'Part VI-Revenues &amp; Expenses'!$O$82</f>
        <v>0</v>
      </c>
      <c r="M318" s="463">
        <v>2</v>
      </c>
      <c r="N318" s="174" t="s">
        <v>2058</v>
      </c>
      <c r="O318" s="3178"/>
      <c r="P318" s="1148"/>
      <c r="Q318" s="188" t="s">
        <v>2810</v>
      </c>
    </row>
    <row r="319" spans="1:18" s="462" customFormat="1" ht="11.25" customHeight="1">
      <c r="A319" s="461"/>
      <c r="B319" s="1751" t="s">
        <v>4009</v>
      </c>
      <c r="C319" s="1751"/>
      <c r="D319" s="1751"/>
      <c r="E319" s="1751"/>
      <c r="F319" s="1751"/>
      <c r="G319" s="1751"/>
      <c r="H319" s="1751"/>
      <c r="I319" s="435"/>
      <c r="J319" s="540" t="s">
        <v>2959</v>
      </c>
      <c r="L319" s="791">
        <f>'Part VI-Revenues &amp; Expenses'!$O$62</f>
        <v>64</v>
      </c>
      <c r="M319" s="463"/>
      <c r="N319" s="463"/>
      <c r="O319" s="463"/>
      <c r="P319" s="463"/>
      <c r="Q319" s="188"/>
    </row>
    <row r="320" spans="1:18" s="462" customFormat="1" ht="11.25" customHeight="1">
      <c r="B320" s="1751"/>
      <c r="C320" s="1751"/>
      <c r="D320" s="1751"/>
      <c r="E320" s="1751"/>
      <c r="F320" s="1751"/>
      <c r="G320" s="1751"/>
      <c r="H320" s="1751"/>
      <c r="J320" s="617" t="s">
        <v>2960</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76" t="s">
        <v>4010</v>
      </c>
      <c r="C322" s="3277"/>
      <c r="D322" s="3277"/>
      <c r="E322" s="3277"/>
      <c r="F322" s="3277"/>
      <c r="G322" s="3277"/>
      <c r="H322" s="3277"/>
      <c r="I322" s="3277"/>
      <c r="J322" s="3277"/>
      <c r="K322" s="3277"/>
      <c r="L322" s="3277"/>
      <c r="M322" s="3277"/>
      <c r="N322" s="3277"/>
      <c r="O322" s="3277"/>
      <c r="P322" s="3278"/>
      <c r="Q322" s="1830" t="s">
        <v>1301</v>
      </c>
      <c r="R322" s="1831"/>
      <c r="S322" s="1831"/>
    </row>
    <row r="323" spans="1:19" s="462" customFormat="1" ht="3" customHeight="1">
      <c r="B323" s="494"/>
      <c r="F323" s="487"/>
      <c r="G323" s="1221"/>
      <c r="M323" s="463"/>
      <c r="N323" s="463"/>
      <c r="O323" s="463"/>
      <c r="P323" s="463"/>
      <c r="Q323" s="188"/>
    </row>
    <row r="324" spans="1:19" s="462" customFormat="1" ht="11.25" customHeight="1">
      <c r="A324" s="620" t="s">
        <v>2061</v>
      </c>
      <c r="B324" s="1328" t="s">
        <v>3544</v>
      </c>
      <c r="C324" s="150"/>
      <c r="D324" s="1164"/>
      <c r="H324" s="435"/>
      <c r="J324" s="435" t="s">
        <v>3610</v>
      </c>
      <c r="L324" s="790">
        <f>'Part VI-Revenues &amp; Expenses'!$O$84</f>
        <v>0</v>
      </c>
      <c r="M324" s="463">
        <v>1</v>
      </c>
      <c r="N324" s="174" t="s">
        <v>2061</v>
      </c>
      <c r="O324" s="3178"/>
      <c r="P324" s="1148"/>
      <c r="Q324" s="188" t="s">
        <v>2810</v>
      </c>
    </row>
    <row r="325" spans="1:19" s="462" customFormat="1" ht="11.25" customHeight="1">
      <c r="A325" s="620"/>
      <c r="B325" s="1718" t="s">
        <v>4115</v>
      </c>
      <c r="C325" s="1718"/>
      <c r="D325" s="1718"/>
      <c r="E325" s="1718"/>
      <c r="F325" s="1718"/>
      <c r="G325" s="1718"/>
      <c r="H325" s="1718"/>
      <c r="I325" s="1718"/>
      <c r="J325" s="540" t="s">
        <v>2959</v>
      </c>
      <c r="L325" s="791">
        <f>'Part VI-Revenues &amp; Expenses'!$O$62</f>
        <v>64</v>
      </c>
      <c r="M325" s="463"/>
      <c r="N325" s="463"/>
      <c r="O325" s="463"/>
      <c r="P325" s="463"/>
      <c r="Q325" s="188"/>
    </row>
    <row r="326" spans="1:19" s="462" customFormat="1" ht="11.25" customHeight="1">
      <c r="A326" s="620"/>
      <c r="B326" s="1718"/>
      <c r="C326" s="1718"/>
      <c r="D326" s="1718"/>
      <c r="E326" s="1718"/>
      <c r="F326" s="1718"/>
      <c r="G326" s="1718"/>
      <c r="H326" s="1718"/>
      <c r="I326" s="1718"/>
      <c r="J326" s="617" t="s">
        <v>2960</v>
      </c>
      <c r="L326" s="830">
        <f>IF(L325=0,0,L324/L325)</f>
        <v>0</v>
      </c>
      <c r="M326" s="463"/>
      <c r="N326" s="463"/>
      <c r="O326" s="463"/>
      <c r="P326" s="463"/>
      <c r="Q326" s="188"/>
    </row>
    <row r="327" spans="1:19" s="44" customFormat="1" ht="10.5" customHeight="1">
      <c r="B327" s="91" t="s">
        <v>1937</v>
      </c>
      <c r="C327" s="104"/>
      <c r="D327" s="91"/>
      <c r="E327" s="105"/>
      <c r="F327" s="1419"/>
      <c r="G327" s="1419"/>
      <c r="H327" s="1419"/>
      <c r="I327" s="1419"/>
      <c r="J327" s="1419"/>
      <c r="K327" s="1419"/>
      <c r="L327" s="1419"/>
      <c r="M327" s="1419"/>
      <c r="N327" s="79"/>
      <c r="O327" s="75"/>
      <c r="P327" s="1414"/>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1736</v>
      </c>
      <c r="B330" s="112" t="s">
        <v>2721</v>
      </c>
      <c r="C330" s="56"/>
      <c r="D330" s="124"/>
      <c r="E330" s="124"/>
      <c r="I330" s="1417" t="s">
        <v>3022</v>
      </c>
      <c r="J330" s="42"/>
      <c r="K330" s="42"/>
      <c r="M330" s="1418">
        <v>5</v>
      </c>
      <c r="P330" s="636"/>
      <c r="Q330" s="115" t="s">
        <v>456</v>
      </c>
    </row>
    <row r="331" spans="1:19" s="44" customFormat="1" ht="1.5" customHeight="1">
      <c r="A331" s="166"/>
      <c r="M331" s="604"/>
      <c r="Q331" s="115"/>
    </row>
    <row r="332" spans="1:19" s="44" customFormat="1" ht="12" customHeight="1">
      <c r="A332" s="166"/>
      <c r="B332" s="1927" t="s">
        <v>4116</v>
      </c>
      <c r="C332" s="1927"/>
      <c r="D332" s="1834">
        <f>IF('Part VI-Revenues &amp; Expenses'!$O$62=0,0,'Part IV-Uses of Funds'!$J$172/'Part VI-Revenues &amp; Expenses'!$O$62)</f>
        <v>12819.59375</v>
      </c>
      <c r="E332" s="1834"/>
      <c r="F332" s="116" t="s">
        <v>4117</v>
      </c>
      <c r="G332" s="1329"/>
      <c r="H332" s="1330">
        <f>IF('Part VI-Revenues &amp; Expenses'!$O$62=0,0,('Part VI-Revenues &amp; Expenses'!$O$77+'Part VI-Revenues &amp; Expenses'!$O$80+'Part VI-Revenues &amp; Expenses'!$O$84)/'Part VI-Revenues &amp; Expenses'!$O$62)</f>
        <v>0</v>
      </c>
      <c r="I332" s="1331" t="s">
        <v>4118</v>
      </c>
      <c r="J332" s="42"/>
      <c r="K332" s="1228"/>
      <c r="L332" s="1229"/>
      <c r="M332" s="77">
        <v>20</v>
      </c>
      <c r="N332" s="6"/>
      <c r="O332" s="1282">
        <f>MIN($M332,(SUM(O333:O355)))</f>
        <v>0</v>
      </c>
      <c r="P332" s="1282">
        <f>MIN($M332,(SUM(P333:P355)))</f>
        <v>0</v>
      </c>
      <c r="Q332" s="115"/>
    </row>
    <row r="333" spans="1:19" s="44" customFormat="1" ht="10.5" customHeight="1">
      <c r="A333" s="602" t="s">
        <v>2058</v>
      </c>
      <c r="B333" s="1231" t="s">
        <v>2062</v>
      </c>
      <c r="C333" s="1174" t="s">
        <v>4011</v>
      </c>
      <c r="E333" s="54"/>
      <c r="F333" s="1174"/>
      <c r="G333" s="1174"/>
      <c r="H333" s="56"/>
      <c r="I333" s="1175"/>
      <c r="J333" s="1175"/>
      <c r="M333" s="601">
        <v>6</v>
      </c>
      <c r="N333" s="616"/>
      <c r="O333" s="3279"/>
      <c r="P333" s="1816"/>
      <c r="Q333" s="651" t="s">
        <v>2810</v>
      </c>
    </row>
    <row r="334" spans="1:19" s="44" customFormat="1" ht="10.5" customHeight="1">
      <c r="A334" s="776"/>
      <c r="B334" s="1220"/>
      <c r="C334" s="1227" t="s">
        <v>3881</v>
      </c>
      <c r="D334" s="3280"/>
      <c r="E334" s="54"/>
      <c r="F334" s="1227" t="s">
        <v>3882</v>
      </c>
      <c r="G334" s="3281"/>
      <c r="H334" s="56"/>
      <c r="I334" s="466" t="s">
        <v>4012</v>
      </c>
      <c r="J334" s="466"/>
      <c r="K334" s="3282"/>
      <c r="L334" s="3283"/>
      <c r="M334" s="611"/>
      <c r="N334" s="1232"/>
      <c r="O334" s="3284"/>
      <c r="P334" s="1817"/>
      <c r="Q334" s="651"/>
    </row>
    <row r="335" spans="1:19" s="44" customFormat="1" ht="10.5" customHeight="1">
      <c r="A335" s="776" t="s">
        <v>1403</v>
      </c>
      <c r="B335" s="1220" t="s">
        <v>2064</v>
      </c>
      <c r="C335" s="54" t="s">
        <v>4013</v>
      </c>
      <c r="E335" s="54"/>
      <c r="F335" s="54"/>
      <c r="G335" s="1174"/>
      <c r="H335" s="56"/>
      <c r="I335" s="56"/>
      <c r="J335" s="56"/>
      <c r="M335" s="611">
        <v>2</v>
      </c>
      <c r="N335" s="1232"/>
      <c r="O335" s="3284"/>
      <c r="P335" s="1817"/>
      <c r="Q335" s="651"/>
    </row>
    <row r="336" spans="1:19" s="44" customFormat="1" ht="10.5" customHeight="1">
      <c r="A336" s="776"/>
      <c r="C336" s="1227" t="s">
        <v>3881</v>
      </c>
      <c r="D336" s="3280"/>
      <c r="E336" s="54"/>
      <c r="F336" s="1227" t="s">
        <v>3882</v>
      </c>
      <c r="G336" s="3281"/>
      <c r="H336" s="56"/>
      <c r="I336" s="466" t="s">
        <v>4012</v>
      </c>
      <c r="J336" s="466"/>
      <c r="K336" s="3282"/>
      <c r="L336" s="3283"/>
      <c r="M336" s="611"/>
      <c r="N336" s="124"/>
      <c r="O336" s="3284"/>
      <c r="P336" s="1817"/>
      <c r="Q336" s="651"/>
    </row>
    <row r="337" spans="1:18" s="462" customFormat="1" ht="34.5" customHeight="1">
      <c r="A337" s="776" t="s">
        <v>1403</v>
      </c>
      <c r="B337" s="1230" t="s">
        <v>2622</v>
      </c>
      <c r="C337" s="1744" t="s">
        <v>3611</v>
      </c>
      <c r="D337" s="1744"/>
      <c r="E337" s="1744"/>
      <c r="F337" s="1744"/>
      <c r="G337" s="1744"/>
      <c r="H337" s="1744"/>
      <c r="I337" s="1744"/>
      <c r="J337" s="1744"/>
      <c r="K337" s="1744"/>
      <c r="L337" s="1744"/>
      <c r="M337" s="589">
        <v>5</v>
      </c>
      <c r="N337" s="599"/>
      <c r="O337" s="3285"/>
      <c r="P337" s="1818"/>
      <c r="Q337" s="651"/>
    </row>
    <row r="338" spans="1:18" s="462" customFormat="1" ht="12.75" customHeight="1">
      <c r="A338" s="776"/>
      <c r="B338" s="154"/>
      <c r="C338" s="1178" t="s">
        <v>3869</v>
      </c>
      <c r="D338" s="1422"/>
      <c r="G338" s="3286"/>
      <c r="H338" s="1422"/>
      <c r="I338" s="1178" t="s">
        <v>3868</v>
      </c>
      <c r="K338" s="3286"/>
      <c r="M338" s="1422"/>
      <c r="N338" s="1422"/>
      <c r="O338" s="1422"/>
      <c r="P338" s="1422"/>
      <c r="Q338" s="1422"/>
      <c r="R338" s="1422"/>
    </row>
    <row r="339" spans="1:18" s="462" customFormat="1" ht="45" customHeight="1">
      <c r="A339" s="600" t="s">
        <v>2061</v>
      </c>
      <c r="B339" s="1283"/>
      <c r="C339" s="1835" t="s">
        <v>4014</v>
      </c>
      <c r="D339" s="1835"/>
      <c r="E339" s="1835"/>
      <c r="F339" s="1835"/>
      <c r="G339" s="1835"/>
      <c r="H339" s="1835"/>
      <c r="I339" s="1835"/>
      <c r="J339" s="1835"/>
      <c r="K339" s="1835"/>
      <c r="L339" s="1835"/>
      <c r="M339" s="601">
        <v>2</v>
      </c>
      <c r="N339" s="615"/>
      <c r="O339" s="3287"/>
      <c r="P339" s="1218"/>
      <c r="Q339" s="775" t="s">
        <v>2810</v>
      </c>
    </row>
    <row r="340" spans="1:18" s="462" customFormat="1" ht="11.25" customHeight="1">
      <c r="A340" s="1247"/>
      <c r="B340" s="1284"/>
      <c r="C340" s="1285" t="s">
        <v>4089</v>
      </c>
      <c r="D340" s="1436"/>
      <c r="E340" s="1436"/>
      <c r="F340" s="3288"/>
      <c r="G340" s="3289"/>
      <c r="H340" s="3289"/>
      <c r="I340" s="3290"/>
      <c r="J340" s="1351"/>
      <c r="K340" s="1436" t="s">
        <v>4088</v>
      </c>
      <c r="L340" s="3291"/>
      <c r="M340" s="1249"/>
      <c r="N340" s="1286"/>
      <c r="O340" s="434"/>
      <c r="P340" s="434"/>
      <c r="Q340" s="597"/>
      <c r="R340" s="590"/>
    </row>
    <row r="341" spans="1:18" s="462" customFormat="1" ht="12" customHeight="1">
      <c r="A341" s="779" t="s">
        <v>779</v>
      </c>
      <c r="C341" s="1718" t="s">
        <v>4015</v>
      </c>
      <c r="D341" s="1718"/>
      <c r="E341" s="1718"/>
      <c r="F341" s="1718"/>
      <c r="G341" s="1718"/>
      <c r="H341" s="1718"/>
      <c r="I341" s="1718"/>
      <c r="J341" s="1718" t="s">
        <v>4017</v>
      </c>
      <c r="K341" s="1718"/>
      <c r="L341" s="1238" t="str">
        <f>'Part I-Project Information'!$H$90</f>
        <v>Rural</v>
      </c>
      <c r="M341" s="611">
        <v>3</v>
      </c>
      <c r="N341" s="788"/>
      <c r="O341" s="3292"/>
      <c r="P341" s="1832"/>
      <c r="Q341" s="188" t="s">
        <v>2810</v>
      </c>
    </row>
    <row r="342" spans="1:18" s="462" customFormat="1" ht="12" customHeight="1">
      <c r="A342" s="779"/>
      <c r="C342" s="1718"/>
      <c r="D342" s="1718"/>
      <c r="E342" s="1718"/>
      <c r="F342" s="1718"/>
      <c r="G342" s="1718"/>
      <c r="H342" s="1718"/>
      <c r="I342" s="1718"/>
      <c r="J342" s="1718" t="s">
        <v>4018</v>
      </c>
      <c r="K342" s="1718"/>
      <c r="L342" s="1237">
        <f>$O$113</f>
        <v>5</v>
      </c>
      <c r="M342" s="611"/>
      <c r="N342" s="788"/>
      <c r="O342" s="3293"/>
      <c r="P342" s="1833"/>
      <c r="Q342" s="188"/>
    </row>
    <row r="343" spans="1:18" s="462" customFormat="1" ht="24" customHeight="1">
      <c r="A343" s="1233" t="s">
        <v>2193</v>
      </c>
      <c r="B343" s="1234"/>
      <c r="C343" s="1878" t="s">
        <v>4016</v>
      </c>
      <c r="D343" s="1878"/>
      <c r="E343" s="1878"/>
      <c r="F343" s="1878"/>
      <c r="G343" s="1878"/>
      <c r="H343" s="1878"/>
      <c r="I343" s="1239"/>
      <c r="J343" s="1878" t="s">
        <v>4019</v>
      </c>
      <c r="K343" s="1878"/>
      <c r="L343" s="1240">
        <f>$O$129</f>
        <v>0</v>
      </c>
      <c r="M343" s="1235">
        <v>3</v>
      </c>
      <c r="N343" s="1236"/>
      <c r="O343" s="3294"/>
      <c r="P343" s="1435"/>
      <c r="Q343" s="188" t="s">
        <v>2810</v>
      </c>
    </row>
    <row r="344" spans="1:18" s="44" customFormat="1" ht="11.25" customHeight="1">
      <c r="A344" s="779" t="s">
        <v>1801</v>
      </c>
      <c r="B344" s="1231" t="s">
        <v>2062</v>
      </c>
      <c r="C344" s="1744" t="s">
        <v>3704</v>
      </c>
      <c r="D344" s="1744"/>
      <c r="E344" s="1744"/>
      <c r="F344" s="1744"/>
      <c r="G344" s="1744"/>
      <c r="H344" s="1744"/>
      <c r="I344" s="1744"/>
      <c r="J344" s="1744"/>
      <c r="K344" s="1744"/>
      <c r="L344" s="1744"/>
      <c r="M344" s="611">
        <v>2</v>
      </c>
      <c r="N344" s="124"/>
      <c r="O344" s="3279"/>
      <c r="P344" s="1816"/>
      <c r="Q344" s="188" t="s">
        <v>2810</v>
      </c>
    </row>
    <row r="345" spans="1:18" s="44" customFormat="1" ht="11.25" customHeight="1">
      <c r="A345" s="776" t="s">
        <v>1403</v>
      </c>
      <c r="B345" s="1220" t="s">
        <v>2064</v>
      </c>
      <c r="C345" s="1851" t="s">
        <v>3703</v>
      </c>
      <c r="D345" s="1851"/>
      <c r="E345" s="1851"/>
      <c r="F345" s="1851"/>
      <c r="G345" s="1851"/>
      <c r="H345" s="1851"/>
      <c r="I345" s="1851"/>
      <c r="J345" s="1851"/>
      <c r="K345" s="1851"/>
      <c r="L345" s="1851"/>
      <c r="M345" s="613">
        <v>1</v>
      </c>
      <c r="N345" s="124"/>
      <c r="O345" s="3285"/>
      <c r="P345" s="1818"/>
      <c r="Q345" s="106"/>
    </row>
    <row r="346" spans="1:18" s="44" customFormat="1" ht="11.25" customHeight="1">
      <c r="B346" s="776"/>
      <c r="C346" s="1173" t="s">
        <v>3879</v>
      </c>
      <c r="D346" s="1173"/>
      <c r="E346" s="1173"/>
      <c r="F346" s="1433" t="s">
        <v>3872</v>
      </c>
      <c r="G346" s="1433" t="s">
        <v>3873</v>
      </c>
      <c r="H346" s="1433" t="s">
        <v>3874</v>
      </c>
      <c r="I346" s="1433" t="s">
        <v>3875</v>
      </c>
      <c r="J346" s="1433" t="s">
        <v>3876</v>
      </c>
      <c r="K346" s="1433" t="s">
        <v>3877</v>
      </c>
      <c r="L346" s="1433" t="s">
        <v>3878</v>
      </c>
      <c r="M346" s="1437"/>
      <c r="N346" s="1437"/>
      <c r="O346" s="1437"/>
      <c r="P346" s="1437"/>
      <c r="Q346" s="106"/>
    </row>
    <row r="347" spans="1:18" s="44" customFormat="1" ht="11.25" customHeight="1">
      <c r="A347" s="1229"/>
      <c r="B347" s="776"/>
      <c r="C347" s="1850" t="s">
        <v>3880</v>
      </c>
      <c r="D347" s="1850"/>
      <c r="E347" s="1850"/>
      <c r="F347" s="3295"/>
      <c r="G347" s="3295"/>
      <c r="H347" s="3295"/>
      <c r="I347" s="3295"/>
      <c r="J347" s="3295"/>
      <c r="K347" s="3295"/>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2062</v>
      </c>
      <c r="C348" s="1846" t="s">
        <v>3612</v>
      </c>
      <c r="D348" s="1846"/>
      <c r="E348" s="1846"/>
      <c r="F348" s="1846"/>
      <c r="G348" s="1846"/>
      <c r="H348" s="1846"/>
      <c r="I348" s="1846"/>
      <c r="K348" s="1847" t="s">
        <v>4119</v>
      </c>
      <c r="L348" s="1847"/>
      <c r="M348" s="601">
        <v>2</v>
      </c>
      <c r="N348" s="615"/>
      <c r="O348" s="3279"/>
      <c r="P348" s="1816"/>
      <c r="Q348" s="188" t="s">
        <v>2810</v>
      </c>
    </row>
    <row r="349" spans="1:18" s="462" customFormat="1" ht="21.75" customHeight="1">
      <c r="A349" s="776" t="s">
        <v>1403</v>
      </c>
      <c r="B349" s="1242" t="s">
        <v>2064</v>
      </c>
      <c r="C349" s="1845" t="s">
        <v>3613</v>
      </c>
      <c r="D349" s="1845"/>
      <c r="E349" s="1845"/>
      <c r="F349" s="1845"/>
      <c r="G349" s="1845"/>
      <c r="H349" s="1845"/>
      <c r="I349" s="1845"/>
      <c r="J349" s="1223"/>
      <c r="K349" s="3296"/>
      <c r="L349" s="3297"/>
      <c r="M349" s="611">
        <v>1</v>
      </c>
      <c r="N349" s="612"/>
      <c r="O349" s="3285"/>
      <c r="P349" s="1818"/>
      <c r="Q349" s="188"/>
    </row>
    <row r="350" spans="1:18" s="108" customFormat="1" ht="11.25" customHeight="1">
      <c r="A350" s="602" t="s">
        <v>2021</v>
      </c>
      <c r="C350" s="1926" t="s">
        <v>3614</v>
      </c>
      <c r="D350" s="1926"/>
      <c r="E350" s="1926"/>
      <c r="F350" s="1926"/>
      <c r="G350" s="1926"/>
      <c r="H350" s="1926"/>
      <c r="I350" s="1926"/>
      <c r="J350" s="1926"/>
      <c r="K350" s="1926"/>
      <c r="L350" s="1926"/>
      <c r="M350" s="1244">
        <v>2</v>
      </c>
      <c r="N350" s="1245"/>
      <c r="O350" s="3298"/>
      <c r="P350" s="1148"/>
      <c r="Q350" s="188" t="s">
        <v>2810</v>
      </c>
    </row>
    <row r="351" spans="1:18" s="44" customFormat="1" ht="11.25" customHeight="1">
      <c r="A351" s="196"/>
      <c r="C351" s="1222" t="s">
        <v>4020</v>
      </c>
      <c r="D351" s="1437"/>
      <c r="E351" s="1928">
        <f>'Part IV-Uses of Funds'!$B$44</f>
        <v>7280254</v>
      </c>
      <c r="F351" s="1928"/>
      <c r="G351" s="1929" t="s">
        <v>4021</v>
      </c>
      <c r="H351" s="1929"/>
      <c r="I351" s="1430">
        <f>'Part IV-Uses of Funds'!$G$131</f>
        <v>10550624</v>
      </c>
      <c r="J351" s="1879" t="s">
        <v>4022</v>
      </c>
      <c r="K351" s="1879"/>
      <c r="L351" s="1342">
        <f>IF(I351=0, 0,E351/I351)</f>
        <v>0.69003065600669689</v>
      </c>
      <c r="M351" s="849"/>
      <c r="N351" s="849"/>
      <c r="O351" s="849"/>
      <c r="P351" s="849"/>
      <c r="Q351" s="188"/>
    </row>
    <row r="352" spans="1:18" s="462" customFormat="1" ht="22.5" customHeight="1">
      <c r="A352" s="1233" t="s">
        <v>3559</v>
      </c>
      <c r="B352" s="1234"/>
      <c r="C352" s="1925" t="s">
        <v>3615</v>
      </c>
      <c r="D352" s="1925"/>
      <c r="E352" s="1925"/>
      <c r="F352" s="1925"/>
      <c r="G352" s="1925"/>
      <c r="H352" s="1925"/>
      <c r="I352" s="1925"/>
      <c r="J352" s="1925"/>
      <c r="K352" s="1925"/>
      <c r="L352" s="1925"/>
      <c r="M352" s="1243">
        <v>2</v>
      </c>
      <c r="N352" s="1236"/>
      <c r="O352" s="3287"/>
      <c r="P352" s="1218"/>
      <c r="Q352" s="775" t="s">
        <v>2810</v>
      </c>
    </row>
    <row r="353" spans="1:18" s="462" customFormat="1" ht="11.25" customHeight="1">
      <c r="A353" s="779" t="s">
        <v>640</v>
      </c>
      <c r="C353" s="1744" t="s">
        <v>3705</v>
      </c>
      <c r="D353" s="1744"/>
      <c r="E353" s="1744"/>
      <c r="F353" s="1744"/>
      <c r="G353" s="1744"/>
      <c r="H353" s="1744"/>
      <c r="I353" s="1744"/>
      <c r="J353" s="1744"/>
      <c r="K353" s="1744"/>
      <c r="L353" s="1744"/>
      <c r="M353" s="789">
        <v>2</v>
      </c>
      <c r="N353" s="788"/>
      <c r="O353" s="3299"/>
      <c r="P353" s="1440"/>
      <c r="Q353" s="775" t="s">
        <v>2810</v>
      </c>
    </row>
    <row r="354" spans="1:18" s="462" customFormat="1" ht="11.25" customHeight="1">
      <c r="A354" s="1233" t="s">
        <v>3560</v>
      </c>
      <c r="B354" s="1234"/>
      <c r="C354" s="1878" t="s">
        <v>3616</v>
      </c>
      <c r="D354" s="1878"/>
      <c r="E354" s="1878"/>
      <c r="F354" s="1878"/>
      <c r="G354" s="1878"/>
      <c r="H354" s="1878"/>
      <c r="I354" s="1878"/>
      <c r="J354" s="1878"/>
      <c r="K354" s="1246"/>
      <c r="L354" s="1246"/>
      <c r="M354" s="1243">
        <v>1</v>
      </c>
      <c r="N354" s="1236"/>
      <c r="O354" s="3287"/>
      <c r="P354" s="1218"/>
      <c r="Q354" s="775" t="s">
        <v>2810</v>
      </c>
    </row>
    <row r="355" spans="1:18" s="462" customFormat="1" ht="11.25" customHeight="1">
      <c r="A355" s="600" t="s">
        <v>4023</v>
      </c>
      <c r="B355" s="1164"/>
      <c r="C355" s="1846" t="s">
        <v>4024</v>
      </c>
      <c r="D355" s="1846"/>
      <c r="E355" s="1846"/>
      <c r="F355" s="1846"/>
      <c r="G355" s="1846"/>
      <c r="H355" s="1846"/>
      <c r="I355" s="1846"/>
      <c r="J355" s="1846"/>
      <c r="K355" s="1223" t="s">
        <v>4025</v>
      </c>
      <c r="L355" s="1341">
        <f>'Part IV-Uses of Funds'!$G$127</f>
        <v>0</v>
      </c>
      <c r="M355" s="789">
        <v>1</v>
      </c>
      <c r="N355" s="789"/>
      <c r="O355" s="3287"/>
      <c r="P355" s="1218"/>
      <c r="Q355" s="775" t="s">
        <v>2810</v>
      </c>
    </row>
    <row r="356" spans="1:18" s="462" customFormat="1" ht="11.25" customHeight="1">
      <c r="A356" s="1247"/>
      <c r="B356" s="1248"/>
      <c r="C356" s="1845"/>
      <c r="D356" s="1845"/>
      <c r="E356" s="1845"/>
      <c r="F356" s="1845"/>
      <c r="G356" s="1845"/>
      <c r="H356" s="1845"/>
      <c r="I356" s="1845"/>
      <c r="J356" s="1845"/>
      <c r="K356" s="1249" t="s">
        <v>4026</v>
      </c>
      <c r="L356" s="1430">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55"/>
      <c r="B358" s="3056"/>
      <c r="C358" s="3056"/>
      <c r="D358" s="3056"/>
      <c r="E358" s="3056"/>
      <c r="F358" s="3056"/>
      <c r="G358" s="3056"/>
      <c r="H358" s="3056"/>
      <c r="I358" s="3056"/>
      <c r="J358" s="3056"/>
      <c r="K358" s="3056"/>
      <c r="L358" s="3056"/>
      <c r="M358" s="3056"/>
      <c r="N358" s="3056"/>
      <c r="O358" s="3056"/>
      <c r="P358" s="3057"/>
      <c r="Q358" s="500" t="s">
        <v>1301</v>
      </c>
    </row>
    <row r="359" spans="1:18" s="44" customFormat="1" ht="10.5" customHeight="1">
      <c r="A359" s="43"/>
      <c r="B359" s="91" t="s">
        <v>1937</v>
      </c>
      <c r="C359" s="104"/>
      <c r="D359" s="91"/>
      <c r="E359" s="105"/>
      <c r="F359" s="1419"/>
      <c r="G359" s="1419"/>
      <c r="H359" s="1419"/>
      <c r="I359" s="1419"/>
      <c r="J359" s="1419"/>
      <c r="K359" s="1419"/>
      <c r="L359" s="1419"/>
      <c r="M359" s="1419"/>
      <c r="N359" s="79"/>
      <c r="O359" s="75"/>
      <c r="P359" s="1414"/>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2962</v>
      </c>
      <c r="B362" s="112" t="s">
        <v>3627</v>
      </c>
      <c r="C362" s="56"/>
      <c r="D362" s="124"/>
      <c r="E362" s="124"/>
      <c r="F362" s="42"/>
      <c r="G362" s="42"/>
      <c r="H362" s="42"/>
      <c r="I362" s="42"/>
      <c r="J362" s="42"/>
      <c r="K362" s="42"/>
      <c r="L362" s="42"/>
      <c r="M362" s="1192">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59" t="s">
        <v>3629</v>
      </c>
      <c r="C363" s="1859"/>
      <c r="D363" s="1859"/>
      <c r="E363" s="1859"/>
      <c r="F363" s="1859"/>
      <c r="G363" s="1859"/>
      <c r="H363" s="1859"/>
      <c r="I363" s="1859"/>
      <c r="J363" s="1859"/>
      <c r="K363" s="1859"/>
      <c r="L363" s="1859"/>
      <c r="M363" s="1859"/>
      <c r="N363" s="1859"/>
      <c r="O363" s="3051"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4027</v>
      </c>
      <c r="F365" s="54" t="s">
        <v>3624</v>
      </c>
      <c r="G365" s="54"/>
      <c r="J365" s="3300" t="s">
        <v>4337</v>
      </c>
      <c r="K365" s="3301"/>
      <c r="L365" s="3301"/>
      <c r="M365" s="3301"/>
      <c r="N365" s="3302"/>
      <c r="O365" s="1844" t="s">
        <v>3722</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3051</v>
      </c>
      <c r="G367" s="57"/>
      <c r="J367" s="1848" t="str">
        <f>'Part I-Project Information'!$H$67</f>
        <v>Family</v>
      </c>
      <c r="K367" s="1849"/>
      <c r="L367" s="1431"/>
      <c r="M367" s="1882" t="s">
        <v>3901</v>
      </c>
      <c r="N367" s="621"/>
      <c r="O367" s="1844"/>
      <c r="P367" s="621"/>
    </row>
    <row r="368" spans="1:18" s="44" customFormat="1" ht="11.25" customHeight="1">
      <c r="A368" s="149"/>
      <c r="B368" s="653" t="s">
        <v>3625</v>
      </c>
      <c r="C368" s="652"/>
      <c r="D368" s="652"/>
      <c r="E368" s="1431"/>
      <c r="F368" s="417"/>
      <c r="H368" s="1431"/>
      <c r="I368" s="1431"/>
      <c r="J368" s="1431"/>
      <c r="K368" s="1431"/>
      <c r="L368" s="1431"/>
      <c r="M368" s="1882"/>
      <c r="N368" s="621"/>
      <c r="O368" s="1844"/>
      <c r="P368" s="1880" t="s">
        <v>3621</v>
      </c>
    </row>
    <row r="369" spans="1:18" s="44" customFormat="1" ht="12.75" customHeight="1">
      <c r="A369" s="149"/>
      <c r="C369" s="1416"/>
      <c r="F369" s="486" t="s">
        <v>3626</v>
      </c>
      <c r="H369" s="1431"/>
      <c r="I369" s="781" t="s">
        <v>3620</v>
      </c>
      <c r="J369" s="607" t="s">
        <v>3622</v>
      </c>
      <c r="K369" s="1420" t="s">
        <v>3621</v>
      </c>
      <c r="L369" s="783" t="s">
        <v>3623</v>
      </c>
      <c r="M369" s="1882"/>
      <c r="N369" s="782"/>
      <c r="O369" s="1844"/>
      <c r="P369" s="1881"/>
    </row>
    <row r="370" spans="1:18" s="44" customFormat="1" ht="12" customHeight="1">
      <c r="A370" s="149"/>
      <c r="B370" s="416" t="s">
        <v>2520</v>
      </c>
      <c r="C370" s="780" t="s">
        <v>3619</v>
      </c>
      <c r="D370" s="652"/>
      <c r="E370" s="1431"/>
      <c r="F370" s="3303" t="s">
        <v>4243</v>
      </c>
      <c r="G370" s="3304"/>
      <c r="H370" s="3305"/>
      <c r="I370" s="3306" t="s">
        <v>4246</v>
      </c>
      <c r="J370" s="3306" t="s">
        <v>3156</v>
      </c>
      <c r="K370" s="3307">
        <v>89.8</v>
      </c>
      <c r="L370" s="782">
        <v>78</v>
      </c>
      <c r="M370" s="840" t="str">
        <f>IF(K370="","",IF(K370&gt;=L370,"Yes",IF(K370&lt;L370,"No","")))</f>
        <v>Yes</v>
      </c>
      <c r="N370" s="782"/>
      <c r="O370" s="843" t="str">
        <f>IF(P370="","",IF(P370&gt;=L370,"Yes",IF(P370&lt;L370,"No","")))</f>
        <v/>
      </c>
      <c r="P370" s="784"/>
      <c r="Q370" s="37" t="s">
        <v>4120</v>
      </c>
    </row>
    <row r="371" spans="1:18" s="44" customFormat="1" ht="12" customHeight="1">
      <c r="A371" s="149"/>
      <c r="B371" s="432" t="s">
        <v>2521</v>
      </c>
      <c r="C371" s="780" t="s">
        <v>3617</v>
      </c>
      <c r="D371" s="652"/>
      <c r="E371" s="1431"/>
      <c r="F371" s="3308" t="s">
        <v>4244</v>
      </c>
      <c r="G371" s="3309"/>
      <c r="H371" s="3310"/>
      <c r="I371" s="3311" t="s">
        <v>4245</v>
      </c>
      <c r="J371" s="3312" t="s">
        <v>3156</v>
      </c>
      <c r="K371" s="3313">
        <v>86.9</v>
      </c>
      <c r="L371" s="782">
        <v>75</v>
      </c>
      <c r="M371" s="841" t="str">
        <f>IF(K371="","",IF(K371&gt;=L371,"Yes",IF(K371&lt;L371,"No","")))</f>
        <v>Yes</v>
      </c>
      <c r="N371" s="782"/>
      <c r="O371" s="844" t="str">
        <f>IF(P371="","",IF(P371&gt;=L371,"Yes",IF(P371&lt;L371,"No","")))</f>
        <v/>
      </c>
      <c r="P371" s="785"/>
      <c r="Q371" s="37" t="s">
        <v>4120</v>
      </c>
    </row>
    <row r="372" spans="1:18" s="44" customFormat="1" ht="12" customHeight="1">
      <c r="A372" s="149"/>
      <c r="B372" s="416" t="s">
        <v>2522</v>
      </c>
      <c r="C372" s="780" t="s">
        <v>3618</v>
      </c>
      <c r="D372" s="652"/>
      <c r="E372" s="1431"/>
      <c r="F372" s="3314" t="s">
        <v>4350</v>
      </c>
      <c r="G372" s="3315"/>
      <c r="H372" s="3316"/>
      <c r="I372" s="3317" t="s">
        <v>4247</v>
      </c>
      <c r="J372" s="3318" t="s">
        <v>3156</v>
      </c>
      <c r="K372" s="3319">
        <v>72.8</v>
      </c>
      <c r="L372" s="782">
        <v>72</v>
      </c>
      <c r="M372" s="842" t="str">
        <f>IF(K372="","",IF(K372&gt;=L372,"Yes",IF(K372&lt;L372,"No","")))</f>
        <v>Yes</v>
      </c>
      <c r="N372" s="782"/>
      <c r="O372" s="845" t="str">
        <f>IF(P372="","",IF(P372&gt;=L372,"Yes",IF(P372&lt;L372,"No","")))</f>
        <v/>
      </c>
      <c r="P372" s="786"/>
      <c r="Q372" s="37" t="s">
        <v>4120</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24.75" customHeight="1">
      <c r="A374" s="3055" t="s">
        <v>4345</v>
      </c>
      <c r="B374" s="3056"/>
      <c r="C374" s="3056"/>
      <c r="D374" s="3056"/>
      <c r="E374" s="3056"/>
      <c r="F374" s="3056"/>
      <c r="G374" s="3056"/>
      <c r="H374" s="3056"/>
      <c r="I374" s="3056"/>
      <c r="J374" s="3056"/>
      <c r="K374" s="3056"/>
      <c r="L374" s="3056"/>
      <c r="M374" s="3056"/>
      <c r="N374" s="3056"/>
      <c r="O374" s="3056"/>
      <c r="P374" s="3057"/>
      <c r="Q374" s="500" t="s">
        <v>1301</v>
      </c>
    </row>
    <row r="375" spans="1:18" s="44" customFormat="1" ht="10.5" customHeight="1">
      <c r="A375" s="43"/>
      <c r="B375" s="91" t="s">
        <v>1937</v>
      </c>
      <c r="C375" s="104"/>
      <c r="D375" s="91"/>
      <c r="E375" s="105"/>
      <c r="F375" s="1419"/>
      <c r="G375" s="1419"/>
      <c r="H375" s="1419"/>
      <c r="I375" s="1419"/>
      <c r="J375" s="1419"/>
      <c r="K375" s="1419"/>
      <c r="L375" s="1419"/>
      <c r="M375" s="1419"/>
      <c r="N375" s="79"/>
      <c r="O375" s="75"/>
      <c r="P375" s="1414"/>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2965</v>
      </c>
      <c r="B378" s="112" t="s">
        <v>2964</v>
      </c>
      <c r="C378" s="56"/>
      <c r="D378" s="124"/>
      <c r="E378" s="124"/>
      <c r="F378" s="42"/>
      <c r="G378" s="1420" t="s">
        <v>4028</v>
      </c>
      <c r="H378" s="42"/>
      <c r="M378" s="1192">
        <v>2</v>
      </c>
      <c r="N378" s="192"/>
      <c r="O378" s="68">
        <f>IF(AND($H$388="",$I$391&gt;=0.6),2,IF(AND($H$388="",$I$391&gt;=0.5),1,0))</f>
        <v>0</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4035</v>
      </c>
      <c r="M380" s="607">
        <v>2</v>
      </c>
      <c r="R380" s="603"/>
    </row>
    <row r="381" spans="1:18" s="57" customFormat="1" ht="12" customHeight="1">
      <c r="B381" s="149" t="s">
        <v>2061</v>
      </c>
      <c r="C381" s="37" t="s">
        <v>4036</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4029</v>
      </c>
      <c r="C383" s="1808"/>
      <c r="D383" s="1429" t="s">
        <v>2966</v>
      </c>
      <c r="E383" s="1922" t="s">
        <v>3628</v>
      </c>
      <c r="F383" s="1922"/>
      <c r="G383" s="1922"/>
      <c r="H383" s="1922"/>
      <c r="I383" s="1922"/>
      <c r="J383" s="1922"/>
      <c r="K383" s="1922"/>
      <c r="L383" s="1922"/>
      <c r="M383" s="1429" t="s">
        <v>1659</v>
      </c>
      <c r="N383" s="1805" t="s">
        <v>2687</v>
      </c>
      <c r="O383" s="1806"/>
    </row>
    <row r="384" spans="1:18" s="57" customFormat="1" ht="12" customHeight="1">
      <c r="A384" s="48"/>
      <c r="B384" s="1807"/>
      <c r="C384" s="1808"/>
      <c r="D384" s="787" t="s">
        <v>1251</v>
      </c>
      <c r="E384" s="1919" t="s">
        <v>2970</v>
      </c>
      <c r="F384" s="1920"/>
      <c r="G384" s="1920"/>
      <c r="H384" s="1920"/>
      <c r="I384" s="1920"/>
      <c r="J384" s="1920"/>
      <c r="K384" s="1920"/>
      <c r="L384" s="1921"/>
      <c r="M384" s="787" t="s">
        <v>2701</v>
      </c>
      <c r="N384" s="1803" t="s">
        <v>1326</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3911</v>
      </c>
      <c r="J386" s="607" t="s">
        <v>3912</v>
      </c>
      <c r="K386" s="1251"/>
      <c r="L386" s="1251"/>
      <c r="M386" s="1251"/>
      <c r="R386" s="603"/>
    </row>
    <row r="387" spans="1:18" s="57" customFormat="1" ht="12" customHeight="1">
      <c r="C387" s="1253" t="s">
        <v>4034</v>
      </c>
      <c r="D387" s="1251"/>
      <c r="E387" s="1251"/>
      <c r="F387" s="1251"/>
      <c r="G387" s="1251"/>
      <c r="H387" s="1251"/>
      <c r="I387" s="3320"/>
      <c r="J387" s="3321"/>
      <c r="K387" s="1917" t="str">
        <f>IF(J388&lt;J387,"Threshold not met!","")</f>
        <v/>
      </c>
      <c r="L387" s="1252" t="s">
        <v>2967</v>
      </c>
      <c r="M387" s="1931" t="str">
        <f>'Part I-Project Information'!$F$28</f>
        <v>Hahira</v>
      </c>
      <c r="N387" s="1932"/>
      <c r="O387" s="1932"/>
      <c r="P387" s="1933"/>
    </row>
    <row r="388" spans="1:18" s="57" customFormat="1" ht="12" customHeight="1">
      <c r="A388" s="1257"/>
      <c r="B388" s="1257"/>
      <c r="C388" s="481" t="s">
        <v>4030</v>
      </c>
      <c r="H388" s="1254" t="str">
        <f>IF(I388&lt;I387,"Threshold not met!","")</f>
        <v/>
      </c>
      <c r="I388" s="3322"/>
      <c r="J388" s="3323"/>
      <c r="K388" s="1917"/>
      <c r="L388" s="61" t="s">
        <v>2968</v>
      </c>
      <c r="M388" s="1892" t="str">
        <f>'Part I-Project Information'!$J$29</f>
        <v>Lowndes</v>
      </c>
      <c r="N388" s="1893"/>
      <c r="O388" s="1893"/>
      <c r="P388" s="1894"/>
    </row>
    <row r="389" spans="1:18" s="57" customFormat="1" ht="12" customHeight="1">
      <c r="A389" s="1257"/>
      <c r="B389" s="1257"/>
      <c r="C389" s="481" t="s">
        <v>4032</v>
      </c>
      <c r="I389" s="3324"/>
      <c r="J389" s="3325"/>
      <c r="L389" s="481" t="s">
        <v>2969</v>
      </c>
      <c r="M389" s="1892" t="str">
        <f>'Part I-Project Information'!$O$30</f>
        <v>Valdosta</v>
      </c>
      <c r="N389" s="1893"/>
      <c r="O389" s="1893"/>
      <c r="P389" s="1894"/>
    </row>
    <row r="390" spans="1:18" s="57" customFormat="1" ht="12" customHeight="1">
      <c r="L390" s="481" t="s">
        <v>3052</v>
      </c>
      <c r="M390" s="1892" t="str">
        <f>VLOOKUP('Part I-Project Information'!$J$29,'DCA Underwriting Assumptions'!$G$141:$J$300,4)</f>
        <v>MSA</v>
      </c>
      <c r="N390" s="1893"/>
      <c r="O390" s="1893"/>
      <c r="P390" s="1894"/>
    </row>
    <row r="391" spans="1:18" s="57" customFormat="1" ht="12" customHeight="1">
      <c r="C391" s="481" t="s">
        <v>4033</v>
      </c>
      <c r="I391" s="1255">
        <f>IF(I388=0,0,I389/I388)</f>
        <v>0</v>
      </c>
      <c r="J391" s="1256">
        <f>IF(J388=0,0,J389/J388)</f>
        <v>0</v>
      </c>
      <c r="L391" s="57" t="s">
        <v>4031</v>
      </c>
      <c r="M391" s="1914" t="str">
        <f>'Part I-Project Information'!$K$30</f>
        <v>Rural</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3055"/>
      <c r="B394" s="3056"/>
      <c r="C394" s="3056"/>
      <c r="D394" s="3056"/>
      <c r="E394" s="3056"/>
      <c r="F394" s="3056"/>
      <c r="G394" s="3056"/>
      <c r="H394" s="3056"/>
      <c r="I394" s="3056"/>
      <c r="J394" s="3056"/>
      <c r="K394" s="3056"/>
      <c r="L394" s="3056"/>
      <c r="M394" s="3056"/>
      <c r="N394" s="3056"/>
      <c r="O394" s="3056"/>
      <c r="P394" s="3057"/>
      <c r="Q394" s="500" t="s">
        <v>1301</v>
      </c>
    </row>
    <row r="395" spans="1:18" s="44" customFormat="1" ht="11.25" customHeight="1">
      <c r="A395" s="43"/>
      <c r="B395" s="91" t="s">
        <v>1937</v>
      </c>
      <c r="C395" s="104"/>
      <c r="D395" s="91"/>
      <c r="E395" s="105"/>
      <c r="F395" s="1419"/>
      <c r="G395" s="1419"/>
      <c r="H395" s="1419"/>
      <c r="I395" s="1419"/>
      <c r="J395" s="1419"/>
      <c r="K395" s="1419"/>
      <c r="L395" s="1419"/>
      <c r="M395" s="1419"/>
      <c r="N395" s="79"/>
      <c r="O395" s="75"/>
      <c r="P395" s="1414"/>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2963</v>
      </c>
      <c r="B398" s="111" t="s">
        <v>1737</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4092</v>
      </c>
      <c r="D400" s="46"/>
      <c r="E400" s="46"/>
      <c r="F400" s="40"/>
      <c r="G400" s="37"/>
      <c r="I400" s="37"/>
      <c r="J400" s="37"/>
      <c r="K400" s="37"/>
      <c r="L400" s="417"/>
      <c r="M400" s="1414"/>
      <c r="N400" s="6"/>
      <c r="O400" s="1287">
        <v>10</v>
      </c>
      <c r="P400" s="1287">
        <v>10</v>
      </c>
      <c r="Q400" s="115"/>
    </row>
    <row r="401" spans="1:18" s="108" customFormat="1" ht="11.25" customHeight="1">
      <c r="A401" s="166"/>
      <c r="B401" s="92" t="s">
        <v>4093</v>
      </c>
      <c r="D401" s="46"/>
      <c r="E401" s="46"/>
      <c r="F401" s="40"/>
      <c r="G401" s="37"/>
      <c r="I401" s="37"/>
      <c r="J401" s="37"/>
      <c r="K401" s="37"/>
      <c r="L401" s="417"/>
      <c r="M401" s="1414"/>
      <c r="N401" s="6"/>
      <c r="O401" s="3326"/>
      <c r="P401" s="623"/>
      <c r="Q401" s="115"/>
    </row>
    <row r="402" spans="1:18" s="108" customFormat="1" ht="11.25" customHeight="1">
      <c r="A402" s="166"/>
      <c r="B402" s="92" t="s">
        <v>4094</v>
      </c>
      <c r="D402" s="46"/>
      <c r="E402" s="46"/>
      <c r="F402" s="40"/>
      <c r="G402" s="37"/>
      <c r="I402" s="37"/>
      <c r="J402" s="37"/>
      <c r="K402" s="37"/>
      <c r="L402" s="417"/>
      <c r="M402" s="1414"/>
      <c r="N402" s="6"/>
      <c r="O402" s="3327"/>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2058</v>
      </c>
      <c r="B404" s="195" t="s">
        <v>1492</v>
      </c>
      <c r="D404" s="34"/>
      <c r="E404" s="34"/>
      <c r="F404" s="34"/>
      <c r="G404" s="34"/>
      <c r="H404" s="34"/>
      <c r="I404" s="34"/>
      <c r="J404" s="34"/>
      <c r="K404" s="34"/>
      <c r="L404" s="34"/>
      <c r="M404" s="122"/>
      <c r="N404" s="525" t="s">
        <v>2058</v>
      </c>
      <c r="O404" s="3178"/>
      <c r="P404" s="1148"/>
      <c r="Q404" s="188" t="s">
        <v>2810</v>
      </c>
    </row>
    <row r="405" spans="1:18" s="108" customFormat="1" ht="11.25" customHeight="1">
      <c r="A405" s="71"/>
      <c r="B405" s="71" t="s">
        <v>1937</v>
      </c>
      <c r="C405" s="51"/>
      <c r="D405" s="71"/>
      <c r="E405" s="1424"/>
      <c r="F405" s="1424"/>
      <c r="G405" s="1424"/>
      <c r="H405" s="1424"/>
      <c r="I405" s="1424"/>
      <c r="J405" s="1424"/>
      <c r="K405" s="1424"/>
      <c r="L405" s="1424"/>
      <c r="M405" s="1424"/>
      <c r="N405" s="99"/>
      <c r="O405" s="1165"/>
      <c r="P405" s="1414"/>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4"/>
      <c r="O409" s="523"/>
      <c r="P409" s="523">
        <f>P214</f>
        <v>0</v>
      </c>
    </row>
    <row r="410" spans="1:18" s="43" customFormat="1" ht="13.5" customHeight="1">
      <c r="A410" s="56"/>
      <c r="B410" s="72"/>
      <c r="C410" s="56"/>
      <c r="D410" s="36"/>
      <c r="E410" s="36"/>
      <c r="F410" s="74"/>
      <c r="G410" s="74"/>
      <c r="I410" s="180" t="s">
        <v>3058</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3059</v>
      </c>
      <c r="J411" s="1419"/>
      <c r="K411" s="1419"/>
      <c r="L411" s="1419"/>
      <c r="M411" s="1419"/>
      <c r="N411" s="79"/>
      <c r="O411" s="75"/>
      <c r="P411" s="523">
        <f>P330</f>
        <v>0</v>
      </c>
    </row>
    <row r="412" spans="1:18" s="44" customFormat="1" ht="13.5" customHeight="1">
      <c r="A412" s="43"/>
      <c r="D412" s="40"/>
      <c r="E412" s="37"/>
      <c r="F412" s="1192"/>
      <c r="G412" s="1192"/>
      <c r="H412" s="4" t="s">
        <v>3060</v>
      </c>
      <c r="I412" s="1192"/>
      <c r="J412" s="1222"/>
      <c r="K412" s="1222"/>
      <c r="L412" s="1222"/>
      <c r="M412" s="63"/>
      <c r="N412" s="1192"/>
      <c r="O412" s="1418"/>
      <c r="P412" s="648">
        <f>P408-P409-P410-P411</f>
        <v>22</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4140</v>
      </c>
      <c r="B414" s="1799"/>
      <c r="C414" s="1799"/>
      <c r="D414" s="1799"/>
      <c r="E414" s="1799"/>
      <c r="F414" s="1799"/>
      <c r="G414" s="1799"/>
      <c r="H414" s="1799"/>
      <c r="I414" s="1799"/>
      <c r="J414" s="1799"/>
      <c r="K414" s="1799"/>
      <c r="L414" s="1799"/>
      <c r="M414" s="1799"/>
      <c r="N414" s="1799"/>
      <c r="O414" s="1799"/>
      <c r="P414" s="1799"/>
    </row>
    <row r="415" spans="1:18" s="44" customFormat="1" ht="146.25" customHeight="1">
      <c r="A415" s="3055" t="s">
        <v>4351</v>
      </c>
      <c r="B415" s="3056"/>
      <c r="C415" s="3056"/>
      <c r="D415" s="3056"/>
      <c r="E415" s="3056"/>
      <c r="F415" s="3056"/>
      <c r="G415" s="3056"/>
      <c r="H415" s="3056"/>
      <c r="I415" s="3056"/>
      <c r="J415" s="3056"/>
      <c r="K415" s="3056"/>
      <c r="L415" s="3056"/>
      <c r="M415" s="3056"/>
      <c r="N415" s="3056"/>
      <c r="O415" s="3056"/>
      <c r="P415" s="3057"/>
      <c r="Q415" s="500" t="s">
        <v>1301</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3649</v>
      </c>
      <c r="N438" s="1345"/>
      <c r="O438" s="1346"/>
      <c r="P438" s="1346"/>
    </row>
    <row r="439" spans="3:16" s="546" customFormat="1">
      <c r="C439" s="1290" t="s">
        <v>1441</v>
      </c>
      <c r="J439" s="1293" t="s">
        <v>3650</v>
      </c>
      <c r="N439" s="1345"/>
      <c r="O439" s="1346"/>
      <c r="P439" s="1346"/>
    </row>
    <row r="440" spans="3:16" s="546" customFormat="1">
      <c r="C440" s="1290" t="s">
        <v>2362</v>
      </c>
      <c r="J440" s="546" t="s">
        <v>3632</v>
      </c>
      <c r="N440" s="1345"/>
      <c r="O440" s="1346"/>
      <c r="P440" s="1346"/>
    </row>
    <row r="441" spans="3:16" s="546" customFormat="1">
      <c r="J441" s="546" t="s">
        <v>3633</v>
      </c>
      <c r="N441" s="1345"/>
      <c r="O441" s="1346"/>
      <c r="P441" s="1346"/>
    </row>
    <row r="442" spans="3:16" s="546" customFormat="1">
      <c r="J442" s="546" t="s">
        <v>3634</v>
      </c>
      <c r="N442" s="1345"/>
      <c r="O442" s="1346"/>
      <c r="P442" s="1346"/>
    </row>
    <row r="443" spans="3:16" s="546" customFormat="1">
      <c r="C443" s="1294" t="s">
        <v>2904</v>
      </c>
      <c r="G443" s="1295" t="s">
        <v>1560</v>
      </c>
      <c r="H443" s="1296"/>
      <c r="I443" s="1295"/>
      <c r="J443" s="546" t="s">
        <v>3635</v>
      </c>
      <c r="L443" s="1295"/>
      <c r="N443" s="1345"/>
      <c r="O443" s="1346"/>
      <c r="P443" s="1346"/>
    </row>
    <row r="444" spans="3:16" s="546" customFormat="1">
      <c r="C444" s="1297" t="s">
        <v>2906</v>
      </c>
      <c r="G444" s="1298" t="s">
        <v>2609</v>
      </c>
      <c r="H444" s="1296"/>
      <c r="I444" s="1298"/>
      <c r="J444" s="1296" t="s">
        <v>3636</v>
      </c>
      <c r="L444" s="1298"/>
      <c r="N444" s="1345"/>
      <c r="O444" s="1346"/>
      <c r="P444" s="1346"/>
    </row>
    <row r="445" spans="3:16" s="546" customFormat="1">
      <c r="C445" s="1297" t="s">
        <v>2907</v>
      </c>
      <c r="G445" s="1298" t="s">
        <v>1848</v>
      </c>
      <c r="H445" s="1296"/>
      <c r="I445" s="1299"/>
      <c r="J445" s="1296" t="s">
        <v>3637</v>
      </c>
      <c r="L445" s="1299"/>
      <c r="N445" s="1345"/>
      <c r="O445" s="1346"/>
      <c r="P445" s="1346"/>
    </row>
    <row r="446" spans="3:16" s="546" customFormat="1">
      <c r="C446" s="1297" t="s">
        <v>2908</v>
      </c>
      <c r="G446" s="1298" t="s">
        <v>1695</v>
      </c>
      <c r="H446" s="1296"/>
      <c r="I446" s="1299"/>
      <c r="J446" s="1296" t="s">
        <v>3638</v>
      </c>
      <c r="L446" s="1299"/>
      <c r="N446" s="1345"/>
      <c r="O446" s="1346"/>
      <c r="P446" s="1346"/>
    </row>
    <row r="447" spans="3:16" s="546" customFormat="1">
      <c r="C447" s="1297" t="s">
        <v>2909</v>
      </c>
      <c r="G447" s="1298" t="s">
        <v>3977</v>
      </c>
      <c r="H447" s="1296"/>
      <c r="I447" s="1299"/>
      <c r="J447" s="1296" t="s">
        <v>3639</v>
      </c>
      <c r="L447" s="1299"/>
      <c r="N447" s="1345"/>
      <c r="O447" s="1346"/>
      <c r="P447" s="1346"/>
    </row>
    <row r="448" spans="3:16" s="546" customFormat="1">
      <c r="C448" s="1297" t="s">
        <v>2910</v>
      </c>
      <c r="G448" s="1298" t="s">
        <v>2149</v>
      </c>
      <c r="H448" s="1296"/>
      <c r="I448" s="1299"/>
      <c r="J448" s="1296" t="s">
        <v>3640</v>
      </c>
      <c r="L448" s="1299"/>
      <c r="N448" s="1345"/>
      <c r="O448" s="1346"/>
      <c r="P448" s="1346"/>
    </row>
    <row r="449" spans="1:16" s="546" customFormat="1">
      <c r="C449" s="1297" t="s">
        <v>2911</v>
      </c>
      <c r="G449" s="1298" t="s">
        <v>12</v>
      </c>
      <c r="H449" s="1296"/>
      <c r="I449" s="1299"/>
      <c r="J449" s="1296" t="s">
        <v>3641</v>
      </c>
      <c r="L449" s="1299"/>
      <c r="N449" s="1345"/>
      <c r="O449" s="1346"/>
      <c r="P449" s="1346"/>
    </row>
    <row r="450" spans="1:16" s="546" customFormat="1">
      <c r="C450" s="1297"/>
      <c r="G450" s="1298" t="s">
        <v>1381</v>
      </c>
      <c r="H450" s="1296"/>
      <c r="I450" s="1299"/>
      <c r="J450" s="1296" t="s">
        <v>3642</v>
      </c>
      <c r="L450" s="1299"/>
      <c r="N450" s="1345"/>
      <c r="O450" s="1346"/>
      <c r="P450" s="1346"/>
    </row>
    <row r="451" spans="1:16" s="546" customFormat="1">
      <c r="C451" s="1297"/>
      <c r="G451" s="1298" t="s">
        <v>1561</v>
      </c>
      <c r="H451" s="1296"/>
      <c r="I451" s="1299"/>
      <c r="J451" s="1296" t="s">
        <v>3643</v>
      </c>
      <c r="L451" s="1299"/>
      <c r="N451" s="1345"/>
      <c r="O451" s="1346"/>
      <c r="P451" s="1346"/>
    </row>
    <row r="452" spans="1:16" s="546" customFormat="1">
      <c r="C452" s="1297"/>
      <c r="G452" s="1298" t="s">
        <v>1059</v>
      </c>
      <c r="H452" s="1296"/>
      <c r="I452" s="1299"/>
      <c r="J452" s="1296" t="s">
        <v>3644</v>
      </c>
      <c r="L452" s="1299"/>
      <c r="N452" s="1345"/>
      <c r="O452" s="1346"/>
      <c r="P452" s="1346"/>
    </row>
    <row r="453" spans="1:16" s="546" customFormat="1">
      <c r="G453" s="1298" t="s">
        <v>1824</v>
      </c>
      <c r="H453" s="1296"/>
      <c r="I453" s="1299"/>
      <c r="J453" s="1296" t="s">
        <v>3645</v>
      </c>
      <c r="L453" s="1299"/>
      <c r="N453" s="1345"/>
      <c r="O453" s="1346"/>
      <c r="P453" s="1346"/>
    </row>
    <row r="454" spans="1:16" s="546" customFormat="1">
      <c r="G454" s="1298" t="s">
        <v>2575</v>
      </c>
      <c r="H454" s="1296"/>
      <c r="I454" s="1299"/>
      <c r="J454" s="1296" t="s">
        <v>3646</v>
      </c>
      <c r="L454" s="1299"/>
      <c r="N454" s="1345"/>
      <c r="O454" s="1346"/>
      <c r="P454" s="1346"/>
    </row>
    <row r="455" spans="1:16" s="546" customFormat="1">
      <c r="A455" s="1294" t="s">
        <v>2913</v>
      </c>
      <c r="G455" s="1298" t="s">
        <v>2136</v>
      </c>
      <c r="H455" s="1296"/>
      <c r="I455" s="1299"/>
      <c r="J455" s="1296" t="s">
        <v>3647</v>
      </c>
      <c r="L455" s="1299"/>
      <c r="N455" s="1345"/>
      <c r="O455" s="1346"/>
      <c r="P455" s="1346"/>
    </row>
    <row r="456" spans="1:16" s="546" customFormat="1">
      <c r="A456" s="1294" t="s">
        <v>2946</v>
      </c>
      <c r="G456" s="1298" t="s">
        <v>625</v>
      </c>
      <c r="H456" s="1296"/>
      <c r="I456" s="1299"/>
      <c r="J456" s="1296" t="s">
        <v>3648</v>
      </c>
      <c r="L456" s="1299"/>
      <c r="N456" s="1345"/>
      <c r="O456" s="1346"/>
      <c r="P456" s="1346"/>
    </row>
    <row r="457" spans="1:16" s="546" customFormat="1">
      <c r="A457" s="1297" t="s">
        <v>3580</v>
      </c>
      <c r="D457" s="1300"/>
      <c r="E457" s="1301">
        <v>3</v>
      </c>
      <c r="G457" s="1298" t="s">
        <v>348</v>
      </c>
      <c r="H457" s="1296"/>
      <c r="I457" s="1299"/>
      <c r="J457" s="1296"/>
      <c r="L457" s="1299"/>
      <c r="N457" s="1345"/>
      <c r="O457" s="1346"/>
      <c r="P457" s="1346"/>
    </row>
    <row r="458" spans="1:16" s="546" customFormat="1">
      <c r="A458" s="1297" t="s">
        <v>3581</v>
      </c>
      <c r="D458" s="1300"/>
      <c r="E458" s="1301">
        <v>2</v>
      </c>
      <c r="G458" s="1298" t="s">
        <v>906</v>
      </c>
      <c r="H458" s="1296"/>
      <c r="I458" s="1299"/>
      <c r="J458" s="1296"/>
      <c r="L458" s="1299"/>
      <c r="N458" s="1345"/>
      <c r="O458" s="1346"/>
      <c r="P458" s="1346"/>
    </row>
    <row r="459" spans="1:16" s="546" customFormat="1">
      <c r="A459" s="1297" t="s">
        <v>3582</v>
      </c>
      <c r="D459" s="1300"/>
      <c r="E459" s="1301">
        <v>10</v>
      </c>
      <c r="G459" s="1298" t="s">
        <v>1998</v>
      </c>
      <c r="H459" s="1296"/>
      <c r="I459" s="1299"/>
      <c r="J459" s="1296"/>
      <c r="L459" s="1299"/>
      <c r="N459" s="1345"/>
      <c r="O459" s="1346"/>
      <c r="P459" s="1346"/>
    </row>
    <row r="460" spans="1:16" s="546" customFormat="1">
      <c r="A460" s="1297" t="s">
        <v>2947</v>
      </c>
      <c r="D460" s="1300"/>
      <c r="E460" s="1300"/>
      <c r="G460" s="1298" t="s">
        <v>472</v>
      </c>
      <c r="H460" s="1296"/>
      <c r="I460" s="1299"/>
      <c r="J460" s="1296"/>
      <c r="L460" s="1299"/>
      <c r="N460" s="1345"/>
      <c r="O460" s="1346"/>
      <c r="P460" s="1346"/>
    </row>
    <row r="461" spans="1:16" s="546" customFormat="1">
      <c r="C461" s="1297"/>
      <c r="G461" s="1298" t="s">
        <v>3978</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3603</v>
      </c>
      <c r="H471" s="1299"/>
      <c r="I471" s="1296"/>
      <c r="J471" s="1296"/>
      <c r="K471" s="546"/>
      <c r="L471" s="1299"/>
      <c r="M471" s="546"/>
      <c r="N471" s="130"/>
      <c r="O471" s="1410"/>
      <c r="P471" s="1410"/>
    </row>
    <row r="472" spans="1:16" s="172" customFormat="1">
      <c r="A472" s="546"/>
      <c r="B472" s="546"/>
      <c r="C472" s="546"/>
      <c r="D472" s="1303"/>
      <c r="E472" s="546"/>
      <c r="F472" s="546"/>
      <c r="G472" s="1298" t="s">
        <v>853</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540</v>
      </c>
      <c r="H474" s="1299"/>
      <c r="I474" s="1296"/>
      <c r="J474" s="1296"/>
      <c r="K474" s="546"/>
      <c r="L474" s="1299"/>
      <c r="M474" s="546"/>
      <c r="N474" s="130"/>
      <c r="O474" s="1410"/>
      <c r="P474" s="1410"/>
    </row>
    <row r="475" spans="1:16" s="172" customFormat="1">
      <c r="A475" s="546"/>
      <c r="B475" s="546"/>
      <c r="C475" s="546"/>
      <c r="D475" s="546"/>
      <c r="E475" s="546"/>
      <c r="F475" s="546"/>
      <c r="G475" s="1298" t="s">
        <v>548</v>
      </c>
      <c r="H475" s="1299"/>
      <c r="I475" s="1296"/>
      <c r="J475" s="1296"/>
      <c r="K475" s="546"/>
      <c r="L475" s="1299"/>
      <c r="M475" s="546"/>
      <c r="N475" s="130"/>
      <c r="O475" s="1410"/>
      <c r="P475" s="1410"/>
    </row>
    <row r="476" spans="1:16" s="172" customFormat="1" ht="13.5">
      <c r="A476" s="546"/>
      <c r="B476" s="546"/>
      <c r="C476" s="1302"/>
      <c r="D476" s="546"/>
      <c r="E476" s="546"/>
      <c r="F476" s="546"/>
      <c r="G476" s="1298" t="s">
        <v>561</v>
      </c>
      <c r="H476" s="1304"/>
      <c r="I476" s="1296"/>
      <c r="J476" s="1296"/>
      <c r="K476" s="546"/>
      <c r="L476" s="1299"/>
      <c r="M476" s="546"/>
      <c r="N476" s="130"/>
      <c r="O476" s="1410"/>
      <c r="P476" s="1410"/>
    </row>
    <row r="477" spans="1:16" s="172" customFormat="1" ht="13.5">
      <c r="A477" s="546"/>
      <c r="B477" s="546"/>
      <c r="C477" s="1302"/>
      <c r="D477" s="546"/>
      <c r="E477" s="546"/>
      <c r="F477" s="546"/>
      <c r="G477" s="1298" t="s">
        <v>1694</v>
      </c>
      <c r="H477" s="1304"/>
      <c r="I477" s="1296"/>
      <c r="J477" s="1296"/>
      <c r="K477" s="546"/>
      <c r="L477" s="1299"/>
      <c r="M477" s="546"/>
      <c r="N477" s="130"/>
      <c r="O477" s="1410"/>
      <c r="P477" s="1410"/>
    </row>
    <row r="478" spans="1:16" s="172" customFormat="1" ht="13.5">
      <c r="A478" s="546"/>
      <c r="B478" s="546"/>
      <c r="C478" s="1302"/>
      <c r="D478" s="546"/>
      <c r="E478" s="546"/>
      <c r="F478" s="546"/>
      <c r="G478" s="1298" t="s">
        <v>2173</v>
      </c>
      <c r="H478" s="1304"/>
      <c r="I478" s="1296"/>
      <c r="J478" s="1296"/>
      <c r="K478" s="546"/>
      <c r="L478" s="1299"/>
      <c r="M478" s="546"/>
      <c r="N478" s="130"/>
      <c r="O478" s="1410"/>
      <c r="P478" s="1410"/>
    </row>
    <row r="479" spans="1:16" s="172" customFormat="1">
      <c r="A479" s="546"/>
      <c r="B479" s="546"/>
      <c r="C479" s="1302"/>
      <c r="D479" s="546"/>
      <c r="E479" s="546"/>
      <c r="F479" s="546"/>
      <c r="G479" s="1298" t="s">
        <v>2328</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2200</v>
      </c>
      <c r="H481" s="1296"/>
      <c r="I481" s="1296"/>
      <c r="J481" s="1296"/>
      <c r="K481" s="546"/>
      <c r="L481" s="1305"/>
      <c r="M481" s="546"/>
      <c r="N481" s="130"/>
      <c r="O481" s="1410"/>
      <c r="P481" s="1410"/>
    </row>
    <row r="482" spans="1:16" s="172" customFormat="1" ht="13.5">
      <c r="A482" s="546"/>
      <c r="B482" s="546"/>
      <c r="C482" s="1302"/>
      <c r="D482" s="546"/>
      <c r="E482" s="546"/>
      <c r="F482" s="546"/>
      <c r="G482" s="1298" t="s">
        <v>1496</v>
      </c>
      <c r="H482" s="1296"/>
      <c r="I482" s="1296"/>
      <c r="J482" s="1296"/>
      <c r="K482" s="546"/>
      <c r="L482" s="1304"/>
      <c r="M482" s="546"/>
      <c r="N482" s="130"/>
      <c r="O482" s="1410"/>
      <c r="P482" s="1410"/>
    </row>
    <row r="483" spans="1:16" s="172" customFormat="1" ht="13.5">
      <c r="A483" s="546"/>
      <c r="B483" s="546"/>
      <c r="C483" s="1303"/>
      <c r="D483" s="546"/>
      <c r="E483" s="546"/>
      <c r="F483" s="546"/>
      <c r="G483" s="1298" t="s">
        <v>1613</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1080</v>
      </c>
      <c r="H486" s="1296"/>
      <c r="I486" s="1296"/>
      <c r="J486" s="1296"/>
      <c r="K486" s="1296"/>
      <c r="L486" s="546"/>
      <c r="M486" s="546"/>
      <c r="N486" s="130"/>
      <c r="O486" s="1410"/>
      <c r="P486" s="1410"/>
    </row>
    <row r="487" spans="1:16" s="172" customFormat="1">
      <c r="A487" s="546"/>
      <c r="B487" s="546"/>
      <c r="C487" s="546"/>
      <c r="D487" s="546"/>
      <c r="E487" s="546"/>
      <c r="F487" s="546"/>
      <c r="G487" s="1298" t="s">
        <v>2348</v>
      </c>
      <c r="H487" s="1296"/>
      <c r="I487" s="1296"/>
      <c r="J487" s="1296"/>
      <c r="K487" s="1296"/>
      <c r="L487" s="546"/>
      <c r="M487" s="546"/>
      <c r="N487" s="130"/>
      <c r="O487" s="1410"/>
      <c r="P487" s="1410"/>
    </row>
    <row r="488" spans="1:16" s="172" customFormat="1" ht="13.5">
      <c r="A488" s="546"/>
      <c r="B488" s="546"/>
      <c r="C488" s="546"/>
      <c r="D488" s="546"/>
      <c r="E488" s="546"/>
      <c r="F488" s="546"/>
      <c r="G488" s="1306" t="s">
        <v>2242</v>
      </c>
      <c r="H488" s="1296"/>
      <c r="I488" s="1296"/>
      <c r="J488" s="1296"/>
      <c r="K488" s="1296"/>
      <c r="L488" s="546"/>
      <c r="M488" s="546"/>
      <c r="N488" s="130"/>
      <c r="O488" s="1410"/>
      <c r="P488" s="1410"/>
    </row>
    <row r="489" spans="1:16" s="172" customFormat="1" ht="13.5">
      <c r="A489" s="546"/>
      <c r="B489" s="546"/>
      <c r="C489" s="546"/>
      <c r="D489" s="546"/>
      <c r="E489" s="546"/>
      <c r="F489" s="546"/>
      <c r="G489" s="1306" t="s">
        <v>1698</v>
      </c>
      <c r="H489" s="1296"/>
      <c r="I489" s="1296"/>
      <c r="J489" s="1296"/>
      <c r="K489" s="1296"/>
      <c r="L489" s="546"/>
      <c r="M489" s="546"/>
      <c r="N489" s="130"/>
      <c r="O489" s="1410"/>
      <c r="P489" s="1410"/>
    </row>
    <row r="490" spans="1:16" s="172" customFormat="1" ht="13.5">
      <c r="A490" s="546"/>
      <c r="B490" s="546"/>
      <c r="C490" s="546"/>
      <c r="D490" s="546"/>
      <c r="E490" s="546"/>
      <c r="F490" s="546"/>
      <c r="G490" s="1306" t="s">
        <v>2340</v>
      </c>
      <c r="H490" s="1296"/>
      <c r="I490" s="1296"/>
      <c r="J490" s="1296"/>
      <c r="K490" s="1296"/>
      <c r="L490" s="546"/>
      <c r="M490" s="546"/>
      <c r="N490" s="130"/>
      <c r="O490" s="1410"/>
      <c r="P490" s="1410"/>
    </row>
    <row r="491" spans="1:16" s="172" customFormat="1" ht="13.5">
      <c r="A491" s="546"/>
      <c r="B491" s="546"/>
      <c r="C491" s="546"/>
      <c r="D491" s="546"/>
      <c r="E491" s="546"/>
      <c r="F491" s="546"/>
      <c r="G491" s="1306" t="s">
        <v>2205</v>
      </c>
      <c r="H491" s="1296"/>
      <c r="I491" s="1296"/>
      <c r="J491" s="1296"/>
      <c r="K491" s="1296"/>
      <c r="L491" s="546"/>
      <c r="M491" s="546"/>
      <c r="N491" s="130"/>
      <c r="O491" s="1410"/>
      <c r="P491" s="1410"/>
    </row>
    <row r="492" spans="1:16" s="172" customFormat="1" ht="13.5">
      <c r="A492" s="546"/>
      <c r="B492" s="546"/>
      <c r="C492" s="546"/>
      <c r="D492" s="546"/>
      <c r="E492" s="546"/>
      <c r="F492" s="546"/>
      <c r="G492" s="1306" t="s">
        <v>1699</v>
      </c>
      <c r="H492" s="1296"/>
      <c r="I492" s="1296"/>
      <c r="J492" s="1296"/>
      <c r="K492" s="1296"/>
      <c r="L492" s="546"/>
      <c r="M492" s="546"/>
      <c r="N492" s="130"/>
      <c r="O492" s="1410"/>
      <c r="P492" s="1410"/>
    </row>
    <row r="493" spans="1:16" s="172" customFormat="1" ht="13.5">
      <c r="A493" s="546"/>
      <c r="B493" s="546"/>
      <c r="C493" s="546"/>
      <c r="D493" s="546"/>
      <c r="E493" s="546"/>
      <c r="F493" s="546"/>
      <c r="G493" s="1306" t="s">
        <v>2415</v>
      </c>
      <c r="H493" s="1296"/>
      <c r="I493" s="1296"/>
      <c r="J493" s="1296"/>
      <c r="K493" s="1296"/>
      <c r="L493" s="546"/>
      <c r="M493" s="546"/>
      <c r="N493" s="130"/>
      <c r="O493" s="1410"/>
      <c r="P493" s="1410"/>
    </row>
    <row r="494" spans="1:16" s="172" customFormat="1" ht="13.5">
      <c r="A494" s="546"/>
      <c r="B494" s="546"/>
      <c r="C494" s="546"/>
      <c r="D494" s="546"/>
      <c r="E494" s="546"/>
      <c r="F494" s="546"/>
      <c r="G494" s="1306" t="s">
        <v>1750</v>
      </c>
      <c r="H494" s="1296"/>
      <c r="I494" s="1296"/>
      <c r="J494" s="1296"/>
      <c r="K494" s="1296"/>
      <c r="L494" s="546"/>
      <c r="M494" s="546"/>
      <c r="N494" s="130"/>
      <c r="O494" s="1410"/>
      <c r="P494" s="1410"/>
    </row>
    <row r="495" spans="1:16" s="172" customFormat="1" ht="13.5">
      <c r="A495" s="546"/>
      <c r="B495" s="546"/>
      <c r="C495" s="546"/>
      <c r="D495" s="546"/>
      <c r="E495" s="546"/>
      <c r="F495" s="546"/>
      <c r="G495" s="1304" t="s">
        <v>2341</v>
      </c>
      <c r="H495" s="1296"/>
      <c r="I495" s="1296"/>
      <c r="J495" s="1296"/>
      <c r="K495" s="1296"/>
      <c r="L495" s="546"/>
      <c r="M495" s="546"/>
      <c r="N495" s="130"/>
      <c r="O495" s="1410"/>
      <c r="P495" s="1410"/>
    </row>
    <row r="496" spans="1:16" s="172" customFormat="1" ht="13.5">
      <c r="A496" s="546"/>
      <c r="B496" s="546"/>
      <c r="C496" s="546"/>
      <c r="D496" s="546"/>
      <c r="E496" s="546"/>
      <c r="F496" s="546"/>
      <c r="G496" s="1304" t="s">
        <v>1760</v>
      </c>
      <c r="H496" s="1296"/>
      <c r="I496" s="1296"/>
      <c r="J496" s="1296"/>
      <c r="K496" s="1296"/>
      <c r="L496" s="546"/>
      <c r="M496" s="546"/>
      <c r="N496" s="130"/>
      <c r="O496" s="1410"/>
      <c r="P496" s="1410"/>
    </row>
    <row r="497" spans="1:19" s="172" customFormat="1" ht="13.5">
      <c r="A497" s="546"/>
      <c r="B497" s="546"/>
      <c r="C497" s="546"/>
      <c r="D497" s="546"/>
      <c r="E497" s="546"/>
      <c r="F497" s="546"/>
      <c r="G497" s="1304" t="s">
        <v>1765</v>
      </c>
      <c r="H497" s="546"/>
      <c r="I497" s="546"/>
      <c r="J497" s="1296"/>
      <c r="K497" s="546"/>
      <c r="L497" s="546"/>
      <c r="M497" s="546"/>
      <c r="N497" s="130"/>
      <c r="O497" s="1410"/>
      <c r="P497" s="1410"/>
    </row>
    <row r="498" spans="1:19" s="172" customFormat="1" ht="13.5">
      <c r="A498" s="546"/>
      <c r="B498" s="546"/>
      <c r="C498" s="546"/>
      <c r="D498" s="546"/>
      <c r="E498" s="546"/>
      <c r="F498" s="546"/>
      <c r="G498" s="1304" t="s">
        <v>1768</v>
      </c>
      <c r="H498" s="546"/>
      <c r="I498" s="546"/>
      <c r="J498" s="546"/>
      <c r="K498" s="546"/>
      <c r="L498" s="546"/>
      <c r="M498" s="546"/>
      <c r="N498" s="130"/>
      <c r="O498" s="1410"/>
      <c r="P498" s="1410"/>
    </row>
    <row r="499" spans="1:19" s="172" customFormat="1" ht="13.5">
      <c r="A499" s="546"/>
      <c r="B499" s="546"/>
      <c r="C499" s="546"/>
      <c r="D499" s="546"/>
      <c r="E499" s="546"/>
      <c r="F499" s="546"/>
      <c r="G499" s="1304" t="s">
        <v>1773</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Az+zjv9EqrWp2VCU/JYjYWwlgX6qUYBS42vWprILkSZT0FyVApN7b27aELlG6J8cqnga072FgRta8dQCjVm8nQ==" saltValue="doobWedOnffmcBTOfzERHw=="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4171</v>
      </c>
    </row>
    <row r="2" spans="1:6" s="34" customFormat="1" ht="13.5" customHeight="1">
      <c r="A2" s="1155" t="str">
        <f>'Part I-Project Information'!$F$24</f>
        <v>The Village on Park</v>
      </c>
    </row>
    <row r="3" spans="1:6" s="34" customFormat="1" ht="13.5" customHeight="1">
      <c r="A3" s="1155" t="str">
        <f>CONCATENATE('Part I-Project Information'!$F$28,", ", 'Part I-Project Information'!$J$29," County")</f>
        <v>Hahira, Lowndes County</v>
      </c>
    </row>
    <row r="4" spans="1:6" ht="6.75" customHeight="1"/>
    <row r="5" spans="1:6" ht="113.25" customHeight="1">
      <c r="A5" s="2617" t="s">
        <v>2792</v>
      </c>
      <c r="B5" s="1773" t="s">
        <v>2793</v>
      </c>
      <c r="C5" s="1442"/>
      <c r="D5" s="1442"/>
      <c r="E5" s="1442"/>
      <c r="F5" s="1442"/>
    </row>
    <row r="6" spans="1:6" ht="6.6" customHeight="1">
      <c r="A6" s="2617"/>
      <c r="B6" s="1773"/>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Lg3SV3YRrxG7yh9nDPsi8r+dz/p5w3dD9W0N+8fvwbv6YP19sc1CJv13tyhJJ69ejLkgo0tmyCn87lbQ7cdHw==" saltValue="Sale5cPSqIR9SioBBOhf7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3766</v>
      </c>
    </row>
    <row r="2" spans="1:6" s="34" customFormat="1" ht="13.5" customHeight="1">
      <c r="A2" s="1155" t="str">
        <f>'Part I-Project Information'!$F$24</f>
        <v>The Village on Park</v>
      </c>
    </row>
    <row r="3" spans="1:6" s="34" customFormat="1" ht="13.5" customHeight="1">
      <c r="A3" s="1155" t="str">
        <f>CONCATENATE('Part I-Project Information'!$F$28,", ", 'Part I-Project Information'!$J$29," County")</f>
        <v>Hahira, Lowndes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7" t="s">
        <v>2792</v>
      </c>
      <c r="B6" s="1773" t="s">
        <v>2793</v>
      </c>
      <c r="C6" s="1442"/>
      <c r="D6" s="1442"/>
      <c r="E6" s="1442"/>
      <c r="F6" s="1442"/>
    </row>
    <row r="7" spans="1:6" ht="6.6" customHeight="1">
      <c r="A7" s="2617"/>
      <c r="B7" s="1773"/>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qf0hpd8zlFLbnbFW2UVbNw8kmkKhv+LCQ6LihkY0NBMdJd+s4AhJ++dLY6RkzwoB8anPHO6ILXYPepleF2u7XQ==" saltValue="Qlf9Dm7+9eD6a5TRieTlF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3071</v>
      </c>
      <c r="B1" s="1937"/>
      <c r="C1" s="1937"/>
      <c r="D1" s="1937"/>
      <c r="E1" s="1937"/>
      <c r="F1" s="1937"/>
      <c r="G1" s="1937"/>
      <c r="H1" s="1937"/>
      <c r="I1" s="1937"/>
      <c r="J1" s="1937"/>
    </row>
    <row r="2" spans="1:11" ht="15.75">
      <c r="A2" s="1937" t="str">
        <f>Overview!C8</f>
        <v>The Village on Park</v>
      </c>
      <c r="B2" s="1937"/>
      <c r="C2" s="1937"/>
      <c r="D2" s="1937"/>
      <c r="E2" s="1937"/>
      <c r="F2" s="1937"/>
      <c r="G2" s="1937"/>
      <c r="H2" s="1937"/>
      <c r="I2" s="1937"/>
      <c r="J2" s="1937"/>
    </row>
    <row r="3" spans="1:11" ht="15.75">
      <c r="A3" s="1937" t="str">
        <f>'Subsidy Layering Memo'!F14</f>
        <v>Hahira, Lowndes</v>
      </c>
      <c r="B3" s="1937"/>
      <c r="C3" s="1937"/>
      <c r="D3" s="1937"/>
      <c r="E3" s="1937"/>
      <c r="F3" s="1937"/>
      <c r="G3" s="1937"/>
      <c r="H3" s="1937"/>
      <c r="I3" s="1937"/>
      <c r="J3" s="1937"/>
    </row>
    <row r="4" spans="1:11" ht="15.75">
      <c r="A4" s="1938" t="s">
        <v>3072</v>
      </c>
      <c r="B4" s="1937"/>
      <c r="C4" s="1937"/>
      <c r="D4" s="1937"/>
      <c r="E4" s="1937"/>
      <c r="F4" s="1937"/>
      <c r="G4" s="1937"/>
      <c r="H4" s="1937"/>
      <c r="I4" s="1937"/>
      <c r="J4" s="1937"/>
    </row>
    <row r="5" spans="1:11" ht="5.25" customHeight="1"/>
    <row r="6" spans="1:11" ht="5.25" customHeight="1"/>
    <row r="7" spans="1:11" ht="15.75">
      <c r="A7" s="1939" t="s">
        <v>3073</v>
      </c>
      <c r="B7" s="1939"/>
      <c r="C7" s="1940"/>
    </row>
    <row r="8" spans="1:11" ht="123" customHeight="1">
      <c r="A8" s="1936" t="s">
        <v>3596</v>
      </c>
      <c r="B8" s="1936"/>
      <c r="C8" s="1936"/>
      <c r="D8" s="1936"/>
      <c r="E8" s="1936"/>
      <c r="F8" s="1936"/>
      <c r="G8" s="1936"/>
      <c r="H8" s="1936"/>
      <c r="I8" s="1936"/>
      <c r="J8" s="1936"/>
      <c r="K8" s="887"/>
    </row>
    <row r="9" spans="1:11" ht="15.75">
      <c r="A9" s="888" t="s">
        <v>3074</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3075</v>
      </c>
      <c r="B13" s="889"/>
    </row>
    <row r="14" spans="1:11">
      <c r="A14" s="886" t="s">
        <v>3076</v>
      </c>
      <c r="E14" s="890" t="s">
        <v>3077</v>
      </c>
    </row>
    <row r="15" spans="1:11">
      <c r="A15" s="886" t="s">
        <v>3078</v>
      </c>
      <c r="D15" s="891">
        <f>Overview!C25</f>
        <v>1060000</v>
      </c>
    </row>
    <row r="16" spans="1:11">
      <c r="A16" s="892" t="s">
        <v>3079</v>
      </c>
      <c r="D16" s="893" t="e">
        <f>Overview!C13</f>
        <v>#REF!</v>
      </c>
    </row>
    <row r="17" spans="1:11" ht="14.25" customHeight="1"/>
    <row r="18" spans="1:11" ht="15.75">
      <c r="A18" s="888" t="s">
        <v>3080</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3081</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The Village on Park</v>
      </c>
    </row>
    <row r="13" spans="1:10" ht="15">
      <c r="A13" s="901"/>
      <c r="D13" s="900" t="s">
        <v>3095</v>
      </c>
      <c r="F13" s="903" t="str">
        <f>Overview!E8</f>
        <v>2016-028</v>
      </c>
    </row>
    <row r="14" spans="1:10" ht="15">
      <c r="A14" s="901"/>
      <c r="D14" s="900" t="s">
        <v>3096</v>
      </c>
      <c r="F14" s="903" t="str">
        <f>Overview!H8</f>
        <v>Hahira, Lowndes</v>
      </c>
    </row>
    <row r="15" spans="1:10" ht="15">
      <c r="A15" s="901"/>
      <c r="D15" s="900" t="s">
        <v>3484</v>
      </c>
      <c r="F15" s="904">
        <f>Overview!$C$25</f>
        <v>1060000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45" t="s">
        <v>3776</v>
      </c>
      <c r="B22" s="1945"/>
      <c r="C22" s="1945"/>
      <c r="D22" s="1945"/>
      <c r="E22" s="1945"/>
      <c r="F22" s="1945"/>
      <c r="G22" s="1945"/>
      <c r="H22" s="1945"/>
      <c r="I22" s="1945"/>
      <c r="J22" s="1945"/>
      <c r="L22" s="1946" t="s">
        <v>3495</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3099</v>
      </c>
    </row>
    <row r="27" spans="1:18" ht="14.25" customHeight="1">
      <c r="A27" s="1949" t="s">
        <v>3100</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3101</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3102</v>
      </c>
    </row>
    <row r="41" spans="1:10" ht="135" customHeight="1">
      <c r="A41" s="1948" t="s">
        <v>3597</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3103</v>
      </c>
    </row>
    <row r="44" spans="1:10" ht="33" customHeight="1">
      <c r="A44" s="1944" t="s">
        <v>3104</v>
      </c>
      <c r="B44" s="1950"/>
      <c r="C44" s="1950"/>
      <c r="D44" s="1950"/>
      <c r="E44" s="1950"/>
      <c r="F44" s="1950"/>
      <c r="G44" s="1950"/>
      <c r="H44" s="1950"/>
      <c r="I44" s="1950"/>
      <c r="J44" s="1944"/>
    </row>
    <row r="45" spans="1:10" ht="3" customHeight="1"/>
    <row r="46" spans="1:10" ht="72.75" customHeight="1">
      <c r="A46" s="1944" t="s">
        <v>3105</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3106</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3107</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3496</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3108</v>
      </c>
      <c r="B54" s="1952"/>
      <c r="C54" s="1952"/>
      <c r="D54" s="1952"/>
      <c r="E54" s="1952"/>
      <c r="F54" s="1952"/>
      <c r="G54" s="1952"/>
      <c r="H54" s="1952"/>
      <c r="I54" s="1952"/>
      <c r="J54" s="1952"/>
    </row>
    <row r="55" spans="1:17" ht="3" customHeight="1"/>
    <row r="56" spans="1:17" ht="73.5" customHeight="1">
      <c r="A56" s="1944" t="s">
        <v>3109</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3110</v>
      </c>
      <c r="L58" s="912" t="s">
        <v>3768</v>
      </c>
    </row>
    <row r="59" spans="1:17" ht="73.5" customHeight="1">
      <c r="A59" s="1945" t="s">
        <v>3111</v>
      </c>
      <c r="B59" s="1945"/>
      <c r="C59" s="1945"/>
      <c r="D59" s="1945"/>
      <c r="E59" s="1945"/>
      <c r="F59" s="1945"/>
      <c r="G59" s="1945"/>
      <c r="H59" s="1945"/>
      <c r="I59" s="1945"/>
      <c r="J59" s="1945"/>
      <c r="L59" s="913">
        <f>'Closing term sheet'!C135</f>
        <v>680252</v>
      </c>
      <c r="M59" s="914"/>
      <c r="N59" s="914"/>
      <c r="O59" s="914"/>
    </row>
    <row r="60" spans="1:17" ht="7.5" customHeight="1">
      <c r="A60" s="909"/>
      <c r="B60" s="909"/>
      <c r="C60" s="909"/>
      <c r="D60" s="909"/>
      <c r="E60" s="909"/>
      <c r="F60" s="909"/>
      <c r="G60" s="909"/>
      <c r="H60" s="909"/>
      <c r="I60" s="909"/>
      <c r="J60" s="909"/>
      <c r="L60" s="915" t="s">
        <v>3769</v>
      </c>
      <c r="M60" s="916" t="s">
        <v>3774</v>
      </c>
      <c r="N60" s="917" t="s">
        <v>3771</v>
      </c>
      <c r="O60" s="915" t="s">
        <v>3770</v>
      </c>
      <c r="P60" s="916" t="s">
        <v>3773</v>
      </c>
      <c r="Q60" s="917" t="s">
        <v>3772</v>
      </c>
    </row>
    <row r="61" spans="1:17" ht="78.75" customHeight="1">
      <c r="A61" s="1952" t="s">
        <v>3598</v>
      </c>
      <c r="B61" s="1952"/>
      <c r="C61" s="1952"/>
      <c r="D61" s="1952"/>
      <c r="E61" s="1952"/>
      <c r="F61" s="1952"/>
      <c r="G61" s="1952"/>
      <c r="H61" s="1952"/>
      <c r="I61" s="1952"/>
      <c r="J61" s="918"/>
      <c r="L61" s="919">
        <f>'Part III-Sources of Funds'!I45</f>
        <v>6943335</v>
      </c>
      <c r="M61" s="920">
        <f>'Part IV-Uses of Funds'!$J$174</f>
        <v>820454</v>
      </c>
      <c r="N61" s="921">
        <f>'Part IV-Uses of Funds'!N167</f>
        <v>0.85</v>
      </c>
      <c r="O61" s="919">
        <f>'Part III-Sources of Funds'!I46</f>
        <v>2531513</v>
      </c>
      <c r="P61" s="920">
        <f>M61</f>
        <v>820454</v>
      </c>
      <c r="Q61" s="921">
        <f>'Part IV-Uses of Funds'!Q167</f>
        <v>0.3</v>
      </c>
    </row>
    <row r="62" spans="1:17" ht="18.75" customHeight="1">
      <c r="A62" s="922" t="s">
        <v>3112</v>
      </c>
    </row>
    <row r="63" spans="1:17" ht="159.75" customHeight="1">
      <c r="A63" s="1952" t="s">
        <v>3599</v>
      </c>
      <c r="B63" s="1952"/>
      <c r="C63" s="1952"/>
      <c r="D63" s="1952"/>
      <c r="E63" s="1952"/>
      <c r="F63" s="1952"/>
      <c r="G63" s="1952"/>
      <c r="H63" s="1952"/>
      <c r="I63" s="1952"/>
      <c r="J63" s="1952"/>
      <c r="L63" s="923">
        <f>'Part VII-Pro Forma'!K67</f>
        <v>790797.34335938434</v>
      </c>
      <c r="M63" s="1956" t="s">
        <v>3775</v>
      </c>
      <c r="N63" s="1957"/>
    </row>
    <row r="64" spans="1:17" ht="6" customHeight="1">
      <c r="A64" s="908"/>
    </row>
    <row r="65" spans="1:10" ht="15">
      <c r="A65" s="908" t="s">
        <v>3113</v>
      </c>
    </row>
    <row r="66" spans="1:10" ht="66.75" customHeight="1">
      <c r="A66" s="1952" t="s">
        <v>3114</v>
      </c>
      <c r="B66" s="1952"/>
      <c r="C66" s="1952"/>
      <c r="D66" s="1952"/>
      <c r="E66" s="1952"/>
      <c r="F66" s="1952"/>
      <c r="G66" s="1952"/>
      <c r="H66" s="1952"/>
      <c r="I66" s="1952"/>
      <c r="J66" s="1952"/>
    </row>
    <row r="67" spans="1:10" ht="36" customHeight="1">
      <c r="A67" s="1952" t="s">
        <v>3115</v>
      </c>
      <c r="B67" s="1952"/>
      <c r="C67" s="1952"/>
      <c r="D67" s="1952"/>
      <c r="E67" s="1952"/>
      <c r="F67" s="1952"/>
      <c r="G67" s="1952"/>
      <c r="H67" s="1952"/>
      <c r="I67" s="1952"/>
      <c r="J67" s="1952"/>
    </row>
    <row r="68" spans="1:10" ht="6" customHeight="1">
      <c r="A68" s="908"/>
    </row>
    <row r="69" spans="1:10" ht="15">
      <c r="A69" s="908" t="s">
        <v>3116</v>
      </c>
    </row>
    <row r="70" spans="1:10" ht="105.75" customHeight="1">
      <c r="A70" s="1944" t="s">
        <v>3117</v>
      </c>
      <c r="B70" s="1944"/>
      <c r="C70" s="1944"/>
      <c r="D70" s="1944"/>
      <c r="E70" s="1944"/>
      <c r="F70" s="1944"/>
      <c r="G70" s="1944"/>
      <c r="H70" s="1944"/>
      <c r="I70" s="1944"/>
      <c r="J70" s="1944"/>
    </row>
    <row r="71" spans="1:10" ht="6" customHeight="1">
      <c r="A71" s="908"/>
    </row>
    <row r="72" spans="1:10" ht="15">
      <c r="A72" s="908" t="s">
        <v>3118</v>
      </c>
    </row>
    <row r="73" spans="1:10" ht="66" customHeight="1">
      <c r="A73" s="1944" t="s">
        <v>3119</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3120</v>
      </c>
      <c r="B75" s="907"/>
      <c r="C75" s="907"/>
      <c r="D75" s="907"/>
      <c r="E75" s="907"/>
      <c r="F75" s="907"/>
      <c r="G75" s="907"/>
      <c r="H75" s="907"/>
      <c r="I75" s="907"/>
      <c r="J75" s="925"/>
    </row>
    <row r="76" spans="1:10" s="910" customFormat="1" ht="63" customHeight="1">
      <c r="A76" s="1944" t="s">
        <v>3121</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3122</v>
      </c>
      <c r="B78" s="1954"/>
      <c r="C78" s="1954"/>
      <c r="D78" s="907"/>
      <c r="E78" s="907"/>
      <c r="F78" s="907"/>
      <c r="G78" s="907"/>
      <c r="H78" s="907"/>
      <c r="I78" s="907"/>
      <c r="J78" s="925"/>
    </row>
    <row r="79" spans="1:10" ht="41.25" customHeight="1">
      <c r="A79" s="1952" t="s">
        <v>3600</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3123</v>
      </c>
    </row>
    <row r="82" spans="1:15" ht="139.5" customHeight="1">
      <c r="A82" s="1952" t="s">
        <v>3124</v>
      </c>
      <c r="B82" s="1952"/>
      <c r="C82" s="1952"/>
      <c r="D82" s="1952"/>
      <c r="E82" s="1952"/>
      <c r="F82" s="1952"/>
      <c r="G82" s="1952"/>
      <c r="H82" s="1952"/>
      <c r="I82" s="1952"/>
      <c r="J82" s="1952"/>
      <c r="L82" s="1960" t="s">
        <v>3125</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2" t="s">
        <v>3127</v>
      </c>
      <c r="B85" s="1952"/>
      <c r="C85" s="1952"/>
      <c r="D85" s="1952"/>
      <c r="E85" s="1952"/>
      <c r="F85" s="1952"/>
      <c r="G85" s="1952"/>
      <c r="H85" s="1952"/>
      <c r="I85" s="1952"/>
      <c r="J85" s="1952"/>
      <c r="L85" s="1960" t="s">
        <v>3128</v>
      </c>
      <c r="M85" s="1960"/>
      <c r="N85" s="929" t="e">
        <f>'After-Tax Analysis'!G66</f>
        <v>#VALUE!</v>
      </c>
      <c r="O85" s="930" t="s">
        <v>3129</v>
      </c>
    </row>
    <row r="86" spans="1:15" ht="6" customHeight="1">
      <c r="A86" s="908"/>
    </row>
    <row r="87" spans="1:15" ht="15">
      <c r="A87" s="908" t="s">
        <v>3130</v>
      </c>
    </row>
    <row r="88" spans="1:15" ht="118.5" customHeight="1">
      <c r="A88" s="1944" t="s">
        <v>3131</v>
      </c>
      <c r="B88" s="1944"/>
      <c r="C88" s="1944"/>
      <c r="D88" s="1944"/>
      <c r="E88" s="1944"/>
      <c r="F88" s="1944"/>
      <c r="G88" s="1944"/>
      <c r="H88" s="1944"/>
      <c r="I88" s="1944"/>
      <c r="J88" s="1944"/>
    </row>
    <row r="89" spans="1:15" ht="20.25" customHeight="1">
      <c r="A89" s="1950" t="s">
        <v>3132</v>
      </c>
      <c r="B89" s="1950"/>
      <c r="C89" s="1950"/>
      <c r="D89" s="1944"/>
      <c r="E89" s="909"/>
      <c r="F89" s="909"/>
      <c r="G89" s="909"/>
      <c r="H89" s="909"/>
      <c r="I89" s="909"/>
      <c r="J89" s="909"/>
    </row>
    <row r="90" spans="1:15" ht="109.5" customHeight="1">
      <c r="A90" s="1944" t="s">
        <v>3133</v>
      </c>
      <c r="B90" s="1950"/>
      <c r="C90" s="1950"/>
      <c r="D90" s="1950"/>
      <c r="E90" s="1950"/>
      <c r="F90" s="1950"/>
      <c r="G90" s="1950"/>
      <c r="H90" s="1950"/>
      <c r="I90" s="1950"/>
      <c r="J90" s="1950"/>
    </row>
    <row r="91" spans="1:15" ht="11.25" customHeight="1">
      <c r="A91" s="908"/>
    </row>
    <row r="92" spans="1:15" ht="15">
      <c r="A92" s="908" t="s">
        <v>3134</v>
      </c>
    </row>
    <row r="93" spans="1:15" ht="122.25" customHeight="1">
      <c r="A93" s="1945" t="s">
        <v>3135</v>
      </c>
      <c r="B93" s="1945"/>
      <c r="C93" s="1945"/>
      <c r="D93" s="1945"/>
      <c r="E93" s="1945"/>
      <c r="F93" s="1945"/>
      <c r="G93" s="1945"/>
      <c r="H93" s="1945"/>
      <c r="I93" s="1945"/>
      <c r="J93" s="1945"/>
      <c r="L93" s="929">
        <f>'Part VII-Pro Forma'!K67</f>
        <v>790797.34335938434</v>
      </c>
      <c r="M93" s="1961" t="s">
        <v>3136</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3137</v>
      </c>
      <c r="B97" s="1950"/>
      <c r="C97" s="1950"/>
      <c r="D97" s="909"/>
      <c r="E97" s="909"/>
      <c r="F97" s="909"/>
      <c r="G97" s="909"/>
      <c r="H97" s="909"/>
      <c r="I97" s="909"/>
      <c r="J97" s="925"/>
    </row>
    <row r="98" spans="1:10" ht="37.5" customHeight="1">
      <c r="A98" s="1952" t="s">
        <v>3138</v>
      </c>
      <c r="B98" s="1952"/>
      <c r="C98" s="1952"/>
      <c r="D98" s="1952"/>
      <c r="E98" s="1952"/>
      <c r="F98" s="1952"/>
      <c r="G98" s="1952"/>
      <c r="H98" s="1952"/>
      <c r="I98" s="1952"/>
      <c r="J98" s="1952"/>
    </row>
    <row r="99" spans="1:10" ht="6" customHeight="1">
      <c r="A99" s="908"/>
    </row>
    <row r="100" spans="1:10" ht="15">
      <c r="A100" s="908" t="s">
        <v>3139</v>
      </c>
    </row>
    <row r="101" spans="1:10" ht="43.5" customHeight="1">
      <c r="A101" s="1944" t="s">
        <v>3140</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3141</v>
      </c>
    </row>
    <row r="105" spans="1:10">
      <c r="A105" s="1958" t="s">
        <v>3142</v>
      </c>
      <c r="B105" s="1958"/>
      <c r="C105" s="1958"/>
      <c r="D105" s="1958"/>
      <c r="E105" s="1958"/>
      <c r="F105" s="1958"/>
      <c r="G105" s="1958"/>
      <c r="H105" s="1958"/>
      <c r="I105" s="1958"/>
      <c r="J105" s="1958"/>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9" t="s">
        <v>3146</v>
      </c>
      <c r="B116" s="1959"/>
      <c r="C116" s="1959"/>
      <c r="D116" s="1959"/>
      <c r="E116" s="1959"/>
      <c r="H116" s="1959" t="s">
        <v>3147</v>
      </c>
      <c r="I116" s="1959"/>
      <c r="J116" s="1959"/>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The Village on Park</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4"/>
      <c r="J7" s="1964"/>
      <c r="K7" s="1964"/>
      <c r="L7" s="886"/>
      <c r="M7" s="886"/>
    </row>
    <row r="8" spans="1:13" ht="15.75">
      <c r="A8" s="889" t="s">
        <v>3151</v>
      </c>
      <c r="B8" s="889"/>
      <c r="C8" s="1964" t="str">
        <f>'Part I-Project Information'!F24</f>
        <v>The Village on Park</v>
      </c>
      <c r="D8" s="1964"/>
      <c r="E8" s="939" t="str">
        <f>'Part I-Project Information'!O4</f>
        <v>2016-028</v>
      </c>
      <c r="F8" s="940" t="s">
        <v>3152</v>
      </c>
      <c r="G8" s="938"/>
      <c r="H8" s="1964" t="str">
        <f>CONCATENATE('Part I-Project Information'!F28,", ",'Part I-Project Information'!J29)</f>
        <v>Hahira, Lowndes</v>
      </c>
      <c r="I8" s="1964"/>
      <c r="J8" s="1964"/>
      <c r="K8" s="1964"/>
      <c r="L8" s="886"/>
      <c r="M8" s="941"/>
    </row>
    <row r="9" spans="1:13" ht="15.75">
      <c r="A9" s="889" t="s">
        <v>3154</v>
      </c>
      <c r="B9" s="889"/>
      <c r="C9" s="1964" t="s">
        <v>1837</v>
      </c>
      <c r="D9" s="1964"/>
      <c r="E9" s="938"/>
      <c r="F9" s="940" t="s">
        <v>3155</v>
      </c>
      <c r="G9" s="938"/>
      <c r="H9" s="1964" t="str">
        <f>'Part II-Development Team'!H5</f>
        <v>The Village on Park, LP</v>
      </c>
      <c r="I9" s="1964"/>
      <c r="J9" s="1964"/>
      <c r="K9" s="1964"/>
      <c r="L9" s="1964"/>
      <c r="M9" s="941"/>
    </row>
    <row r="10" spans="1:13" ht="15.75">
      <c r="A10" s="889" t="s">
        <v>3157</v>
      </c>
      <c r="B10" s="886"/>
      <c r="C10" s="881" t="str">
        <f>'Part II-Development Team'!H14</f>
        <v>Village on Park GP, LLC</v>
      </c>
      <c r="D10" s="938"/>
      <c r="E10" s="938"/>
      <c r="F10" s="940" t="s">
        <v>3845</v>
      </c>
      <c r="G10" s="938"/>
      <c r="H10" s="1964" t="str">
        <f>'Part II-Development Team'!H33</f>
        <v>Affordable Equity Partners, Inc</v>
      </c>
      <c r="I10" s="1964"/>
      <c r="J10" s="1964"/>
      <c r="K10" s="1964" t="str">
        <f>'Part II-Development Team'!H39</f>
        <v>Affordable Equity Partners, Inc</v>
      </c>
      <c r="L10" s="1964"/>
    </row>
    <row r="11" spans="1:13" ht="15.75">
      <c r="A11" s="889" t="s">
        <v>3158</v>
      </c>
      <c r="B11" s="886"/>
      <c r="C11" s="938" t="str">
        <f>IF('Part II-Development Team'!H20="","",'Part II-Development Team'!H20)</f>
        <v/>
      </c>
      <c r="D11" s="938"/>
      <c r="E11" s="938"/>
      <c r="F11" s="940" t="s">
        <v>677</v>
      </c>
      <c r="G11" s="938"/>
      <c r="H11" s="1964" t="str">
        <f>'Part II-Development Team'!H54</f>
        <v>Alga Development, LLC</v>
      </c>
      <c r="I11" s="1964"/>
      <c r="J11" s="1964"/>
      <c r="K11" s="1964">
        <f>'Part II-Development Team'!H60</f>
        <v>0</v>
      </c>
      <c r="L11" s="1964"/>
    </row>
    <row r="12" spans="1:13" ht="15.75">
      <c r="A12" s="889" t="s">
        <v>3159</v>
      </c>
      <c r="B12" s="886"/>
      <c r="C12" s="881" t="str">
        <f>'Part II-Development Team'!H86</f>
        <v>Fairway Construction Co., Inc.</v>
      </c>
      <c r="D12" s="938"/>
      <c r="E12" s="938"/>
      <c r="F12" s="940" t="s">
        <v>3160</v>
      </c>
      <c r="G12" s="938"/>
      <c r="H12" s="1964" t="str">
        <f>'Part II-Development Team'!H92</f>
        <v>Gateway Management Company, LLC</v>
      </c>
      <c r="I12" s="1964"/>
      <c r="J12" s="1964"/>
      <c r="K12" s="1964"/>
      <c r="L12" s="886"/>
      <c r="M12" s="886"/>
    </row>
    <row r="13" spans="1:13" ht="15.75">
      <c r="A13" s="889" t="s">
        <v>3161</v>
      </c>
      <c r="B13" s="940"/>
      <c r="C13" s="879" t="e">
        <f>#REF!</f>
        <v>#REF!</v>
      </c>
      <c r="D13" s="880" t="e">
        <f>#REF!</f>
        <v>#REF!</v>
      </c>
      <c r="E13" s="939"/>
      <c r="F13" s="940" t="s">
        <v>3488</v>
      </c>
      <c r="G13" s="938"/>
      <c r="H13" s="1967">
        <f>'Part I-Project Information'!H61</f>
        <v>4</v>
      </c>
      <c r="I13" s="1967"/>
      <c r="J13" s="1967"/>
      <c r="K13" s="1967"/>
      <c r="L13" s="886"/>
      <c r="M13" s="886"/>
    </row>
    <row r="14" spans="1:13" ht="15.75">
      <c r="A14" s="889" t="s">
        <v>3487</v>
      </c>
      <c r="B14" s="886"/>
      <c r="C14" s="881" t="str">
        <f>'Part I-Project Information'!H67</f>
        <v>Family</v>
      </c>
      <c r="D14" s="1964" t="str">
        <f>IF('Part I-Project Information'!N67=0,"",'Part I-Project Information'!N67)</f>
        <v/>
      </c>
      <c r="E14" s="1964"/>
      <c r="F14" s="940" t="s">
        <v>3162</v>
      </c>
      <c r="G14" s="938"/>
      <c r="H14" s="1968" t="s">
        <v>3777</v>
      </c>
      <c r="I14" s="1968"/>
      <c r="J14" s="1968"/>
      <c r="K14" s="1968" t="s">
        <v>3777</v>
      </c>
      <c r="L14" s="1968"/>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3814</v>
      </c>
      <c r="B16" s="886"/>
      <c r="C16" s="881" t="str">
        <f>'Part I-Project Information'!H86</f>
        <v>No</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10550624</v>
      </c>
      <c r="D18" s="945">
        <f>IF(C18=0,"",$C$29/C18)</f>
        <v>0.10046799127710361</v>
      </c>
      <c r="E18" s="938" t="s">
        <v>3492</v>
      </c>
      <c r="F18" s="940" t="s">
        <v>3493</v>
      </c>
      <c r="G18" s="938"/>
      <c r="H18" s="1966">
        <f>'Part IV-Uses of Funds'!B44</f>
        <v>7280254</v>
      </c>
      <c r="I18" s="1966"/>
      <c r="J18" s="946">
        <f>IF(H18=0,"",$C$29/H18)</f>
        <v>0.14559931562827341</v>
      </c>
      <c r="K18" s="1964" t="s">
        <v>3494</v>
      </c>
      <c r="L18" s="1964"/>
      <c r="M18" s="886"/>
    </row>
    <row r="19" spans="1:13" ht="15.75">
      <c r="A19" s="889" t="s">
        <v>3164</v>
      </c>
      <c r="B19" s="886"/>
      <c r="C19" s="882" t="e">
        <f>C18/C13</f>
        <v>#REF!</v>
      </c>
      <c r="D19" s="938"/>
      <c r="E19" s="886"/>
      <c r="F19" s="889" t="s">
        <v>3164</v>
      </c>
      <c r="G19" s="886"/>
      <c r="H19" s="1965" t="e">
        <f>H18/C13</f>
        <v>#REF!</v>
      </c>
      <c r="I19" s="1965"/>
      <c r="J19" s="886"/>
      <c r="K19" s="886"/>
      <c r="L19" s="886"/>
      <c r="M19" s="886"/>
    </row>
    <row r="20" spans="1:13" ht="15.75">
      <c r="A20" s="889" t="s">
        <v>3165</v>
      </c>
      <c r="B20" s="886"/>
      <c r="C20" s="882" t="e">
        <f>C18/#REF!</f>
        <v>#REF!</v>
      </c>
      <c r="D20" s="947"/>
      <c r="E20" s="948"/>
      <c r="F20" s="889" t="s">
        <v>3165</v>
      </c>
      <c r="G20" s="886"/>
      <c r="H20" s="1965" t="e">
        <f>H18/#REF!</f>
        <v>#REF!</v>
      </c>
      <c r="I20" s="1965"/>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USDA RD 538</v>
      </c>
      <c r="C25" s="954">
        <f>'Part III-Sources of Funds'!I37</f>
        <v>1060000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1060000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9474848</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1060000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0.10046799127710361</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0.14559931562827341</v>
      </c>
      <c r="D40" s="886"/>
      <c r="E40" s="886"/>
      <c r="F40" s="889"/>
      <c r="G40" s="889" t="s">
        <v>3185</v>
      </c>
      <c r="H40" s="886"/>
      <c r="I40" s="886"/>
      <c r="K40" s="965">
        <f>C30/C18</f>
        <v>0.89803674171309678</v>
      </c>
      <c r="L40" s="886"/>
      <c r="M40" s="886"/>
    </row>
    <row r="46" spans="1:13" ht="15.75">
      <c r="A46" s="968" t="s">
        <v>3186</v>
      </c>
      <c r="B46" s="933"/>
      <c r="C46" s="933"/>
      <c r="D46" s="933"/>
      <c r="E46" s="933"/>
      <c r="F46" s="933"/>
      <c r="G46" s="933"/>
      <c r="H46" s="933"/>
      <c r="I46" s="933"/>
      <c r="J46" s="933"/>
      <c r="K46" s="933"/>
      <c r="L46" s="933"/>
      <c r="M46" s="886"/>
    </row>
    <row r="47" spans="1:13" ht="15.75">
      <c r="A47" s="968" t="str">
        <f>C8</f>
        <v>The Village on Park</v>
      </c>
      <c r="B47" s="933"/>
      <c r="C47" s="933"/>
      <c r="D47" s="933"/>
      <c r="E47" s="933"/>
      <c r="F47" s="933"/>
      <c r="G47" s="933"/>
      <c r="H47" s="933"/>
      <c r="I47" s="933"/>
      <c r="J47" s="933"/>
      <c r="K47" s="933"/>
      <c r="L47" s="933"/>
      <c r="M47" s="886"/>
    </row>
    <row r="50" spans="1:14" s="886" customFormat="1" ht="15.75">
      <c r="A50" s="889" t="s">
        <v>3187</v>
      </c>
      <c r="C50" s="969" t="s">
        <v>3188</v>
      </c>
      <c r="E50" s="970" t="s">
        <v>3778</v>
      </c>
      <c r="F50" s="971">
        <v>0.1</v>
      </c>
      <c r="G50" s="970" t="s">
        <v>3779</v>
      </c>
      <c r="H50" s="971">
        <v>0.05</v>
      </c>
      <c r="I50" s="970" t="s">
        <v>3780</v>
      </c>
      <c r="J50" s="971">
        <v>0.03</v>
      </c>
      <c r="K50" s="1962" t="s">
        <v>3189</v>
      </c>
      <c r="L50" s="1963"/>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365748</v>
      </c>
      <c r="D52" s="974"/>
      <c r="E52" s="974">
        <f>$C$52</f>
        <v>365748</v>
      </c>
      <c r="F52" s="974"/>
      <c r="G52" s="974">
        <f>$C$52</f>
        <v>365748</v>
      </c>
      <c r="H52" s="974"/>
      <c r="I52" s="974">
        <f>$C$52</f>
        <v>365748</v>
      </c>
      <c r="J52" s="974"/>
      <c r="K52" s="974">
        <f>$C$52</f>
        <v>365748</v>
      </c>
      <c r="L52" s="975"/>
      <c r="M52" s="28"/>
      <c r="N52" s="28"/>
    </row>
    <row r="53" spans="1:14" s="886" customFormat="1" ht="18.75" customHeight="1">
      <c r="B53" s="973" t="s">
        <v>3193</v>
      </c>
      <c r="C53" s="974">
        <f>'Part VII-Pro Forma'!B15</f>
        <v>7314.96</v>
      </c>
      <c r="D53" s="974"/>
      <c r="E53" s="974">
        <f>$C$53</f>
        <v>7314.96</v>
      </c>
      <c r="F53" s="974"/>
      <c r="G53" s="974">
        <f>$C$53</f>
        <v>7314.96</v>
      </c>
      <c r="H53" s="974"/>
      <c r="I53" s="974">
        <f>$C$53</f>
        <v>7314.96</v>
      </c>
      <c r="J53" s="974"/>
      <c r="K53" s="974">
        <f>$C$53</f>
        <v>7314.96</v>
      </c>
      <c r="L53" s="975"/>
      <c r="M53" s="28"/>
      <c r="N53" s="28"/>
    </row>
    <row r="54" spans="1:14" s="886" customFormat="1" ht="18.75" customHeight="1">
      <c r="B54" s="973" t="s">
        <v>3191</v>
      </c>
      <c r="C54" s="974">
        <f>-($C$52+C53)*0.07</f>
        <v>-26114.407200000005</v>
      </c>
      <c r="D54" s="974"/>
      <c r="E54" s="974">
        <f>-($C$52+E53)*F50</f>
        <v>-37306.296000000002</v>
      </c>
      <c r="F54" s="976"/>
      <c r="G54" s="974">
        <f>-($C$52+G53)*0.07</f>
        <v>-26114.407200000005</v>
      </c>
      <c r="H54" s="974"/>
      <c r="I54" s="974">
        <f>-($C$52+I53)*0.07</f>
        <v>-26114.407200000005</v>
      </c>
      <c r="J54" s="974"/>
      <c r="K54" s="974">
        <f>-($C$52+K53)*L54</f>
        <v>-37306.296000000002</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-64742.72941449302</v>
      </c>
      <c r="D75" s="974"/>
      <c r="E75" s="974">
        <f>$C$75</f>
        <v>-64742.72941449302</v>
      </c>
      <c r="F75" s="974"/>
      <c r="G75" s="974">
        <f>$C$75</f>
        <v>-64742.72941449302</v>
      </c>
      <c r="H75" s="974"/>
      <c r="I75" s="974">
        <f>$C$75</f>
        <v>-64742.72941449302</v>
      </c>
      <c r="J75" s="974"/>
      <c r="K75" s="974">
        <f>$C$75</f>
        <v>-64742.72941449302</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The Village on Park</v>
      </c>
    </row>
    <row r="2" spans="1:15" ht="13.5" customHeight="1"/>
    <row r="3" spans="1:15" ht="13.5" customHeight="1">
      <c r="A3" s="901" t="s">
        <v>3210</v>
      </c>
      <c r="C3" s="900" t="s">
        <v>3211</v>
      </c>
      <c r="E3" s="1000">
        <f>SUM('Part IV-Uses of Funds'!J148,'Part IV-Uses of Funds'!M148,'Part IV-Uses of Funds'!P148)</f>
        <v>10003162</v>
      </c>
      <c r="G3" s="1001" t="s">
        <v>3212</v>
      </c>
      <c r="H3" s="901">
        <v>27.5</v>
      </c>
      <c r="I3" s="900" t="s">
        <v>2555</v>
      </c>
      <c r="K3" s="907" t="s">
        <v>3234</v>
      </c>
      <c r="M3" s="903"/>
      <c r="O3" s="1002"/>
    </row>
    <row r="4" spans="1:15" ht="13.5" customHeight="1">
      <c r="C4" s="900" t="s">
        <v>3840</v>
      </c>
      <c r="E4" s="1000">
        <f>SUM('Part IV-Uses of Funds'!G85:H89)</f>
        <v>35600</v>
      </c>
      <c r="G4" s="1001" t="s">
        <v>3213</v>
      </c>
      <c r="H4" s="901">
        <f>'Part III-Sources of Funds'!M37</f>
        <v>40</v>
      </c>
      <c r="I4" s="900" t="s">
        <v>2555</v>
      </c>
      <c r="K4" s="1003" t="s">
        <v>3497</v>
      </c>
      <c r="M4" s="903"/>
    </row>
    <row r="5" spans="1:15" ht="13.5" customHeight="1">
      <c r="C5" s="900" t="s">
        <v>3841</v>
      </c>
      <c r="E5" s="1000">
        <f>SUM('Part IV-Uses of Funds'!G96:H102)</f>
        <v>126336</v>
      </c>
      <c r="G5" s="1001" t="s">
        <v>3213</v>
      </c>
      <c r="H5" s="901">
        <v>15</v>
      </c>
      <c r="I5" s="900" t="s">
        <v>2555</v>
      </c>
      <c r="K5" s="1002">
        <f>-E6</f>
        <v>-9474848</v>
      </c>
    </row>
    <row r="6" spans="1:15" ht="13.5" customHeight="1">
      <c r="C6" s="900" t="s">
        <v>3214</v>
      </c>
      <c r="E6" s="1004">
        <f>'Part III-Sources of Funds'!$I$45+'Part III-Sources of Funds'!$I$46</f>
        <v>9474848</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8051.8233855069848</v>
      </c>
      <c r="D9" s="1009">
        <f>'Part VII-Pro Forma'!C30</f>
        <v>23294.734441507026</v>
      </c>
      <c r="E9" s="1009">
        <f>'Part VII-Pro Forma'!D30</f>
        <v>22794.143118626962</v>
      </c>
      <c r="F9" s="1009">
        <f>'Part VII-Pro Forma'!E30</f>
        <v>22213.636551289397</v>
      </c>
      <c r="G9" s="1009">
        <f>'Part VII-Pro Forma'!F30</f>
        <v>21548.671732065035</v>
      </c>
      <c r="H9" s="1009">
        <f>'Part VII-Pro Forma'!G30</f>
        <v>20794.571052299987</v>
      </c>
      <c r="I9" s="1009">
        <f>'Part VII-Pro Forma'!H30</f>
        <v>19948.517697858857</v>
      </c>
      <c r="K9" s="1002" t="e">
        <f>F24</f>
        <v>#VALUE!</v>
      </c>
      <c r="N9" s="1010" t="s">
        <v>3220</v>
      </c>
    </row>
    <row r="10" spans="1:15" ht="13.5" customHeight="1">
      <c r="A10" s="900" t="s">
        <v>3219</v>
      </c>
      <c r="C10" s="1011">
        <f>'Part III-Sources of Funds'!I37-'Part VII-Pro Forma'!B37</f>
        <v>7691.2357619781978</v>
      </c>
      <c r="D10" s="1011">
        <f>'Part VII-Pro Forma'!B37-'Part VII-Pro Forma'!C37</f>
        <v>8116.9975922435988</v>
      </c>
      <c r="E10" s="1011">
        <f>'Part VII-Pro Forma'!C37-'Part VII-Pro Forma'!D37</f>
        <v>8566.3282145371195</v>
      </c>
      <c r="F10" s="1011">
        <f>'Part VII-Pro Forma'!D37-'Part VII-Pro Forma'!E37</f>
        <v>9040.5323206323665</v>
      </c>
      <c r="G10" s="1011">
        <f>'Part VII-Pro Forma'!E37-'Part VII-Pro Forma'!F37</f>
        <v>9540.9868258025963</v>
      </c>
      <c r="H10" s="1011">
        <f>'Part VII-Pro Forma'!F37-'Part VII-Pro Forma'!G37</f>
        <v>10069.144866877701</v>
      </c>
      <c r="I10" s="1011">
        <f>'Part VII-Pro Forma'!G37-'Part VII-Pro Forma'!H37</f>
        <v>10626.540021623019</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3843</v>
      </c>
      <c r="B13" s="1014"/>
      <c r="C13" s="1015">
        <f>-SUMIF('Part VII-Pro Forma'!$A$13:$L$13,C$8,'Part VII-Pro Forma'!$A$21:$L$21)-SUMIF('Part VII-Pro Forma'!$A$43:$L$43,C$8,'Part VII-Pro Forma'!$A$51:$L$51)-SUMIF('Part VII-Pro Forma'!$A$73:$L$73,C$8,'Part VII-Pro Forma'!$A$81:$L$81)</f>
        <v>16000</v>
      </c>
      <c r="D13" s="1015">
        <f>-SUMIF('Part VII-Pro Forma'!$A$13:$L$13,D$8,'Part VII-Pro Forma'!$A$21:$L$21)-SUMIF('Part VII-Pro Forma'!$A$43:$L$43,D$8,'Part VII-Pro Forma'!$A$51:$L$51)-SUMIF('Part VII-Pro Forma'!$A$73:$L$73,D$8,'Part VII-Pro Forma'!$A$81:$L$81)</f>
        <v>16480</v>
      </c>
      <c r="E13" s="1015">
        <f>-SUMIF('Part VII-Pro Forma'!$A$13:$L$13,E$8,'Part VII-Pro Forma'!$A$21:$L$21)-SUMIF('Part VII-Pro Forma'!$A$43:$L$43,E$8,'Part VII-Pro Forma'!$A$51:$L$51)-SUMIF('Part VII-Pro Forma'!$A$73:$L$73,E$8,'Part VII-Pro Forma'!$A$81:$L$81)</f>
        <v>16974.399999999998</v>
      </c>
      <c r="F13" s="1015">
        <f>-SUMIF('Part VII-Pro Forma'!$A$13:$L$13,F$8,'Part VII-Pro Forma'!$A$21:$L$21)-SUMIF('Part VII-Pro Forma'!$A$43:$L$43,F$8,'Part VII-Pro Forma'!$A$51:$L$51)-SUMIF('Part VII-Pro Forma'!$A$73:$L$73,F$8,'Part VII-Pro Forma'!$A$81:$L$81)</f>
        <v>17483.632000000001</v>
      </c>
      <c r="G13" s="1015">
        <f>-SUMIF('Part VII-Pro Forma'!$A$13:$L$13,G$8,'Part VII-Pro Forma'!$A$21:$L$21)-SUMIF('Part VII-Pro Forma'!$A$43:$L$43,G$8,'Part VII-Pro Forma'!$A$51:$L$51)-SUMIF('Part VII-Pro Forma'!$A$73:$L$73,G$8,'Part VII-Pro Forma'!$A$81:$L$81)</f>
        <v>18008.140959999997</v>
      </c>
      <c r="H13" s="1015">
        <f>-SUMIF('Part VII-Pro Forma'!$A$13:$L$13,H$8,'Part VII-Pro Forma'!$A$21:$L$21)-SUMIF('Part VII-Pro Forma'!$A$43:$L$43,H$8,'Part VII-Pro Forma'!$A$51:$L$51)-SUMIF('Part VII-Pro Forma'!$A$73:$L$73,H$8,'Part VII-Pro Forma'!$A$81:$L$81)</f>
        <v>18548.385188799999</v>
      </c>
      <c r="I13" s="1015">
        <f>-SUMIF('Part VII-Pro Forma'!$A$13:$L$13,I$8,'Part VII-Pro Forma'!$A$21:$L$21)-SUMIF('Part VII-Pro Forma'!$A$43:$L$43,I$8,'Part VII-Pro Forma'!$A$51:$L$51)-SUMIF('Part VII-Pro Forma'!$A$73:$L$73,I$8,'Part VII-Pro Forma'!$A$81:$L$81)</f>
        <v>19104.836744463999</v>
      </c>
      <c r="K13" s="1002" t="e">
        <f>C44</f>
        <v>#VALUE!</v>
      </c>
      <c r="O13" s="1007"/>
    </row>
    <row r="14" spans="1:15" ht="13.5" customHeight="1">
      <c r="A14" s="1013" t="s">
        <v>3844</v>
      </c>
      <c r="B14" s="1014"/>
      <c r="C14" s="1015">
        <f>-SUMIF('Part VII-Pro Forma'!$A$13:$L$13,C$8,'Part VII-Pro Forma'!$A$29:$L$29)-SUMIF('Part VII-Pro Forma'!$A$43:$L$43,C$8,'Part VII-Pro Forma'!$A$59:$L$59)-SUMIF('Part VII-Pro Forma'!$A$73:$L$73,C$8,'Part VII-Pro Forma'!$A$89:$L$89)</f>
        <v>15666</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363751.34545454546</v>
      </c>
      <c r="D15" s="1017">
        <f t="shared" si="0"/>
        <v>363751.34545454546</v>
      </c>
      <c r="E15" s="1017">
        <f t="shared" si="0"/>
        <v>363751.34545454546</v>
      </c>
      <c r="F15" s="1017">
        <f t="shared" si="0"/>
        <v>363751.34545454546</v>
      </c>
      <c r="G15" s="1017">
        <f t="shared" si="0"/>
        <v>363751.34545454546</v>
      </c>
      <c r="H15" s="1017">
        <f t="shared" si="0"/>
        <v>363751.34545454546</v>
      </c>
      <c r="I15" s="1017">
        <f t="shared" si="0"/>
        <v>363751.34545454546</v>
      </c>
      <c r="K15" s="1002" t="e">
        <f>E44</f>
        <v>#VALUE!</v>
      </c>
      <c r="O15" s="1007"/>
    </row>
    <row r="16" spans="1:15" ht="13.5" customHeight="1">
      <c r="A16" s="1016" t="s">
        <v>3224</v>
      </c>
      <c r="C16" s="1017">
        <f>IF(C$8&lt;=$H$4,($E$4/$H$4),0)+IF(C$8&lt;=$H$5,($E$5/$H$5),0)</f>
        <v>9312.4</v>
      </c>
      <c r="D16" s="1017">
        <f t="shared" ref="D16:I16" si="1">IF(D$8&lt;=$H$4,($E$4/$H$4),0)+IF(D$8&lt;=$H$5,($E$5/$H$5),0)</f>
        <v>9312.4</v>
      </c>
      <c r="E16" s="1017">
        <f t="shared" si="1"/>
        <v>9312.4</v>
      </c>
      <c r="F16" s="1017">
        <f t="shared" si="1"/>
        <v>9312.4</v>
      </c>
      <c r="G16" s="1017">
        <f t="shared" si="1"/>
        <v>9312.4</v>
      </c>
      <c r="H16" s="1017">
        <f t="shared" si="1"/>
        <v>9312.4</v>
      </c>
      <c r="I16" s="1017">
        <f t="shared" si="1"/>
        <v>9312.4</v>
      </c>
      <c r="K16" s="1002" t="e">
        <f>F44</f>
        <v>#VALUE!</v>
      </c>
      <c r="M16" s="900" t="s">
        <v>3228</v>
      </c>
      <c r="O16" s="1007">
        <f>E3</f>
        <v>10003162</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7275026.9090909092</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2728135.0909090908</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820454</v>
      </c>
      <c r="D21" s="1018">
        <f t="shared" ref="D21:I21" si="5">C21</f>
        <v>820454</v>
      </c>
      <c r="E21" s="1018">
        <f t="shared" si="5"/>
        <v>820454</v>
      </c>
      <c r="F21" s="1018">
        <f t="shared" si="5"/>
        <v>820454</v>
      </c>
      <c r="G21" s="1018">
        <f t="shared" si="5"/>
        <v>820454</v>
      </c>
      <c r="H21" s="1018">
        <f t="shared" si="5"/>
        <v>820454</v>
      </c>
      <c r="I21" s="1018">
        <f t="shared" si="5"/>
        <v>820454</v>
      </c>
      <c r="J21" s="900" t="s">
        <v>254</v>
      </c>
      <c r="K21" s="1002" t="e">
        <f>D64</f>
        <v>#VALUE!</v>
      </c>
      <c r="O21" s="1007"/>
    </row>
    <row r="22" spans="1:17" ht="13.5" customHeight="1">
      <c r="A22" s="900" t="s">
        <v>3231</v>
      </c>
      <c r="C22" s="1018">
        <f>C21</f>
        <v>820454</v>
      </c>
      <c r="D22" s="1018">
        <f t="shared" ref="D22:I22" si="6">D21</f>
        <v>820454</v>
      </c>
      <c r="E22" s="1018">
        <f t="shared" si="6"/>
        <v>820454</v>
      </c>
      <c r="F22" s="1018">
        <f t="shared" si="6"/>
        <v>820454</v>
      </c>
      <c r="G22" s="1018">
        <f t="shared" si="6"/>
        <v>820454</v>
      </c>
      <c r="H22" s="1018">
        <f t="shared" si="6"/>
        <v>820454</v>
      </c>
      <c r="I22" s="1018">
        <f t="shared" si="6"/>
        <v>820454</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2728135.0909090908</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-2728135.0909090908</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19005.550895415305</v>
      </c>
      <c r="D29" s="1009">
        <f>'Part VII-Pro Forma'!J30</f>
        <v>17961.561004582472</v>
      </c>
      <c r="E29" s="1009">
        <f>'Part VII-Pro Forma'!K30</f>
        <v>16812.284451021944</v>
      </c>
      <c r="F29" s="1009">
        <f>'Part VII-Pro Forma'!B60</f>
        <v>15552.298495531897</v>
      </c>
      <c r="G29" s="1009">
        <f>'Part VII-Pro Forma'!C60</f>
        <v>14178.01583394804</v>
      </c>
      <c r="H29" s="1009">
        <f>'Part VII-Pro Forma'!D60</f>
        <v>12683.679022539072</v>
      </c>
      <c r="I29" s="1009">
        <f>'Part VII-Pro Forma'!E60</f>
        <v>11064.354723410579</v>
      </c>
      <c r="N29" s="1021"/>
      <c r="O29" s="1021"/>
    </row>
    <row r="30" spans="1:17" ht="13.5" customHeight="1">
      <c r="A30" s="900" t="s">
        <v>3219</v>
      </c>
      <c r="C30" s="1011">
        <f>'Part VII-Pro Forma'!H37-'Part VII-Pro Forma'!I37</f>
        <v>11214.790761687793</v>
      </c>
      <c r="D30" s="1011">
        <f>'Part VII-Pro Forma'!I37-'Part VII-Pro Forma'!J37</f>
        <v>11835.605152054923</v>
      </c>
      <c r="E30" s="1011">
        <f>'Part VII-Pro Forma'!J37-'Part VII-Pro Forma'!K37</f>
        <v>12490.785810636473</v>
      </c>
      <c r="F30" s="1011">
        <f>'Part VII-Pro Forma'!K37-'Part VII-Pro Forma'!B67</f>
        <v>13182.235142417718</v>
      </c>
      <c r="G30" s="1011">
        <f>'Part VII-Pro Forma'!B67-'Part VII-Pro Forma'!C67</f>
        <v>13911.960863344488</v>
      </c>
      <c r="H30" s="1011">
        <f>'Part VII-Pro Forma'!C67-'Part VII-Pro Forma'!D67</f>
        <v>14682.081829996197</v>
      </c>
      <c r="I30" s="1011">
        <f>'Part VII-Pro Forma'!D67-'Part VII-Pro Forma'!E67</f>
        <v>15494.834191970411</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-545627.01818181819</v>
      </c>
    </row>
    <row r="32" spans="1:17" ht="13.5" customHeight="1">
      <c r="A32" s="900" t="s">
        <v>3219</v>
      </c>
      <c r="C32" s="1009"/>
      <c r="D32" s="1009"/>
      <c r="E32" s="1009"/>
      <c r="F32" s="1009"/>
      <c r="G32" s="1009"/>
      <c r="H32" s="1009"/>
      <c r="I32" s="1009"/>
    </row>
    <row r="33" spans="1:15" ht="13.5" customHeight="1">
      <c r="A33" s="1013" t="s">
        <v>3843</v>
      </c>
      <c r="B33" s="1014"/>
      <c r="C33" s="1015">
        <f>-SUMIF('Part VII-Pro Forma'!$A$13:$L$13,C$28,'Part VII-Pro Forma'!$A$21:$L$21)-SUMIF('Part VII-Pro Forma'!$A$43:$L$43,C$28,'Part VII-Pro Forma'!$A$51:$L$51)-SUMIF('Part VII-Pro Forma'!$A$73:$L$73,C$28,'Part VII-Pro Forma'!$A$81:$L$81)</f>
        <v>19677.98184679792</v>
      </c>
      <c r="D33" s="1015">
        <f>-SUMIF('Part VII-Pro Forma'!$A$13:$L$13,D$28,'Part VII-Pro Forma'!$A$21:$L$21)-SUMIF('Part VII-Pro Forma'!$A$43:$L$43,D$28,'Part VII-Pro Forma'!$A$51:$L$51)-SUMIF('Part VII-Pro Forma'!$A$73:$L$73,D$28,'Part VII-Pro Forma'!$A$81:$L$81)</f>
        <v>20268.321302201854</v>
      </c>
      <c r="E33" s="1015">
        <f>-SUMIF('Part VII-Pro Forma'!$A$13:$L$13,E$28,'Part VII-Pro Forma'!$A$21:$L$21)-SUMIF('Part VII-Pro Forma'!$A$43:$L$43,E$28,'Part VII-Pro Forma'!$A$51:$L$51)-SUMIF('Part VII-Pro Forma'!$A$73:$L$73,E$28,'Part VII-Pro Forma'!$A$81:$L$81)</f>
        <v>20876.370941267913</v>
      </c>
      <c r="F33" s="1015">
        <f>-SUMIF('Part VII-Pro Forma'!$A$13:$L$13,F$28,'Part VII-Pro Forma'!$A$21:$L$21)-SUMIF('Part VII-Pro Forma'!$A$43:$L$43,F$28,'Part VII-Pro Forma'!$A$51:$L$51)-SUMIF('Part VII-Pro Forma'!$A$73:$L$73,F$28,'Part VII-Pro Forma'!$A$81:$L$81)</f>
        <v>21502.66206950595</v>
      </c>
      <c r="G33" s="1015">
        <f>-SUMIF('Part VII-Pro Forma'!$A$13:$L$13,G$28,'Part VII-Pro Forma'!$A$21:$L$21)-SUMIF('Part VII-Pro Forma'!$A$43:$L$43,G$28,'Part VII-Pro Forma'!$A$51:$L$51)-SUMIF('Part VII-Pro Forma'!$A$73:$L$73,G$28,'Part VII-Pro Forma'!$A$81:$L$81)</f>
        <v>22147.741931591128</v>
      </c>
      <c r="H33" s="1015">
        <f>-SUMIF('Part VII-Pro Forma'!$A$13:$L$13,H$28,'Part VII-Pro Forma'!$A$21:$L$21)-SUMIF('Part VII-Pro Forma'!$A$43:$L$43,H$28,'Part VII-Pro Forma'!$A$51:$L$51)-SUMIF('Part VII-Pro Forma'!$A$73:$L$73,H$28,'Part VII-Pro Forma'!$A$81:$L$81)</f>
        <v>22812.174189538859</v>
      </c>
      <c r="I33" s="1015">
        <f>-SUMIF('Part VII-Pro Forma'!$A$13:$L$13,I$28,'Part VII-Pro Forma'!$A$21:$L$21)-SUMIF('Part VII-Pro Forma'!$A$43:$L$43,I$28,'Part VII-Pro Forma'!$A$51:$L$51)-SUMIF('Part VII-Pro Forma'!$A$73:$L$73,I$28,'Part VII-Pro Forma'!$A$81:$L$81)</f>
        <v>23496.539415225023</v>
      </c>
      <c r="K33" s="900" t="s">
        <v>254</v>
      </c>
      <c r="M33" s="900" t="s">
        <v>3239</v>
      </c>
      <c r="O33" s="1009" t="e">
        <f>O14-O31</f>
        <v>#VALUE!</v>
      </c>
    </row>
    <row r="34" spans="1:15" ht="13.5" customHeight="1">
      <c r="A34" s="1013" t="s">
        <v>3844</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363751.34545454546</v>
      </c>
      <c r="D35" s="1017">
        <f t="shared" si="8"/>
        <v>363751.34545454546</v>
      </c>
      <c r="E35" s="1017">
        <f t="shared" si="8"/>
        <v>363751.34545454546</v>
      </c>
      <c r="F35" s="1017">
        <f t="shared" si="8"/>
        <v>363751.34545454546</v>
      </c>
      <c r="G35" s="1017">
        <f t="shared" si="8"/>
        <v>363751.34545454546</v>
      </c>
      <c r="H35" s="1017">
        <f t="shared" si="8"/>
        <v>363751.34545454546</v>
      </c>
      <c r="I35" s="1017">
        <f t="shared" si="8"/>
        <v>363751.34545454546</v>
      </c>
    </row>
    <row r="36" spans="1:15" ht="13.5" customHeight="1">
      <c r="A36" s="1016" t="s">
        <v>3224</v>
      </c>
      <c r="C36" s="1009">
        <f>IF(C$28&lt;=$H$4,($E$4/$H$4),0)+IF(C$28&lt;=$H$5,($E$5/$H$5),0)</f>
        <v>9312.4</v>
      </c>
      <c r="D36" s="1009">
        <f t="shared" ref="D36:I36" si="9">IF(D$28&lt;=$H$4,($E$4/$H$4),0)+IF(D$28&lt;=$H$5,($E$5/$H$5),0)</f>
        <v>9312.4</v>
      </c>
      <c r="E36" s="1009">
        <f t="shared" si="9"/>
        <v>9312.4</v>
      </c>
      <c r="F36" s="1009">
        <f t="shared" si="9"/>
        <v>9312.4</v>
      </c>
      <c r="G36" s="1009">
        <f t="shared" si="9"/>
        <v>9312.4</v>
      </c>
      <c r="H36" s="1009">
        <f t="shared" si="9"/>
        <v>9312.4</v>
      </c>
      <c r="I36" s="1009">
        <f t="shared" si="9"/>
        <v>9312.4</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820454</v>
      </c>
      <c r="D41" s="1018">
        <f>C41</f>
        <v>820454</v>
      </c>
      <c r="E41" s="1018">
        <f>D41</f>
        <v>820454</v>
      </c>
      <c r="F41" s="1018">
        <v>0</v>
      </c>
      <c r="G41" s="1018">
        <v>0</v>
      </c>
      <c r="H41" s="1018">
        <v>0</v>
      </c>
      <c r="I41" s="1018">
        <v>0</v>
      </c>
    </row>
    <row r="42" spans="1:15" ht="13.5" customHeight="1">
      <c r="A42" s="900" t="s">
        <v>3231</v>
      </c>
      <c r="C42" s="1018">
        <f>C22</f>
        <v>820454</v>
      </c>
      <c r="D42" s="1018">
        <f>C42</f>
        <v>820454</v>
      </c>
      <c r="E42" s="1018">
        <f>D42</f>
        <v>820454</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9314.9277642633679</v>
      </c>
      <c r="D49" s="1009">
        <f>'Part VII-Pro Forma'!G60</f>
        <v>7429.0950066760415</v>
      </c>
      <c r="E49" s="1009">
        <f>'Part VII-Pro Forma'!H60</f>
        <v>5401.3590169022209</v>
      </c>
      <c r="F49" s="1009">
        <f>'Part VII-Pro Forma'!I60</f>
        <v>3226.0215329869534</v>
      </c>
      <c r="G49" s="1009">
        <f>'Part VII-Pro Forma'!J60</f>
        <v>897.17672181704256</v>
      </c>
      <c r="H49" s="1009">
        <f>'Part VII-Pro Forma'!K60</f>
        <v>-1592.2957804799662</v>
      </c>
    </row>
    <row r="50" spans="1:10" ht="13.5" customHeight="1">
      <c r="A50" s="900" t="s">
        <v>3219</v>
      </c>
      <c r="C50" s="1009">
        <f>'Part VII-Pro Forma'!E67-'Part VII-Pro Forma'!F67</f>
        <v>16352.577884843224</v>
      </c>
      <c r="D50" s="1009">
        <f>'Part VII-Pro Forma'!F67-'Part VII-Pro Forma'!G67</f>
        <v>17257.80348255916</v>
      </c>
      <c r="E50" s="1009">
        <f>'Part VII-Pro Forma'!G67-'Part VII-Pro Forma'!H67</f>
        <v>18213.139429146773</v>
      </c>
      <c r="F50" s="1009">
        <f>'Part VII-Pro Forma'!H67-'Part VII-Pro Forma'!I67</f>
        <v>19221.359670758713</v>
      </c>
      <c r="G50" s="1009">
        <f>'Part VII-Pro Forma'!I67-'Part VII-Pro Forma'!J67</f>
        <v>20285.391710196622</v>
      </c>
      <c r="H50" s="1009">
        <f>'Part VII-Pro Forma'!J67-'Part VII-Pro Forma'!K67</f>
        <v>21408.32510730857</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3843</v>
      </c>
      <c r="B53" s="1014"/>
      <c r="C53" s="1015">
        <f>-SUMIF('Part VII-Pro Forma'!$A$13:$L$13,C$48,'Part VII-Pro Forma'!$A$21:$L$21)-SUMIF('Part VII-Pro Forma'!$A$43:$L$43,C$48,'Part VII-Pro Forma'!$A$51:$L$51)-SUMIF('Part VII-Pro Forma'!$A$73:$L$73,C$48,'Part VII-Pro Forma'!$A$81:$L$81)</f>
        <v>24201.435597681775</v>
      </c>
      <c r="D53" s="1015">
        <f>-SUMIF('Part VII-Pro Forma'!$A$13:$L$13,D$48,'Part VII-Pro Forma'!$A$21:$L$21)-SUMIF('Part VII-Pro Forma'!$A$43:$L$43,D$48,'Part VII-Pro Forma'!$A$51:$L$51)-SUMIF('Part VII-Pro Forma'!$A$73:$L$73,D$48,'Part VII-Pro Forma'!$A$81:$L$81)</f>
        <v>24927.478665612231</v>
      </c>
      <c r="E53" s="1015">
        <f>-SUMIF('Part VII-Pro Forma'!$A$13:$L$13,E$48,'Part VII-Pro Forma'!$A$21:$L$21)-SUMIF('Part VII-Pro Forma'!$A$43:$L$43,E$48,'Part VII-Pro Forma'!$A$51:$L$51)-SUMIF('Part VII-Pro Forma'!$A$73:$L$73,E$48,'Part VII-Pro Forma'!$A$81:$L$81)</f>
        <v>25675.303025580593</v>
      </c>
      <c r="F53" s="1015">
        <f>-SUMIF('Part VII-Pro Forma'!$A$13:$L$13,F$48,'Part VII-Pro Forma'!$A$21:$L$21)-SUMIF('Part VII-Pro Forma'!$A$43:$L$43,F$48,'Part VII-Pro Forma'!$A$51:$L$51)-SUMIF('Part VII-Pro Forma'!$A$73:$L$73,F$48,'Part VII-Pro Forma'!$A$81:$L$81)</f>
        <v>26445.56211634801</v>
      </c>
      <c r="G53" s="1015">
        <f>-SUMIF('Part VII-Pro Forma'!$A$13:$L$13,G$48,'Part VII-Pro Forma'!$A$21:$L$21)-SUMIF('Part VII-Pro Forma'!$A$43:$L$43,G$48,'Part VII-Pro Forma'!$A$51:$L$51)-SUMIF('Part VII-Pro Forma'!$A$73:$L$73,G$48,'Part VII-Pro Forma'!$A$81:$L$81)</f>
        <v>27238.928979838453</v>
      </c>
      <c r="H53" s="1015">
        <f>-SUMIF('Part VII-Pro Forma'!$A$13:$L$13,H$48,'Part VII-Pro Forma'!$A$21:$L$21)-SUMIF('Part VII-Pro Forma'!$A$43:$L$43,H$48,'Part VII-Pro Forma'!$A$51:$L$51)-SUMIF('Part VII-Pro Forma'!$A$73:$L$73,H$48,'Part VII-Pro Forma'!$A$81:$L$81)</f>
        <v>28056.096849233603</v>
      </c>
    </row>
    <row r="54" spans="1:10" ht="13.5" customHeight="1">
      <c r="A54" s="1013" t="s">
        <v>3844</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363751.34545454546</v>
      </c>
      <c r="D55" s="1017">
        <f t="shared" si="14"/>
        <v>363751.34545454546</v>
      </c>
      <c r="E55" s="1017">
        <f t="shared" si="14"/>
        <v>363751.34545454546</v>
      </c>
      <c r="F55" s="1017">
        <f t="shared" si="14"/>
        <v>363751.34545454546</v>
      </c>
      <c r="G55" s="1017">
        <f t="shared" si="14"/>
        <v>363751.34545454546</v>
      </c>
      <c r="H55" s="1017">
        <f t="shared" si="14"/>
        <v>363751.34545454546</v>
      </c>
    </row>
    <row r="56" spans="1:10" ht="13.5" customHeight="1">
      <c r="A56" s="1016" t="s">
        <v>3224</v>
      </c>
      <c r="C56" s="1009">
        <f t="shared" ref="C56:H56" si="15">IF(C$48&lt;=$H$4,($E$4/$H$4),0)+IF(C$48&lt;=$H$5,($E$5/$H$5),0)</f>
        <v>9312.4</v>
      </c>
      <c r="D56" s="1009">
        <f t="shared" si="15"/>
        <v>890</v>
      </c>
      <c r="E56" s="1009">
        <f t="shared" si="15"/>
        <v>890</v>
      </c>
      <c r="F56" s="1009">
        <f t="shared" si="15"/>
        <v>890</v>
      </c>
      <c r="G56" s="1009">
        <f t="shared" si="15"/>
        <v>890</v>
      </c>
      <c r="H56" s="1009">
        <f t="shared" si="15"/>
        <v>890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Normal="100" workbookViewId="0">
      <selection activeCell="A2"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- 2016-028 The Village on Park, Hahira, Lowndes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6" t="s">
        <v>2779</v>
      </c>
      <c r="P3" s="1446"/>
    </row>
    <row r="4" spans="1:16" s="329" customFormat="1" ht="12" customHeight="1" thickBot="1">
      <c r="A4" s="543"/>
      <c r="B4" s="331"/>
      <c r="F4" s="332"/>
      <c r="G4" s="298" t="s">
        <v>459</v>
      </c>
      <c r="H4" s="1401"/>
      <c r="I4" s="1401"/>
      <c r="J4" s="1401"/>
      <c r="O4" s="2618" t="s">
        <v>4386</v>
      </c>
      <c r="P4" s="2619"/>
    </row>
    <row r="5" spans="1:16" s="329" customFormat="1" ht="12" customHeight="1" thickBot="1">
      <c r="A5" s="543"/>
      <c r="B5" s="1463" t="s">
        <v>4218</v>
      </c>
      <c r="C5" s="1464"/>
      <c r="D5" s="1465"/>
      <c r="F5" s="610"/>
      <c r="G5" s="188" t="s">
        <v>3502</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640</v>
      </c>
      <c r="B7" s="331" t="s">
        <v>2460</v>
      </c>
      <c r="D7" s="299"/>
      <c r="E7" s="333"/>
      <c r="F7" s="334" t="s">
        <v>1781</v>
      </c>
      <c r="J7" s="1457">
        <f>'Part IV-Uses of Funds'!$J$174</f>
        <v>820454</v>
      </c>
      <c r="K7" s="1458"/>
      <c r="M7" s="1401"/>
    </row>
    <row r="8" spans="1:16" s="1" customFormat="1" ht="13.15" customHeight="1">
      <c r="A8" s="4"/>
      <c r="B8" s="4"/>
      <c r="D8" s="28"/>
      <c r="E8" s="413"/>
      <c r="F8" s="329" t="s">
        <v>1333</v>
      </c>
      <c r="J8" s="1459">
        <f>'Part III-Sources of Funds'!$E$10</f>
        <v>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0" t="s">
        <v>4237</v>
      </c>
      <c r="G10" s="2621"/>
      <c r="H10" s="2622"/>
      <c r="I10" s="2623" t="s">
        <v>4200</v>
      </c>
      <c r="J10" s="580" t="s">
        <v>4201</v>
      </c>
      <c r="K10" s="340"/>
      <c r="L10" s="1401"/>
      <c r="O10" s="2624" t="s">
        <v>4336</v>
      </c>
      <c r="P10" s="2625"/>
    </row>
    <row r="11" spans="1:16" s="329" customFormat="1" ht="12.75" customHeight="1">
      <c r="A11" s="543"/>
      <c r="H11" s="1401"/>
      <c r="J11" s="581" t="s">
        <v>2845</v>
      </c>
      <c r="K11" s="296"/>
      <c r="M11" s="1401"/>
      <c r="O11" s="2626" t="s">
        <v>3156</v>
      </c>
      <c r="P11" s="2627"/>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28" t="s">
        <v>4298</v>
      </c>
      <c r="G15" s="2629"/>
      <c r="H15" s="2629"/>
      <c r="I15" s="2629"/>
      <c r="J15" s="2629"/>
      <c r="K15" s="2629"/>
      <c r="L15" s="2630"/>
      <c r="M15" s="1387" t="s">
        <v>2055</v>
      </c>
      <c r="N15" s="2628" t="s">
        <v>4300</v>
      </c>
      <c r="O15" s="2629"/>
      <c r="P15" s="2630"/>
    </row>
    <row r="16" spans="1:16" s="329" customFormat="1" ht="13.15" customHeight="1">
      <c r="B16" s="334" t="s">
        <v>2056</v>
      </c>
      <c r="F16" s="2628" t="s">
        <v>4249</v>
      </c>
      <c r="G16" s="2629"/>
      <c r="H16" s="2629"/>
      <c r="I16" s="2629"/>
      <c r="J16" s="2629"/>
      <c r="K16" s="2629"/>
      <c r="L16" s="2630"/>
      <c r="M16" s="1387" t="s">
        <v>1787</v>
      </c>
      <c r="O16" s="2631"/>
      <c r="P16" s="2632"/>
    </row>
    <row r="17" spans="1:16" s="329" customFormat="1" ht="13.15" customHeight="1">
      <c r="B17" s="334" t="s">
        <v>642</v>
      </c>
      <c r="F17" s="2633" t="s">
        <v>4250</v>
      </c>
      <c r="G17" s="2634"/>
      <c r="H17" s="2635"/>
      <c r="M17" s="1387" t="s">
        <v>1868</v>
      </c>
      <c r="O17" s="2636">
        <v>4056045092</v>
      </c>
      <c r="P17" s="2637"/>
    </row>
    <row r="18" spans="1:16" s="329" customFormat="1" ht="13.15" customHeight="1">
      <c r="B18" s="334" t="s">
        <v>1865</v>
      </c>
      <c r="F18" s="2638" t="s">
        <v>1402</v>
      </c>
      <c r="I18" s="1401" t="s">
        <v>2308</v>
      </c>
      <c r="J18" s="2639">
        <v>731024617</v>
      </c>
      <c r="K18" s="2640"/>
      <c r="M18" s="1387" t="s">
        <v>2054</v>
      </c>
      <c r="O18" s="2636"/>
      <c r="P18" s="2637"/>
    </row>
    <row r="19" spans="1:16" s="329" customFormat="1" ht="13.15" customHeight="1">
      <c r="B19" s="334" t="s">
        <v>1786</v>
      </c>
      <c r="F19" s="2636">
        <v>4056045074</v>
      </c>
      <c r="G19" s="2641"/>
      <c r="H19" s="2637"/>
      <c r="I19" s="1391" t="s">
        <v>1785</v>
      </c>
      <c r="J19" s="2642"/>
      <c r="K19" s="1401" t="s">
        <v>2059</v>
      </c>
      <c r="L19" s="2628" t="s">
        <v>4301</v>
      </c>
      <c r="M19" s="2629"/>
      <c r="N19" s="2629"/>
      <c r="O19" s="2629"/>
      <c r="P19" s="2630"/>
    </row>
    <row r="20" spans="1:16" s="329" customFormat="1" ht="13.15" customHeight="1">
      <c r="A20" s="331"/>
      <c r="B20" s="322" t="s">
        <v>679</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3" t="s">
        <v>4221</v>
      </c>
      <c r="G24" s="2644"/>
      <c r="H24" s="2644"/>
      <c r="I24" s="2644"/>
      <c r="J24" s="2644"/>
      <c r="K24" s="2645"/>
      <c r="L24" s="1387" t="s">
        <v>2271</v>
      </c>
      <c r="O24" s="2628" t="s">
        <v>3156</v>
      </c>
      <c r="P24" s="2630"/>
    </row>
    <row r="25" spans="1:16" s="329" customFormat="1" ht="13.15" customHeight="1">
      <c r="A25" s="341"/>
      <c r="B25" s="329" t="s">
        <v>2802</v>
      </c>
      <c r="D25" s="342"/>
      <c r="F25" s="2646" t="s">
        <v>4302</v>
      </c>
      <c r="G25" s="2647"/>
      <c r="H25" s="2647"/>
      <c r="I25" s="2647"/>
      <c r="J25" s="2647"/>
      <c r="K25" s="2648"/>
      <c r="L25" s="329" t="s">
        <v>4129</v>
      </c>
      <c r="O25" s="2646"/>
      <c r="P25" s="2648"/>
    </row>
    <row r="26" spans="1:16" s="329" customFormat="1" ht="13.15" customHeight="1">
      <c r="A26" s="341"/>
      <c r="B26" s="329" t="s">
        <v>2848</v>
      </c>
      <c r="D26" s="342"/>
      <c r="F26" s="2646" t="s">
        <v>4303</v>
      </c>
      <c r="G26" s="2647"/>
      <c r="H26" s="2647"/>
      <c r="I26" s="2647"/>
      <c r="J26" s="2647"/>
      <c r="K26" s="2648"/>
      <c r="L26" s="1387" t="s">
        <v>2128</v>
      </c>
      <c r="N26" s="2649" t="s">
        <v>3156</v>
      </c>
      <c r="O26" s="1401" t="s">
        <v>4128</v>
      </c>
      <c r="P26" s="2649"/>
    </row>
    <row r="27" spans="1:16" s="329" customFormat="1" ht="13.15" customHeight="1">
      <c r="A27" s="341"/>
      <c r="B27" s="329" t="s">
        <v>2898</v>
      </c>
      <c r="D27" s="342"/>
      <c r="F27" s="329" t="s">
        <v>4210</v>
      </c>
      <c r="G27" s="2650" t="s">
        <v>4262</v>
      </c>
      <c r="H27" s="2651"/>
      <c r="I27" s="329" t="s">
        <v>4211</v>
      </c>
      <c r="J27" s="2650" t="s">
        <v>4263</v>
      </c>
      <c r="K27" s="2651"/>
      <c r="L27" s="1387" t="s">
        <v>2363</v>
      </c>
      <c r="O27" s="2652">
        <v>6.5060000000000002</v>
      </c>
      <c r="P27" s="2653"/>
    </row>
    <row r="28" spans="1:16" s="329" customFormat="1" ht="13.15" customHeight="1">
      <c r="A28" s="543"/>
      <c r="B28" s="329" t="s">
        <v>642</v>
      </c>
      <c r="F28" s="2628" t="s">
        <v>1652</v>
      </c>
      <c r="G28" s="2629"/>
      <c r="H28" s="2630"/>
      <c r="I28" s="346" t="s">
        <v>2803</v>
      </c>
      <c r="J28" s="2639">
        <v>316321642</v>
      </c>
      <c r="K28" s="2640"/>
      <c r="L28" s="405" t="str">
        <f>IF(AND(NOT(F24=""),NOT(F28="Select from list"),J28=""),"Enter Zip!","")</f>
        <v/>
      </c>
      <c r="M28" s="344" t="s">
        <v>3061</v>
      </c>
      <c r="O28" s="2654" t="s">
        <v>4264</v>
      </c>
      <c r="P28" s="2655"/>
    </row>
    <row r="29" spans="1:16" s="329" customFormat="1" ht="13.15" customHeight="1">
      <c r="A29" s="543"/>
      <c r="B29" s="1397" t="s">
        <v>3855</v>
      </c>
      <c r="D29" s="1397"/>
      <c r="F29" s="2646" t="s">
        <v>4329</v>
      </c>
      <c r="G29" s="2647"/>
      <c r="H29" s="2648"/>
      <c r="I29" s="343" t="s">
        <v>643</v>
      </c>
      <c r="J29" s="2656" t="str">
        <f>IF($F$28="","",VLOOKUP($F$28,'DCA Underwriting Assumptions'!$R$141:$S$771,2,FALSE))</f>
        <v>Lowndes</v>
      </c>
      <c r="K29" s="2657"/>
      <c r="M29" s="1387" t="s">
        <v>468</v>
      </c>
      <c r="N29" s="2658" t="s">
        <v>3156</v>
      </c>
      <c r="O29" s="1401" t="s">
        <v>469</v>
      </c>
      <c r="P29" s="2658" t="s">
        <v>3156</v>
      </c>
    </row>
    <row r="30" spans="1:16" s="329" customFormat="1" ht="13.15" customHeight="1">
      <c r="A30" s="543"/>
      <c r="B30" s="331"/>
      <c r="C30" s="329" t="s">
        <v>1615</v>
      </c>
      <c r="F30" s="2659" t="s">
        <v>3153</v>
      </c>
      <c r="G30" s="1461" t="s">
        <v>2899</v>
      </c>
      <c r="H30" s="1462"/>
      <c r="I30" s="588" t="str">
        <f>IF($J$29="","",IF(VLOOKUP($J$29,'DCA Underwriting Assumptions'!G141:M300,7,FALSE)="Rural","Yes",IF(VLOOKUP($J$29,'DCA Underwriting Assumptions'!G141:M300,7,FALSE)="Urban","No","")))</f>
        <v>No</v>
      </c>
      <c r="J30" s="1391" t="s">
        <v>2920</v>
      </c>
      <c r="K30" s="1391" t="str">
        <f>IF(OR(F30="Yes",I30="Yes"),"Rural","Urban")</f>
        <v>Rural</v>
      </c>
      <c r="M30" s="1387" t="s">
        <v>2699</v>
      </c>
      <c r="N30" s="472" t="str">
        <f>VLOOKUP($J$29,'DCA Underwriting Assumptions'!$G$141:$J$300,4)</f>
        <v>MSA</v>
      </c>
      <c r="O30" s="2660" t="str">
        <f>IF($F$28="","",VLOOKUP($J$29,'DCA Underwriting Assumptions'!$G$141:$L$300,3,FALSE))</f>
        <v>Valdosta</v>
      </c>
      <c r="P30" s="2661"/>
    </row>
    <row r="31" spans="1:16" s="329" customFormat="1" ht="3" customHeight="1">
      <c r="A31" s="543"/>
      <c r="B31" s="331"/>
      <c r="C31" s="331"/>
      <c r="I31" s="334"/>
      <c r="J31" s="1397"/>
      <c r="L31" s="1405"/>
      <c r="M31" s="1405"/>
      <c r="N31" s="1405"/>
      <c r="O31" s="1405"/>
      <c r="P31" s="1405"/>
    </row>
    <row r="32" spans="1:16" s="329" customFormat="1" ht="13.15" customHeight="1">
      <c r="A32" s="543"/>
      <c r="C32" s="329" t="s">
        <v>2858</v>
      </c>
      <c r="F32" s="1456" t="s">
        <v>2878</v>
      </c>
      <c r="G32" s="1456"/>
      <c r="H32" s="1455" t="s">
        <v>766</v>
      </c>
      <c r="I32" s="1455"/>
      <c r="J32" s="1455" t="s">
        <v>767</v>
      </c>
      <c r="K32" s="1455"/>
      <c r="L32" s="574" t="s">
        <v>2804</v>
      </c>
    </row>
    <row r="33" spans="1:17" s="329" customFormat="1" ht="13.15" customHeight="1">
      <c r="A33" s="543"/>
      <c r="B33" s="329" t="s">
        <v>2877</v>
      </c>
      <c r="D33" s="331"/>
      <c r="F33" s="2662">
        <v>8</v>
      </c>
      <c r="G33" s="2663"/>
      <c r="H33" s="2662">
        <v>8</v>
      </c>
      <c r="I33" s="2663"/>
      <c r="J33" s="2662">
        <v>175</v>
      </c>
      <c r="K33" s="2663"/>
      <c r="L33" s="570" t="s">
        <v>1330</v>
      </c>
      <c r="N33" s="1468" t="s">
        <v>1331</v>
      </c>
      <c r="O33" s="1468"/>
      <c r="P33" s="1468"/>
    </row>
    <row r="34" spans="1:17" s="329" customFormat="1" ht="12.75" customHeight="1">
      <c r="A34" s="543"/>
      <c r="B34" s="334" t="s">
        <v>768</v>
      </c>
      <c r="F34" s="2662"/>
      <c r="G34" s="2663"/>
      <c r="H34" s="2662"/>
      <c r="I34" s="2663"/>
      <c r="J34" s="2662"/>
      <c r="K34" s="2663"/>
      <c r="L34" s="570" t="s">
        <v>2876</v>
      </c>
      <c r="N34" s="1469" t="s">
        <v>2875</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661</v>
      </c>
      <c r="F36" s="2664" t="s">
        <v>4265</v>
      </c>
      <c r="G36" s="2665"/>
      <c r="H36" s="2665"/>
      <c r="I36" s="2665"/>
      <c r="J36" s="2666"/>
      <c r="K36" s="2667"/>
      <c r="L36" s="1172" t="s">
        <v>2808</v>
      </c>
      <c r="M36" s="2646" t="s">
        <v>4266</v>
      </c>
      <c r="N36" s="2647"/>
      <c r="O36" s="2647"/>
      <c r="P36" s="2648"/>
    </row>
    <row r="37" spans="1:17" s="329" customFormat="1" ht="13.15" customHeight="1">
      <c r="A37" s="543"/>
      <c r="B37" s="329" t="s">
        <v>662</v>
      </c>
      <c r="F37" s="2668" t="s">
        <v>4268</v>
      </c>
      <c r="G37" s="2669"/>
      <c r="H37" s="2670"/>
      <c r="I37" s="1392" t="s">
        <v>2055</v>
      </c>
      <c r="J37" s="2646" t="s">
        <v>4267</v>
      </c>
      <c r="K37" s="2648"/>
      <c r="L37" s="1172"/>
    </row>
    <row r="38" spans="1:17" s="329" customFormat="1" ht="13.15" customHeight="1">
      <c r="A38" s="543"/>
      <c r="B38" s="329" t="s">
        <v>2056</v>
      </c>
      <c r="F38" s="2668" t="s">
        <v>4270</v>
      </c>
      <c r="G38" s="2669"/>
      <c r="H38" s="2669"/>
      <c r="I38" s="2669"/>
      <c r="J38" s="2671"/>
      <c r="K38" s="2672"/>
      <c r="L38" s="365" t="s">
        <v>642</v>
      </c>
      <c r="M38" s="2668" t="s">
        <v>1652</v>
      </c>
      <c r="N38" s="2669"/>
      <c r="O38" s="2669"/>
      <c r="P38" s="2670"/>
    </row>
    <row r="39" spans="1:17" s="329" customFormat="1" ht="13.15" customHeight="1">
      <c r="A39" s="543"/>
      <c r="B39" s="1387" t="s">
        <v>2308</v>
      </c>
      <c r="F39" s="2673">
        <v>316320000</v>
      </c>
      <c r="G39" s="2674"/>
      <c r="H39" s="1391" t="s">
        <v>2057</v>
      </c>
      <c r="I39" s="2675">
        <v>2297942330</v>
      </c>
      <c r="J39" s="2676"/>
      <c r="K39" s="2677"/>
      <c r="L39" s="334" t="s">
        <v>1866</v>
      </c>
      <c r="M39" s="2668" t="s">
        <v>4269</v>
      </c>
      <c r="N39" s="2669"/>
      <c r="O39" s="2669"/>
      <c r="P39" s="2670"/>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1860</v>
      </c>
      <c r="B41" s="331" t="s">
        <v>1531</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2058</v>
      </c>
      <c r="C43" s="331" t="s">
        <v>747</v>
      </c>
      <c r="I43" s="1397"/>
      <c r="J43" s="1397"/>
      <c r="K43" s="571"/>
      <c r="L43" s="1397"/>
      <c r="M43" s="573"/>
      <c r="N43" s="573"/>
      <c r="O43" s="573"/>
      <c r="P43" s="573"/>
      <c r="Q43" s="1401"/>
    </row>
    <row r="44" spans="1:17" ht="13.15" customHeight="1">
      <c r="B44" s="543"/>
      <c r="C44" s="329" t="s">
        <v>2375</v>
      </c>
      <c r="D44" s="329"/>
      <c r="E44" s="329"/>
      <c r="H44" s="349">
        <f>'Part VI-Revenues &amp; Expenses'!$O$74</f>
        <v>64</v>
      </c>
      <c r="K44" s="334" t="s">
        <v>4111</v>
      </c>
      <c r="L44" s="329"/>
      <c r="M44" s="1325" t="s">
        <v>4110</v>
      </c>
      <c r="N44" s="349">
        <f>'Part VI-Revenues &amp; Expenses'!$O$81</f>
        <v>0</v>
      </c>
      <c r="O44" s="1326" t="s">
        <v>3544</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0</v>
      </c>
      <c r="I46" s="545" t="s">
        <v>3067</v>
      </c>
      <c r="K46" s="329" t="s">
        <v>361</v>
      </c>
      <c r="P46" s="2678" t="s">
        <v>1799</v>
      </c>
      <c r="Q46" s="1401"/>
    </row>
    <row r="47" spans="1:17" s="329" customFormat="1" ht="3.6" customHeight="1">
      <c r="A47" s="543"/>
      <c r="P47" s="1397"/>
    </row>
    <row r="48" spans="1:17" s="329" customFormat="1" ht="12.75">
      <c r="A48" s="543"/>
      <c r="B48" s="543" t="s">
        <v>2061</v>
      </c>
      <c r="C48" s="331" t="s">
        <v>2376</v>
      </c>
      <c r="H48" s="2642" t="s">
        <v>3156</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779</v>
      </c>
      <c r="C50" s="340" t="s">
        <v>2356</v>
      </c>
      <c r="D50" s="1397"/>
      <c r="I50" s="1394" t="s">
        <v>3850</v>
      </c>
      <c r="J50" s="341" t="s">
        <v>2193</v>
      </c>
      <c r="K50" s="351" t="s">
        <v>2382</v>
      </c>
      <c r="M50" s="1397"/>
      <c r="N50" s="1397"/>
      <c r="O50" s="1397"/>
      <c r="P50" s="1401"/>
      <c r="Q50" s="1401"/>
      <c r="R50" s="1401"/>
      <c r="S50" s="1397"/>
    </row>
    <row r="51" spans="1:19" s="329" customFormat="1" ht="13.15" customHeight="1">
      <c r="A51" s="543"/>
      <c r="B51" s="1393"/>
      <c r="C51" s="338" t="s">
        <v>2357</v>
      </c>
      <c r="D51" s="1397"/>
      <c r="E51" s="1397"/>
      <c r="H51" s="873">
        <f>SUM(H52:H53)</f>
        <v>45</v>
      </c>
      <c r="I51" s="873">
        <f>SUM(I52:I53)</f>
        <v>0</v>
      </c>
      <c r="J51" s="543"/>
      <c r="K51" s="338" t="s">
        <v>2890</v>
      </c>
      <c r="M51" s="1397"/>
      <c r="N51" s="1397"/>
      <c r="O51" s="1397"/>
      <c r="P51" s="1132">
        <f>'Part VI-Revenues &amp; Expenses'!$O$115</f>
        <v>46660</v>
      </c>
    </row>
    <row r="52" spans="1:19" s="329" customFormat="1" ht="13.15" customHeight="1">
      <c r="A52" s="543"/>
      <c r="B52" s="348"/>
      <c r="D52" s="353" t="s">
        <v>399</v>
      </c>
      <c r="E52" s="1397"/>
      <c r="H52" s="1132">
        <f>'Part VI-Revenues &amp; Expenses'!$O$57</f>
        <v>14</v>
      </c>
      <c r="I52" s="1132">
        <f>'Part VI-Revenues &amp; Expenses'!$O$65</f>
        <v>0</v>
      </c>
      <c r="K52" s="338" t="s">
        <v>2891</v>
      </c>
      <c r="M52" s="1397"/>
      <c r="N52" s="1397"/>
      <c r="O52" s="1397"/>
      <c r="P52" s="1132">
        <f>'Part VI-Revenues &amp; Expenses'!$O$116</f>
        <v>19900</v>
      </c>
    </row>
    <row r="53" spans="1:19" s="329" customFormat="1" ht="13.15" customHeight="1">
      <c r="A53" s="543"/>
      <c r="D53" s="353" t="s">
        <v>1890</v>
      </c>
      <c r="E53" s="353"/>
      <c r="H53" s="1133">
        <f>'Part VI-Revenues &amp; Expenses'!$O$56</f>
        <v>31</v>
      </c>
      <c r="I53" s="1133">
        <f>'Part VI-Revenues &amp; Expenses'!$O$64</f>
        <v>0</v>
      </c>
      <c r="K53" s="338" t="s">
        <v>2892</v>
      </c>
      <c r="M53" s="1397"/>
      <c r="N53" s="1397"/>
      <c r="O53" s="1397"/>
      <c r="P53" s="352">
        <f>P51+P52</f>
        <v>66560</v>
      </c>
    </row>
    <row r="54" spans="1:19" s="329" customFormat="1" ht="13.15" customHeight="1">
      <c r="A54" s="543"/>
      <c r="C54" s="338" t="s">
        <v>264</v>
      </c>
      <c r="D54" s="1397"/>
      <c r="E54" s="1397"/>
      <c r="H54" s="352">
        <f>'Part VI-Revenues &amp; Expenses'!$O$59</f>
        <v>19</v>
      </c>
      <c r="J54" s="543"/>
      <c r="K54" s="338" t="s">
        <v>2893</v>
      </c>
      <c r="M54" s="1397"/>
      <c r="N54" s="1397"/>
      <c r="O54" s="1397"/>
      <c r="P54" s="352">
        <f>'Part VI-Revenues &amp; Expenses'!$O$118</f>
        <v>0</v>
      </c>
    </row>
    <row r="55" spans="1:19" s="329" customFormat="1" ht="13.15" customHeight="1">
      <c r="A55" s="543"/>
      <c r="C55" s="338" t="s">
        <v>2492</v>
      </c>
      <c r="D55" s="1397"/>
      <c r="E55" s="1397"/>
      <c r="H55" s="352">
        <f>H51+H54</f>
        <v>64</v>
      </c>
      <c r="J55" s="543"/>
      <c r="K55" s="338" t="s">
        <v>1474</v>
      </c>
      <c r="M55" s="1397"/>
      <c r="N55" s="1397"/>
      <c r="O55" s="1397"/>
      <c r="P55" s="352">
        <f>+P53+P54</f>
        <v>66560</v>
      </c>
    </row>
    <row r="56" spans="1:19" s="329" customFormat="1" ht="13.15" customHeight="1">
      <c r="A56" s="543"/>
      <c r="C56" s="338" t="s">
        <v>2493</v>
      </c>
      <c r="D56" s="1397"/>
      <c r="E56" s="1397"/>
      <c r="H56" s="352">
        <f>'Part VI-Revenues &amp; Expenses'!$O$61</f>
        <v>0</v>
      </c>
      <c r="J56" s="543"/>
    </row>
    <row r="57" spans="1:19" s="329" customFormat="1" ht="13.15" customHeight="1">
      <c r="A57" s="543"/>
      <c r="C57" s="338" t="s">
        <v>1859</v>
      </c>
      <c r="D57" s="1397"/>
      <c r="E57" s="1397"/>
      <c r="H57" s="352">
        <f>+H55+H56</f>
        <v>64</v>
      </c>
      <c r="J57" s="1397"/>
    </row>
    <row r="58" spans="1:19" s="329" customFormat="1" ht="3" customHeight="1">
      <c r="A58" s="543"/>
      <c r="I58" s="1401"/>
      <c r="L58" s="1401"/>
      <c r="M58" s="1401"/>
      <c r="N58" s="1397"/>
      <c r="P58" s="339"/>
    </row>
    <row r="59" spans="1:19" s="329" customFormat="1" ht="13.15" customHeight="1">
      <c r="A59" s="543"/>
      <c r="B59" s="543" t="s">
        <v>1801</v>
      </c>
      <c r="C59" s="340" t="s">
        <v>2377</v>
      </c>
      <c r="D59" s="353" t="s">
        <v>2072</v>
      </c>
      <c r="G59" s="1397"/>
      <c r="H59" s="2679">
        <v>3</v>
      </c>
      <c r="K59" s="338" t="s">
        <v>1165</v>
      </c>
      <c r="O59" s="1397"/>
      <c r="P59" s="2679">
        <v>3041</v>
      </c>
    </row>
    <row r="60" spans="1:19" s="329" customFormat="1" ht="13.15" customHeight="1">
      <c r="A60" s="543"/>
      <c r="B60" s="543"/>
      <c r="D60" s="1393" t="s">
        <v>2073</v>
      </c>
      <c r="H60" s="2679">
        <v>1</v>
      </c>
      <c r="I60" s="1397"/>
      <c r="K60" s="338" t="s">
        <v>263</v>
      </c>
      <c r="O60" s="1397"/>
      <c r="P60" s="352">
        <f>+P55+P59</f>
        <v>69601</v>
      </c>
    </row>
    <row r="61" spans="1:19" s="329" customFormat="1" ht="13.15" customHeight="1">
      <c r="A61" s="543"/>
      <c r="B61" s="543"/>
      <c r="D61" s="1393" t="s">
        <v>2074</v>
      </c>
      <c r="H61" s="352">
        <f>+H59+H60</f>
        <v>4</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1802</v>
      </c>
      <c r="C63" s="340" t="s">
        <v>2980</v>
      </c>
      <c r="D63" s="1397"/>
      <c r="E63" s="1397"/>
      <c r="F63" s="1397"/>
      <c r="G63" s="1397"/>
      <c r="H63" s="2679">
        <v>128</v>
      </c>
      <c r="K63" s="329" t="s">
        <v>2983</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549</v>
      </c>
      <c r="B65" s="354" t="s">
        <v>1234</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2058</v>
      </c>
      <c r="C67" s="296" t="s">
        <v>2795</v>
      </c>
      <c r="D67" s="1388"/>
      <c r="E67" s="1388"/>
      <c r="F67" s="1397"/>
      <c r="G67" s="1401"/>
      <c r="H67" s="2680" t="s">
        <v>3068</v>
      </c>
      <c r="I67" s="2681"/>
      <c r="K67" s="1445" t="s">
        <v>1838</v>
      </c>
      <c r="L67" s="1445"/>
      <c r="N67" s="2628"/>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3503</v>
      </c>
      <c r="L69" s="1470"/>
      <c r="M69" s="355" t="s">
        <v>3068</v>
      </c>
      <c r="N69" s="2679"/>
      <c r="O69" s="355" t="s">
        <v>3069</v>
      </c>
      <c r="P69" s="2679"/>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3070</v>
      </c>
      <c r="N71" s="2679"/>
      <c r="O71" s="342" t="s">
        <v>1659</v>
      </c>
      <c r="P71" s="2679"/>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2061</v>
      </c>
      <c r="C73" s="340" t="s">
        <v>1465</v>
      </c>
      <c r="D73" s="1397"/>
      <c r="E73" s="353"/>
      <c r="F73" s="1393" t="s">
        <v>828</v>
      </c>
      <c r="H73" s="2679">
        <v>4</v>
      </c>
      <c r="K73" s="1445" t="s">
        <v>539</v>
      </c>
      <c r="L73" s="1445"/>
      <c r="N73" s="356">
        <f>IF('Part VI-Revenues &amp; Expenses'!$O$62=0,0,H73/'Part VI-Revenues &amp; Expenses'!$O$62)</f>
        <v>6.25E-2</v>
      </c>
      <c r="O73" s="342" t="s">
        <v>4147</v>
      </c>
      <c r="P73" s="1347">
        <f>'DCA Underwriting Assumptions'!$Q$124</f>
        <v>0.05</v>
      </c>
    </row>
    <row r="74" spans="1:16" s="329" customFormat="1" ht="12.75" customHeight="1">
      <c r="A74" s="543"/>
      <c r="B74" s="543"/>
      <c r="D74" s="1393" t="s">
        <v>2978</v>
      </c>
      <c r="E74" s="1393"/>
      <c r="F74" s="1393" t="s">
        <v>828</v>
      </c>
      <c r="H74" s="2679">
        <v>2</v>
      </c>
      <c r="K74" s="1397" t="s">
        <v>2979</v>
      </c>
      <c r="L74" s="1397"/>
      <c r="N74" s="356">
        <f>IF(H73=0,0,H74/H73)</f>
        <v>0.5</v>
      </c>
      <c r="O74" s="342" t="s">
        <v>4147</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779</v>
      </c>
      <c r="C76" s="340" t="s">
        <v>1913</v>
      </c>
      <c r="D76" s="353"/>
      <c r="E76" s="353"/>
      <c r="F76" s="1393" t="s">
        <v>828</v>
      </c>
      <c r="H76" s="2679">
        <v>2</v>
      </c>
      <c r="K76" s="1445" t="s">
        <v>539</v>
      </c>
      <c r="L76" s="1445"/>
      <c r="N76" s="356">
        <f>IF('Part VI-Revenues &amp; Expenses'!$O$62=0,0,H76/'Part VI-Revenues &amp; Expenses'!$O$62)</f>
        <v>3.125E-2</v>
      </c>
      <c r="O76" s="342" t="s">
        <v>4147</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803</v>
      </c>
      <c r="B78" s="1388" t="s">
        <v>2462</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2058</v>
      </c>
      <c r="C80" s="296" t="s">
        <v>2461</v>
      </c>
      <c r="D80" s="1393"/>
      <c r="E80" s="1393"/>
      <c r="F80" s="1393"/>
      <c r="H80" s="2682" t="s">
        <v>902</v>
      </c>
      <c r="I80" s="2683"/>
      <c r="J80" s="2684"/>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2061</v>
      </c>
      <c r="C82" s="331" t="s">
        <v>1591</v>
      </c>
      <c r="K82" s="334" t="s">
        <v>901</v>
      </c>
      <c r="N82" s="358"/>
      <c r="P82" s="2642"/>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305</v>
      </c>
      <c r="B84" s="1388" t="s">
        <v>2119</v>
      </c>
      <c r="D84" s="1393"/>
    </row>
    <row r="85" spans="1:16" s="329" customFormat="1" ht="3" customHeight="1">
      <c r="A85" s="543"/>
      <c r="B85" s="543"/>
      <c r="D85" s="1393"/>
      <c r="N85" s="1397"/>
      <c r="P85" s="339"/>
    </row>
    <row r="86" spans="1:16" s="329" customFormat="1" ht="13.15" customHeight="1">
      <c r="A86" s="357"/>
      <c r="B86" s="543" t="s">
        <v>2058</v>
      </c>
      <c r="C86" s="331" t="s">
        <v>2813</v>
      </c>
      <c r="F86" s="353" t="s">
        <v>2688</v>
      </c>
      <c r="H86" s="2642" t="s">
        <v>3156</v>
      </c>
      <c r="K86" s="353" t="s">
        <v>3654</v>
      </c>
      <c r="M86" s="2642" t="s">
        <v>3153</v>
      </c>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2061</v>
      </c>
      <c r="C88" s="331" t="s">
        <v>2814</v>
      </c>
      <c r="F88" s="1387" t="s">
        <v>2773</v>
      </c>
      <c r="H88" s="2642" t="s">
        <v>3156</v>
      </c>
      <c r="J88" s="1401"/>
      <c r="K88" s="538" t="s">
        <v>2815</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440</v>
      </c>
      <c r="B90" s="1388" t="s">
        <v>2901</v>
      </c>
      <c r="D90" s="1393"/>
      <c r="H90" s="2646" t="s">
        <v>2687</v>
      </c>
      <c r="I90" s="2648"/>
      <c r="J90" s="1401"/>
    </row>
    <row r="91" spans="1:16" s="329" customFormat="1" ht="6.75" customHeight="1">
      <c r="A91" s="543"/>
      <c r="D91" s="346"/>
      <c r="E91" s="1397"/>
      <c r="I91" s="346"/>
      <c r="J91" s="338"/>
      <c r="K91" s="1397"/>
      <c r="P91" s="339"/>
    </row>
    <row r="92" spans="1:16" s="329" customFormat="1" ht="13.15" customHeight="1">
      <c r="A92" s="357" t="s">
        <v>376</v>
      </c>
      <c r="B92" s="351" t="s">
        <v>1232</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571</v>
      </c>
      <c r="D94" s="1397"/>
      <c r="E94" s="2628"/>
      <c r="F94" s="2629"/>
      <c r="G94" s="2629"/>
      <c r="H94" s="2629"/>
      <c r="I94" s="2629"/>
      <c r="J94" s="2629"/>
      <c r="K94" s="2629"/>
      <c r="L94" s="2630"/>
      <c r="M94" s="1444" t="s">
        <v>572</v>
      </c>
      <c r="N94" s="1444"/>
      <c r="O94" s="2685"/>
      <c r="P94" s="2686"/>
    </row>
    <row r="95" spans="1:16" s="329" customFormat="1" ht="13.15" customHeight="1">
      <c r="C95" s="334" t="s">
        <v>1058</v>
      </c>
      <c r="D95" s="342"/>
      <c r="E95" s="2628"/>
      <c r="F95" s="2629"/>
      <c r="G95" s="2629"/>
      <c r="H95" s="2629"/>
      <c r="I95" s="2629"/>
      <c r="J95" s="2629"/>
      <c r="K95" s="2629"/>
      <c r="L95" s="2630"/>
      <c r="M95" s="1444" t="s">
        <v>840</v>
      </c>
      <c r="N95" s="1444"/>
      <c r="O95" s="2687"/>
      <c r="P95" s="2688"/>
    </row>
    <row r="96" spans="1:16" s="329" customFormat="1" ht="13.15" customHeight="1">
      <c r="C96" s="334" t="s">
        <v>642</v>
      </c>
      <c r="E96" s="2628"/>
      <c r="F96" s="2689"/>
      <c r="G96" s="2690"/>
      <c r="H96" s="1391" t="s">
        <v>1865</v>
      </c>
      <c r="I96" s="2642"/>
      <c r="J96" s="359" t="s">
        <v>2308</v>
      </c>
      <c r="K96" s="2639"/>
      <c r="L96" s="2690"/>
      <c r="M96" s="299" t="s">
        <v>4098</v>
      </c>
      <c r="N96" s="299"/>
      <c r="O96" s="2691"/>
      <c r="P96" s="2692"/>
    </row>
    <row r="97" spans="1:16" s="329" customFormat="1" ht="13.15" customHeight="1">
      <c r="C97" s="329" t="s">
        <v>2273</v>
      </c>
      <c r="E97" s="2628"/>
      <c r="F97" s="2689"/>
      <c r="G97" s="2690"/>
      <c r="H97" s="1401" t="s">
        <v>2055</v>
      </c>
      <c r="I97" s="2628"/>
      <c r="J97" s="2689"/>
      <c r="K97" s="2690"/>
      <c r="L97" s="1408" t="s">
        <v>2059</v>
      </c>
      <c r="M97" s="2628"/>
      <c r="N97" s="2689"/>
      <c r="O97" s="2689"/>
      <c r="P97" s="2690"/>
    </row>
    <row r="98" spans="1:16" s="329" customFormat="1" ht="13.15" customHeight="1">
      <c r="C98" s="334" t="s">
        <v>2272</v>
      </c>
      <c r="E98" s="2636"/>
      <c r="F98" s="2641"/>
      <c r="G98" s="2637"/>
      <c r="H98" s="1401" t="s">
        <v>1868</v>
      </c>
      <c r="I98" s="2675"/>
      <c r="J98" s="2690"/>
      <c r="K98" s="359" t="s">
        <v>1869</v>
      </c>
      <c r="L98" s="2675"/>
      <c r="M98" s="2690"/>
      <c r="N98" s="359" t="s">
        <v>2054</v>
      </c>
      <c r="O98" s="2675"/>
      <c r="P98" s="2690"/>
    </row>
    <row r="99" spans="1:16" s="329" customFormat="1" ht="3" customHeight="1">
      <c r="A99" s="543"/>
      <c r="B99" s="543"/>
      <c r="G99" s="346"/>
      <c r="H99" s="1401"/>
      <c r="I99" s="1401"/>
      <c r="M99" s="339"/>
    </row>
    <row r="100" spans="1:16" s="329" customFormat="1" ht="13.15" customHeight="1">
      <c r="A100" s="357" t="s">
        <v>377</v>
      </c>
      <c r="B100" s="1388" t="s">
        <v>1728</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88" t="s">
        <v>1466</v>
      </c>
      <c r="D104" s="1393"/>
      <c r="E104" s="1393"/>
      <c r="F104" s="1401"/>
      <c r="G104" s="1401"/>
      <c r="H104" s="2693">
        <v>1</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88" t="s">
        <v>430</v>
      </c>
      <c r="D106" s="1393"/>
      <c r="E106" s="1393"/>
      <c r="F106" s="1401"/>
      <c r="G106" s="1401"/>
      <c r="H106" s="2694">
        <v>820454</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88" t="s">
        <v>315</v>
      </c>
      <c r="D108" s="1393"/>
      <c r="E108" s="1393"/>
      <c r="F108" s="1401"/>
      <c r="G108" s="1401"/>
      <c r="H108" s="1401"/>
      <c r="I108" s="1401"/>
      <c r="J108" s="346"/>
      <c r="K108" s="1401"/>
      <c r="L108" s="1401"/>
      <c r="N108" s="1397"/>
      <c r="O108" s="1397"/>
    </row>
    <row r="109" spans="1:16" s="329" customFormat="1" ht="13.15" customHeight="1">
      <c r="B109" s="543"/>
      <c r="C109" s="1393" t="s">
        <v>2213</v>
      </c>
      <c r="D109" s="1393"/>
      <c r="F109" s="1393" t="s">
        <v>1175</v>
      </c>
      <c r="G109" s="1401"/>
      <c r="H109" s="1401"/>
      <c r="I109" s="1401" t="s">
        <v>1343</v>
      </c>
      <c r="J109" s="1393" t="s">
        <v>2213</v>
      </c>
      <c r="K109" s="1393"/>
      <c r="M109" s="1393" t="s">
        <v>1175</v>
      </c>
      <c r="N109" s="1401"/>
      <c r="O109" s="1401"/>
      <c r="P109" s="1401" t="s">
        <v>1343</v>
      </c>
    </row>
    <row r="110" spans="1:16" s="329" customFormat="1" ht="13.15" customHeight="1">
      <c r="A110" s="543"/>
      <c r="B110" s="543"/>
      <c r="C110" s="2695" t="s">
        <v>4248</v>
      </c>
      <c r="D110" s="2696"/>
      <c r="E110" s="2696"/>
      <c r="F110" s="2697" t="s">
        <v>4221</v>
      </c>
      <c r="G110" s="2698"/>
      <c r="H110" s="2699"/>
      <c r="I110" s="2700" t="s">
        <v>4304</v>
      </c>
      <c r="J110" s="2695">
        <v>7</v>
      </c>
      <c r="K110" s="2696"/>
      <c r="L110" s="2696"/>
      <c r="M110" s="2697"/>
      <c r="N110" s="2698"/>
      <c r="O110" s="2699"/>
      <c r="P110" s="2700"/>
    </row>
    <row r="111" spans="1:16" s="329" customFormat="1" ht="13.15" customHeight="1">
      <c r="A111" s="543"/>
      <c r="B111" s="543"/>
      <c r="C111" s="2701">
        <v>2</v>
      </c>
      <c r="D111" s="2702"/>
      <c r="E111" s="2702"/>
      <c r="F111" s="2703"/>
      <c r="G111" s="2704"/>
      <c r="H111" s="2705"/>
      <c r="I111" s="2706"/>
      <c r="J111" s="2701">
        <v>8</v>
      </c>
      <c r="K111" s="2702"/>
      <c r="L111" s="2702"/>
      <c r="M111" s="2703"/>
      <c r="N111" s="2704"/>
      <c r="O111" s="2705"/>
      <c r="P111" s="2706"/>
    </row>
    <row r="112" spans="1:16" s="329" customFormat="1" ht="13.15" customHeight="1">
      <c r="A112" s="543"/>
      <c r="B112" s="543"/>
      <c r="C112" s="2701">
        <v>3</v>
      </c>
      <c r="D112" s="2702"/>
      <c r="E112" s="2702"/>
      <c r="F112" s="2703"/>
      <c r="G112" s="2704"/>
      <c r="H112" s="2705"/>
      <c r="I112" s="2706"/>
      <c r="J112" s="2701">
        <v>9</v>
      </c>
      <c r="K112" s="2702"/>
      <c r="L112" s="2702"/>
      <c r="M112" s="2703"/>
      <c r="N112" s="2704"/>
      <c r="O112" s="2705"/>
      <c r="P112" s="2706"/>
    </row>
    <row r="113" spans="1:16" s="329" customFormat="1" ht="13.15" customHeight="1">
      <c r="A113" s="543"/>
      <c r="B113" s="543"/>
      <c r="C113" s="2701">
        <v>4</v>
      </c>
      <c r="D113" s="2702"/>
      <c r="E113" s="2702"/>
      <c r="F113" s="2703"/>
      <c r="G113" s="2704"/>
      <c r="H113" s="2705"/>
      <c r="I113" s="2706"/>
      <c r="J113" s="2701">
        <v>10</v>
      </c>
      <c r="K113" s="2702"/>
      <c r="L113" s="2702"/>
      <c r="M113" s="2703"/>
      <c r="N113" s="2704"/>
      <c r="O113" s="2705"/>
      <c r="P113" s="2706"/>
    </row>
    <row r="114" spans="1:16" s="329" customFormat="1" ht="13.15" customHeight="1">
      <c r="A114" s="543"/>
      <c r="B114" s="543"/>
      <c r="C114" s="2701">
        <v>5</v>
      </c>
      <c r="D114" s="2702"/>
      <c r="E114" s="2702"/>
      <c r="F114" s="2703"/>
      <c r="G114" s="2704"/>
      <c r="H114" s="2705"/>
      <c r="I114" s="2706"/>
      <c r="J114" s="2701">
        <v>11</v>
      </c>
      <c r="K114" s="2702"/>
      <c r="L114" s="2702"/>
      <c r="M114" s="2703"/>
      <c r="N114" s="2704"/>
      <c r="O114" s="2705"/>
      <c r="P114" s="2706"/>
    </row>
    <row r="115" spans="1:16" s="329" customFormat="1" ht="13.15" customHeight="1">
      <c r="A115" s="543"/>
      <c r="B115" s="543"/>
      <c r="C115" s="2707">
        <v>6</v>
      </c>
      <c r="D115" s="2708"/>
      <c r="E115" s="2708"/>
      <c r="F115" s="2709"/>
      <c r="G115" s="2710"/>
      <c r="H115" s="2711"/>
      <c r="I115" s="2712"/>
      <c r="J115" s="2707">
        <v>12</v>
      </c>
      <c r="K115" s="2708"/>
      <c r="L115" s="2708"/>
      <c r="M115" s="2709"/>
      <c r="N115" s="2710"/>
      <c r="O115" s="2711"/>
      <c r="P115" s="2712"/>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3" t="s">
        <v>1917</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2213</v>
      </c>
      <c r="D119" s="1393"/>
      <c r="F119" s="1393" t="s">
        <v>1175</v>
      </c>
      <c r="G119" s="1401"/>
      <c r="H119" s="1401"/>
      <c r="I119" s="1401"/>
      <c r="J119" s="1393" t="s">
        <v>2213</v>
      </c>
      <c r="K119" s="1393"/>
      <c r="M119" s="1393" t="s">
        <v>1175</v>
      </c>
      <c r="N119" s="1401"/>
      <c r="O119" s="1401"/>
      <c r="P119" s="1401"/>
    </row>
    <row r="120" spans="1:16" s="329" customFormat="1" ht="13.15" customHeight="1">
      <c r="A120" s="543"/>
      <c r="B120" s="543"/>
      <c r="C120" s="2695">
        <v>1</v>
      </c>
      <c r="D120" s="2696"/>
      <c r="E120" s="2696"/>
      <c r="F120" s="2697"/>
      <c r="G120" s="2698"/>
      <c r="H120" s="2698"/>
      <c r="I120" s="2713"/>
      <c r="J120" s="2695">
        <v>7</v>
      </c>
      <c r="K120" s="2696"/>
      <c r="L120" s="2696"/>
      <c r="M120" s="2697"/>
      <c r="N120" s="2698"/>
      <c r="O120" s="2698"/>
      <c r="P120" s="2713"/>
    </row>
    <row r="121" spans="1:16" s="329" customFormat="1" ht="13.15" customHeight="1">
      <c r="A121" s="543"/>
      <c r="B121" s="543"/>
      <c r="C121" s="2701">
        <v>2</v>
      </c>
      <c r="D121" s="2702"/>
      <c r="E121" s="2702"/>
      <c r="F121" s="2703"/>
      <c r="G121" s="2704"/>
      <c r="H121" s="2704"/>
      <c r="I121" s="2714"/>
      <c r="J121" s="2701">
        <v>8</v>
      </c>
      <c r="K121" s="2702"/>
      <c r="L121" s="2702"/>
      <c r="M121" s="2703"/>
      <c r="N121" s="2704"/>
      <c r="O121" s="2704"/>
      <c r="P121" s="2714"/>
    </row>
    <row r="122" spans="1:16" s="329" customFormat="1" ht="13.15" customHeight="1">
      <c r="A122" s="543"/>
      <c r="B122" s="543"/>
      <c r="C122" s="2701">
        <v>3</v>
      </c>
      <c r="D122" s="2702"/>
      <c r="E122" s="2702"/>
      <c r="F122" s="2703"/>
      <c r="G122" s="2704"/>
      <c r="H122" s="2704"/>
      <c r="I122" s="2714"/>
      <c r="J122" s="2701">
        <v>9</v>
      </c>
      <c r="K122" s="2702"/>
      <c r="L122" s="2702"/>
      <c r="M122" s="2703"/>
      <c r="N122" s="2704"/>
      <c r="O122" s="2704"/>
      <c r="P122" s="2714"/>
    </row>
    <row r="123" spans="1:16" s="329" customFormat="1" ht="13.15" customHeight="1">
      <c r="A123" s="543"/>
      <c r="B123" s="543"/>
      <c r="C123" s="2701">
        <v>4</v>
      </c>
      <c r="D123" s="2702"/>
      <c r="E123" s="2702"/>
      <c r="F123" s="2703"/>
      <c r="G123" s="2704"/>
      <c r="H123" s="2704"/>
      <c r="I123" s="2714"/>
      <c r="J123" s="2701">
        <v>10</v>
      </c>
      <c r="K123" s="2702"/>
      <c r="L123" s="2702"/>
      <c r="M123" s="2703"/>
      <c r="N123" s="2704"/>
      <c r="O123" s="2704"/>
      <c r="P123" s="2714"/>
    </row>
    <row r="124" spans="1:16" s="329" customFormat="1" ht="13.15" customHeight="1">
      <c r="A124" s="543"/>
      <c r="B124" s="543"/>
      <c r="C124" s="2701">
        <v>5</v>
      </c>
      <c r="D124" s="2702"/>
      <c r="E124" s="2702"/>
      <c r="F124" s="2703"/>
      <c r="G124" s="2704"/>
      <c r="H124" s="2704"/>
      <c r="I124" s="2714"/>
      <c r="J124" s="2701">
        <v>11</v>
      </c>
      <c r="K124" s="2702"/>
      <c r="L124" s="2702"/>
      <c r="M124" s="2703"/>
      <c r="N124" s="2704"/>
      <c r="O124" s="2704"/>
      <c r="P124" s="2714"/>
    </row>
    <row r="125" spans="1:16" s="329" customFormat="1" ht="13.15" customHeight="1">
      <c r="A125" s="543"/>
      <c r="B125" s="543"/>
      <c r="C125" s="2707">
        <v>6</v>
      </c>
      <c r="D125" s="2708"/>
      <c r="E125" s="2708"/>
      <c r="F125" s="2709"/>
      <c r="G125" s="2710"/>
      <c r="H125" s="2710"/>
      <c r="I125" s="2715"/>
      <c r="J125" s="2707">
        <v>12</v>
      </c>
      <c r="K125" s="2708"/>
      <c r="L125" s="2708"/>
      <c r="M125" s="2709"/>
      <c r="N125" s="2710"/>
      <c r="O125" s="2710"/>
      <c r="P125" s="2715"/>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378</v>
      </c>
      <c r="B127" s="354" t="s">
        <v>2503</v>
      </c>
      <c r="D127" s="354"/>
      <c r="E127" s="354"/>
      <c r="F127" s="354"/>
      <c r="H127" s="2642" t="s">
        <v>3156</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2058</v>
      </c>
      <c r="C129" s="335" t="s">
        <v>1777</v>
      </c>
      <c r="H129" s="2642" t="s">
        <v>3156</v>
      </c>
      <c r="M129" s="1401"/>
      <c r="N129" s="1397"/>
      <c r="O129" s="1397"/>
      <c r="P129" s="339"/>
    </row>
    <row r="130" spans="1:16" s="329" customFormat="1" ht="13.15" customHeight="1">
      <c r="A130" s="543"/>
      <c r="B130" s="543"/>
      <c r="C130" s="1393" t="s">
        <v>2505</v>
      </c>
      <c r="D130" s="1393"/>
      <c r="E130" s="1393"/>
      <c r="F130" s="1401"/>
      <c r="H130" s="2716"/>
      <c r="N130" s="1397"/>
      <c r="O130" s="1397"/>
      <c r="P130" s="339"/>
    </row>
    <row r="131" spans="1:16" s="329" customFormat="1" ht="13.15" customHeight="1">
      <c r="A131" s="543"/>
      <c r="B131" s="543"/>
      <c r="C131" s="362" t="s">
        <v>1776</v>
      </c>
      <c r="D131" s="334"/>
      <c r="H131" s="2628"/>
      <c r="I131" s="2630"/>
      <c r="P131" s="339"/>
    </row>
    <row r="132" spans="1:16" s="329" customFormat="1" ht="13.15" customHeight="1">
      <c r="A132" s="543"/>
      <c r="B132" s="543"/>
      <c r="C132" s="1393" t="s">
        <v>2506</v>
      </c>
      <c r="D132" s="1393"/>
      <c r="E132" s="1393"/>
      <c r="F132" s="1401"/>
      <c r="H132" s="2716"/>
      <c r="K132" s="299" t="s">
        <v>2325</v>
      </c>
      <c r="O132" s="2628" t="s">
        <v>502</v>
      </c>
      <c r="P132" s="2630"/>
    </row>
    <row r="133" spans="1:16" s="329" customFormat="1" ht="13.15" customHeight="1">
      <c r="A133" s="543"/>
      <c r="B133" s="543"/>
      <c r="C133" s="1393" t="s">
        <v>2504</v>
      </c>
      <c r="F133" s="1401"/>
      <c r="H133" s="2693"/>
      <c r="K133" s="299" t="s">
        <v>2326</v>
      </c>
      <c r="O133" s="2628" t="s">
        <v>502</v>
      </c>
      <c r="P133" s="2630"/>
    </row>
    <row r="134" spans="1:16" s="329" customFormat="1" ht="13.15" customHeight="1">
      <c r="A134" s="543"/>
      <c r="B134" s="543"/>
      <c r="C134" s="1393" t="s">
        <v>2244</v>
      </c>
      <c r="D134" s="1393"/>
      <c r="E134" s="1393"/>
      <c r="F134" s="1401"/>
      <c r="H134" s="2685"/>
      <c r="I134" s="2686"/>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2061</v>
      </c>
      <c r="C136" s="1388" t="s">
        <v>2576</v>
      </c>
      <c r="D136" s="1393"/>
      <c r="E136" s="1393"/>
      <c r="F136" s="1401"/>
      <c r="H136" s="2693" t="s">
        <v>3156</v>
      </c>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779</v>
      </c>
      <c r="C138" s="1388" t="s">
        <v>2805</v>
      </c>
      <c r="D138" s="1393"/>
      <c r="E138" s="1393"/>
      <c r="F138" s="1401"/>
      <c r="G138" s="1401"/>
      <c r="N138" s="1397"/>
      <c r="O138" s="1397"/>
      <c r="P138" s="339"/>
    </row>
    <row r="139" spans="1:16" s="329" customFormat="1" ht="13.15" customHeight="1">
      <c r="A139" s="543"/>
      <c r="B139" s="543"/>
      <c r="C139" s="1393" t="s">
        <v>748</v>
      </c>
      <c r="D139" s="1393"/>
      <c r="E139" s="1393"/>
      <c r="F139" s="1401"/>
      <c r="G139" s="1401"/>
      <c r="H139" s="2693" t="s">
        <v>3156</v>
      </c>
      <c r="K139" s="1393" t="s">
        <v>1592</v>
      </c>
      <c r="L139" s="1393"/>
      <c r="M139" s="1401"/>
      <c r="N139" s="1401"/>
      <c r="O139" s="2693" t="s">
        <v>3156</v>
      </c>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1792</v>
      </c>
      <c r="B141" s="354" t="s">
        <v>1233</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2058</v>
      </c>
      <c r="C143" s="345" t="s">
        <v>1891</v>
      </c>
      <c r="F143" s="1401"/>
      <c r="G143" s="1401"/>
      <c r="H143" s="1401"/>
      <c r="I143" s="1401"/>
      <c r="J143" s="346"/>
      <c r="K143" s="1401"/>
      <c r="L143" s="1401"/>
      <c r="N143" s="1397"/>
      <c r="O143" s="1397"/>
      <c r="P143" s="339"/>
    </row>
    <row r="144" spans="1:16" s="329" customFormat="1" ht="12.6" customHeight="1">
      <c r="A144" s="543"/>
      <c r="B144" s="543"/>
      <c r="C144" s="353" t="s">
        <v>1584</v>
      </c>
      <c r="D144" s="346"/>
      <c r="E144" s="346"/>
      <c r="F144" s="1401"/>
      <c r="G144" s="1401"/>
      <c r="H144" s="1401"/>
      <c r="I144" s="1401"/>
      <c r="K144" s="2693" t="s">
        <v>3156</v>
      </c>
      <c r="N144" s="1397"/>
      <c r="O144" s="1397"/>
      <c r="P144" s="339"/>
    </row>
    <row r="145" spans="1:16" s="329" customFormat="1" ht="12.6" customHeight="1">
      <c r="A145" s="543"/>
      <c r="B145" s="543"/>
      <c r="C145" s="329" t="s">
        <v>639</v>
      </c>
      <c r="K145" s="2679"/>
      <c r="L145" s="334" t="s">
        <v>1861</v>
      </c>
      <c r="P145" s="363">
        <f>IF('Part VI-Revenues &amp; Expenses'!O$60=0,0,K145/'Part VI-Revenues &amp; Expenses'!$O$60)</f>
        <v>0</v>
      </c>
    </row>
    <row r="146" spans="1:16" s="329" customFormat="1" ht="12.6" customHeight="1">
      <c r="A146" s="543"/>
      <c r="B146" s="543"/>
      <c r="C146" s="329" t="s">
        <v>2245</v>
      </c>
      <c r="K146" s="2679"/>
      <c r="L146" s="334" t="s">
        <v>1861</v>
      </c>
      <c r="P146" s="363">
        <f>IF('Part VI-Revenues &amp; Expenses'!O$60=0,0,K146/'Part VI-Revenues &amp; Expenses'!$O$60)</f>
        <v>0</v>
      </c>
    </row>
    <row r="147" spans="1:16" s="329" customFormat="1" ht="12.6" customHeight="1">
      <c r="A147" s="543"/>
      <c r="B147" s="543"/>
      <c r="C147" s="329" t="s">
        <v>1862</v>
      </c>
      <c r="E147" s="2628"/>
      <c r="F147" s="2629"/>
      <c r="G147" s="2629"/>
      <c r="H147" s="2629"/>
      <c r="I147" s="2629"/>
      <c r="J147" s="2629"/>
      <c r="K147" s="2630"/>
      <c r="L147" s="364" t="s">
        <v>1863</v>
      </c>
      <c r="M147" s="2628"/>
      <c r="N147" s="2629"/>
      <c r="O147" s="2629"/>
      <c r="P147" s="2630"/>
    </row>
    <row r="148" spans="1:16" s="329" customFormat="1" ht="12.6" customHeight="1">
      <c r="A148" s="543"/>
      <c r="B148" s="543"/>
      <c r="C148" s="334" t="s">
        <v>1864</v>
      </c>
      <c r="D148" s="342"/>
      <c r="E148" s="2628"/>
      <c r="F148" s="2629"/>
      <c r="G148" s="2629"/>
      <c r="H148" s="2629"/>
      <c r="I148" s="2629"/>
      <c r="J148" s="2629"/>
      <c r="K148" s="2717"/>
      <c r="L148" s="364" t="s">
        <v>1869</v>
      </c>
      <c r="M148" s="2636"/>
      <c r="N148" s="2641"/>
      <c r="O148" s="2637"/>
    </row>
    <row r="149" spans="1:16" s="329" customFormat="1" ht="12.6" customHeight="1">
      <c r="A149" s="543"/>
      <c r="B149" s="543"/>
      <c r="C149" s="334" t="s">
        <v>642</v>
      </c>
      <c r="E149" s="2628"/>
      <c r="F149" s="2629"/>
      <c r="G149" s="2629"/>
      <c r="H149" s="2630"/>
      <c r="I149" s="359" t="s">
        <v>2308</v>
      </c>
      <c r="J149" s="2718"/>
      <c r="K149" s="2719"/>
      <c r="L149" s="365" t="s">
        <v>2054</v>
      </c>
      <c r="M149" s="2720"/>
      <c r="N149" s="2721"/>
      <c r="O149" s="2722"/>
    </row>
    <row r="150" spans="1:16" s="329" customFormat="1" ht="12.6" customHeight="1">
      <c r="A150" s="543"/>
      <c r="B150" s="543"/>
      <c r="C150" s="334" t="s">
        <v>1867</v>
      </c>
      <c r="E150" s="2636"/>
      <c r="F150" s="2641"/>
      <c r="G150" s="2637"/>
      <c r="H150" s="1390"/>
      <c r="I150" s="1392" t="s">
        <v>1866</v>
      </c>
      <c r="J150" s="2643"/>
      <c r="K150" s="2644"/>
      <c r="L150" s="2644"/>
      <c r="M150" s="2644"/>
      <c r="N150" s="2644"/>
      <c r="O150" s="2644"/>
      <c r="P150" s="2645"/>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2061</v>
      </c>
      <c r="C152" s="1388" t="s">
        <v>2806</v>
      </c>
      <c r="D152" s="1388"/>
      <c r="E152" s="1388"/>
      <c r="F152" s="1388"/>
      <c r="G152" s="1388"/>
      <c r="I152" s="2693" t="s">
        <v>3156</v>
      </c>
      <c r="J152" s="1450" t="s">
        <v>792</v>
      </c>
      <c r="K152" s="1451"/>
      <c r="L152" s="2693"/>
      <c r="M152" s="1447" t="s">
        <v>2406</v>
      </c>
      <c r="N152" s="1448"/>
      <c r="O152" s="1449"/>
      <c r="P152" s="2716"/>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2807</v>
      </c>
      <c r="D154" s="1388"/>
      <c r="E154" s="1388"/>
      <c r="F154" s="1388"/>
      <c r="G154" s="1388"/>
      <c r="I154" s="2693" t="s">
        <v>3153</v>
      </c>
      <c r="J154" s="1450" t="s">
        <v>792</v>
      </c>
      <c r="K154" s="1451"/>
      <c r="L154" s="2693">
        <v>2038</v>
      </c>
      <c r="M154" s="1447" t="s">
        <v>2406</v>
      </c>
      <c r="N154" s="1448"/>
      <c r="O154" s="1449"/>
      <c r="P154" s="2716">
        <v>5</v>
      </c>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779</v>
      </c>
      <c r="C156" s="1388" t="s">
        <v>1823</v>
      </c>
      <c r="D156" s="1388"/>
      <c r="E156" s="1388"/>
      <c r="F156" s="1388"/>
      <c r="G156" s="1388"/>
      <c r="I156" s="2693" t="s">
        <v>3156</v>
      </c>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2193</v>
      </c>
      <c r="C158" s="1467" t="s">
        <v>2053</v>
      </c>
      <c r="D158" s="1467"/>
      <c r="E158" s="1467"/>
      <c r="F158" s="1467"/>
      <c r="G158" s="1388"/>
      <c r="I158" s="2693" t="s">
        <v>3156</v>
      </c>
      <c r="J158" s="369" t="s">
        <v>2868</v>
      </c>
      <c r="L158" s="1466" t="s">
        <v>4156</v>
      </c>
      <c r="M158" s="1466"/>
      <c r="N158" s="1388"/>
      <c r="O158" s="1388"/>
      <c r="P158" s="2723"/>
    </row>
    <row r="159" spans="1:16" s="329" customFormat="1" ht="12.6" customHeight="1">
      <c r="B159" s="543"/>
      <c r="L159" s="1445" t="s">
        <v>829</v>
      </c>
      <c r="M159" s="1445"/>
      <c r="N159" s="1388"/>
      <c r="O159" s="1388"/>
      <c r="P159" s="2723"/>
    </row>
    <row r="160" spans="1:16" s="329" customFormat="1" ht="12.6" customHeight="1">
      <c r="A160" s="543"/>
      <c r="B160" s="543"/>
      <c r="L160" s="1445" t="s">
        <v>1857</v>
      </c>
      <c r="M160" s="1445"/>
      <c r="N160" s="1388"/>
      <c r="O160" s="1388"/>
      <c r="P160" s="368" t="str">
        <f>IF(P158="","",P159/P158)</f>
        <v/>
      </c>
    </row>
    <row r="161" spans="1:21" s="329" customFormat="1" ht="13.15" customHeight="1">
      <c r="A161" s="543"/>
      <c r="B161" s="543" t="s">
        <v>1801</v>
      </c>
      <c r="C161" s="296" t="s">
        <v>1667</v>
      </c>
      <c r="D161" s="1393"/>
      <c r="E161" s="1393"/>
      <c r="F161" s="1393"/>
      <c r="G161" s="1393"/>
      <c r="H161" s="1401"/>
      <c r="J161" s="338"/>
      <c r="K161" s="346"/>
      <c r="M161" s="1397"/>
      <c r="O161" s="1401"/>
      <c r="P161" s="339"/>
    </row>
    <row r="162" spans="1:21" s="329" customFormat="1" ht="12.6" customHeight="1">
      <c r="A162" s="543"/>
      <c r="B162" s="543"/>
      <c r="C162" s="1397" t="s">
        <v>2291</v>
      </c>
      <c r="D162" s="340"/>
      <c r="E162" s="1397"/>
      <c r="F162" s="1397"/>
      <c r="I162" s="2693" t="s">
        <v>3156</v>
      </c>
      <c r="L162" s="1397" t="s">
        <v>1668</v>
      </c>
      <c r="M162" s="1397"/>
      <c r="N162" s="1397"/>
      <c r="P162" s="2693" t="s">
        <v>3153</v>
      </c>
    </row>
    <row r="163" spans="1:21" s="329" customFormat="1" ht="12.6" customHeight="1">
      <c r="A163" s="543"/>
      <c r="B163" s="543"/>
      <c r="C163" s="1397" t="s">
        <v>2292</v>
      </c>
      <c r="I163" s="2693" t="s">
        <v>3156</v>
      </c>
      <c r="L163" s="1397" t="s">
        <v>2984</v>
      </c>
      <c r="M163" s="1397"/>
      <c r="N163" s="1397"/>
      <c r="P163" s="2693" t="s">
        <v>3156</v>
      </c>
    </row>
    <row r="164" spans="1:21" s="329" customFormat="1" ht="12.6" customHeight="1">
      <c r="A164" s="543"/>
      <c r="C164" s="1397" t="s">
        <v>2828</v>
      </c>
      <c r="I164" s="2693" t="s">
        <v>3156</v>
      </c>
      <c r="L164" s="1397" t="s">
        <v>2791</v>
      </c>
      <c r="N164" s="2724"/>
      <c r="O164" s="2725"/>
      <c r="P164" s="2693" t="s">
        <v>3156</v>
      </c>
    </row>
    <row r="165" spans="1:21" s="329" customFormat="1" ht="12.6" customHeight="1">
      <c r="A165" s="543"/>
      <c r="B165" s="543"/>
      <c r="C165" s="1397" t="s">
        <v>1332</v>
      </c>
      <c r="D165" s="370"/>
      <c r="I165" s="2693" t="s">
        <v>3156</v>
      </c>
      <c r="K165" s="340"/>
      <c r="L165" s="1397" t="s">
        <v>3753</v>
      </c>
      <c r="M165" s="1397"/>
      <c r="N165" s="1397"/>
      <c r="P165" s="2693" t="s">
        <v>3156</v>
      </c>
    </row>
    <row r="166" spans="1:21" s="329" customFormat="1" ht="12.6" customHeight="1">
      <c r="A166" s="543"/>
      <c r="B166" s="331"/>
      <c r="C166" s="1397" t="s">
        <v>1875</v>
      </c>
      <c r="I166" s="2693" t="s">
        <v>3156</v>
      </c>
      <c r="J166" s="369" t="s">
        <v>2869</v>
      </c>
      <c r="O166" s="2726"/>
      <c r="P166" s="2727"/>
    </row>
    <row r="167" spans="1:21" s="329" customFormat="1" ht="12.6" customHeight="1">
      <c r="A167" s="543"/>
      <c r="B167" s="543"/>
      <c r="C167" s="1397" t="s">
        <v>3046</v>
      </c>
      <c r="I167" s="2693" t="s">
        <v>3156</v>
      </c>
      <c r="J167" s="369" t="s">
        <v>2869</v>
      </c>
      <c r="O167" s="2726"/>
      <c r="P167" s="2727"/>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3"/>
      <c r="E170" s="1393"/>
      <c r="F170" s="1401"/>
      <c r="G170" s="1401"/>
      <c r="H170" s="2685"/>
      <c r="I170" s="2686"/>
      <c r="N170" s="1397"/>
      <c r="O170" s="1397"/>
      <c r="P170" s="339"/>
    </row>
    <row r="171" spans="1:21" s="329" customFormat="1" ht="12.6" customHeight="1">
      <c r="A171" s="543"/>
      <c r="B171" s="543"/>
      <c r="C171" s="334" t="s">
        <v>288</v>
      </c>
      <c r="D171" s="1393"/>
      <c r="E171" s="1393"/>
      <c r="F171" s="1401"/>
      <c r="G171" s="1401"/>
      <c r="H171" s="2685"/>
      <c r="I171" s="2686"/>
      <c r="N171" s="1397"/>
      <c r="O171" s="1397"/>
      <c r="P171" s="339"/>
    </row>
    <row r="172" spans="1:21" s="329" customFormat="1" ht="12.6" customHeight="1">
      <c r="A172" s="543"/>
      <c r="B172" s="543"/>
      <c r="C172" s="334" t="s">
        <v>2375</v>
      </c>
      <c r="D172" s="1393"/>
      <c r="E172" s="1393"/>
      <c r="F172" s="1401"/>
      <c r="G172" s="1401"/>
      <c r="H172" s="2685">
        <v>43252</v>
      </c>
      <c r="I172" s="2686"/>
      <c r="N172" s="1397"/>
      <c r="O172" s="1397"/>
      <c r="P172" s="339"/>
    </row>
    <row r="173" spans="1:21" s="329" customFormat="1" ht="6" customHeight="1">
      <c r="B173" s="331"/>
      <c r="C173" s="1397"/>
      <c r="H173" s="1397"/>
      <c r="L173" s="348"/>
      <c r="M173" s="348"/>
      <c r="N173" s="348"/>
      <c r="O173" s="348"/>
      <c r="P173" s="336"/>
    </row>
    <row r="174" spans="1:21" ht="12" customHeight="1">
      <c r="A174" s="357" t="s">
        <v>2900</v>
      </c>
      <c r="C174" s="357" t="s">
        <v>593</v>
      </c>
      <c r="K174" s="357" t="s">
        <v>2331</v>
      </c>
      <c r="L174" s="357" t="s">
        <v>81</v>
      </c>
    </row>
    <row r="175" spans="1:21" ht="106.5" customHeight="1">
      <c r="A175" s="2728" t="s">
        <v>4305</v>
      </c>
      <c r="B175" s="2729"/>
      <c r="C175" s="2729"/>
      <c r="D175" s="2729"/>
      <c r="E175" s="2729"/>
      <c r="F175" s="2729"/>
      <c r="G175" s="2729"/>
      <c r="H175" s="2729"/>
      <c r="I175" s="2729"/>
      <c r="J175" s="2730"/>
      <c r="K175" s="2731"/>
      <c r="L175" s="2732"/>
      <c r="M175" s="2732"/>
      <c r="N175" s="2732"/>
      <c r="O175" s="2732"/>
      <c r="P175" s="2733"/>
      <c r="Q175" s="1442" t="s">
        <v>2796</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6"/>
      <c r="Q229" s="2734"/>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4"/>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4"/>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4"/>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4"/>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4"/>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4"/>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6"/>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37"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6"/>
      <c r="R604" s="1307" t="s">
        <v>2650</v>
      </c>
      <c r="S604" s="1307" t="s">
        <v>332</v>
      </c>
      <c r="T604" s="2737"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37"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37"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37"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37"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37"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37"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37"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37"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37"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37"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37"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37"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37"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5"/>
      <c r="R618" s="1307" t="s">
        <v>2663</v>
      </c>
      <c r="S618" s="1307" t="s">
        <v>2083</v>
      </c>
      <c r="T618" s="2737"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7"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6"/>
      <c r="R620" s="1307" t="s">
        <v>937</v>
      </c>
      <c r="S620" s="1307" t="s">
        <v>1141</v>
      </c>
      <c r="T620" s="2737"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7"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37"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6"/>
      <c r="R623" s="1307" t="s">
        <v>1086</v>
      </c>
      <c r="S623" s="1307" t="s">
        <v>2081</v>
      </c>
      <c r="T623" s="2737"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7"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8"/>
      <c r="R625" s="1307" t="s">
        <v>1088</v>
      </c>
      <c r="S625" s="1307" t="s">
        <v>1577</v>
      </c>
      <c r="T625" s="2737"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37"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6"/>
      <c r="R627" s="1307" t="s">
        <v>1090</v>
      </c>
      <c r="S627" s="1307" t="s">
        <v>164</v>
      </c>
      <c r="T627" s="2737"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6"/>
      <c r="R628" s="1307" t="s">
        <v>1091</v>
      </c>
      <c r="S628" s="1307" t="s">
        <v>1383</v>
      </c>
      <c r="T628" s="2737"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7"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7"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37"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7"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37"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37"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7"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7"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7"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37"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7"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7"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7"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7"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7"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7"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7"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6"/>
      <c r="R646" s="1307" t="s">
        <v>1105</v>
      </c>
      <c r="S646" s="1307" t="s">
        <v>652</v>
      </c>
      <c r="T646" s="2737"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7"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7"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7"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7"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7"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7"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7"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7"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5"/>
      <c r="R655" s="1307" t="s">
        <v>1113</v>
      </c>
      <c r="S655" s="1307" t="s">
        <v>1985</v>
      </c>
      <c r="T655" s="2737"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6"/>
      <c r="R656" s="1307" t="s">
        <v>1114</v>
      </c>
      <c r="S656" s="1307" t="s">
        <v>2081</v>
      </c>
      <c r="T656" s="2737"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7"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7"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6"/>
      <c r="R659" s="1307" t="s">
        <v>1117</v>
      </c>
      <c r="S659" s="1307" t="s">
        <v>2572</v>
      </c>
      <c r="T659" s="2737"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7"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7"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Ae23vM21XSBGhFXWIWLQaEdTcgiJU79QG3xTCJsSdP5AE+yhQ3Z7mjv7EKmodbM7XoINmqx2Qeoaf7bflT09AA==" saltValue="auGjod19qhqveBHM+AdzHA=="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The Village on Park</v>
      </c>
      <c r="B1" s="1972"/>
      <c r="C1" s="1972"/>
      <c r="D1" s="1972"/>
      <c r="E1" s="1972"/>
      <c r="F1" s="1972"/>
      <c r="G1" s="1972"/>
      <c r="H1" s="1972"/>
    </row>
    <row r="2" spans="1:8" ht="21.95" customHeight="1">
      <c r="A2" s="885"/>
      <c r="B2" s="885"/>
      <c r="C2" s="885"/>
      <c r="D2" s="885"/>
      <c r="E2" s="885"/>
      <c r="F2" s="885"/>
      <c r="G2" s="885"/>
      <c r="H2" s="885"/>
    </row>
    <row r="3" spans="1:8" ht="20.25" customHeight="1">
      <c r="C3" s="1971" t="s">
        <v>3241</v>
      </c>
      <c r="D3" s="1971"/>
      <c r="E3" s="1971"/>
      <c r="F3" s="1971"/>
    </row>
    <row r="5" spans="1:8" ht="15.75">
      <c r="D5" s="655"/>
      <c r="E5" s="655" t="s">
        <v>3242</v>
      </c>
    </row>
    <row r="6" spans="1:8" ht="15.75">
      <c r="D6" s="655" t="s">
        <v>2566</v>
      </c>
      <c r="E6" s="655" t="s">
        <v>3243</v>
      </c>
    </row>
    <row r="7" spans="1:8" ht="15">
      <c r="D7" s="656"/>
      <c r="E7" s="656"/>
    </row>
    <row r="8" spans="1:8" ht="15">
      <c r="D8" s="657">
        <v>1</v>
      </c>
      <c r="E8" s="658">
        <f>-'Part VII-Pro Forma'!B23/12</f>
        <v>5395.227451207752</v>
      </c>
    </row>
    <row r="9" spans="1:8" ht="15">
      <c r="D9" s="657">
        <v>2</v>
      </c>
      <c r="E9" s="658">
        <f>-'Part VII-Pro Forma'!C23/12</f>
        <v>5395.227451207752</v>
      </c>
    </row>
    <row r="10" spans="1:8" ht="15">
      <c r="D10" s="657">
        <v>3</v>
      </c>
      <c r="E10" s="658">
        <f>-'Part VII-Pro Forma'!D23/12</f>
        <v>5395.227451207752</v>
      </c>
    </row>
    <row r="11" spans="1:8" ht="15">
      <c r="D11" s="659">
        <v>4</v>
      </c>
      <c r="E11" s="658">
        <f>-'Part VII-Pro Forma'!E23/12</f>
        <v>5395.227451207752</v>
      </c>
    </row>
    <row r="12" spans="1:8" ht="15">
      <c r="D12" s="659">
        <v>5</v>
      </c>
      <c r="E12" s="658">
        <f>-'Part VII-Pro Forma'!F23/12</f>
        <v>5395.227451207752</v>
      </c>
    </row>
    <row r="13" spans="1:8" ht="15">
      <c r="D13" s="657">
        <v>6</v>
      </c>
      <c r="E13" s="658">
        <f>-'Part VII-Pro Forma'!G23/12</f>
        <v>5395.227451207752</v>
      </c>
    </row>
    <row r="14" spans="1:8" ht="15">
      <c r="D14" s="657">
        <v>7</v>
      </c>
      <c r="E14" s="658">
        <f>-'Part VII-Pro Forma'!H23/12</f>
        <v>5395.227451207752</v>
      </c>
    </row>
    <row r="15" spans="1:8" ht="15">
      <c r="D15" s="659">
        <v>8</v>
      </c>
      <c r="E15" s="658">
        <f>-'Part VII-Pro Forma'!I23/12</f>
        <v>5395.227451207752</v>
      </c>
    </row>
    <row r="16" spans="1:8" ht="15">
      <c r="D16" s="657">
        <v>9</v>
      </c>
      <c r="E16" s="658">
        <f>-'Part VII-Pro Forma'!J23/12</f>
        <v>5395.227451207752</v>
      </c>
    </row>
    <row r="17" spans="4:8" ht="15">
      <c r="D17" s="657">
        <v>10</v>
      </c>
      <c r="E17" s="658">
        <f>-'Part VII-Pro Forma'!K23/12</f>
        <v>5395.227451207752</v>
      </c>
    </row>
    <row r="18" spans="4:8" ht="15">
      <c r="D18" s="659">
        <v>11</v>
      </c>
      <c r="E18" s="658">
        <f>-'Part VII-Pro Forma'!B53/12</f>
        <v>5395.227451207752</v>
      </c>
    </row>
    <row r="19" spans="4:8" ht="15">
      <c r="D19" s="657">
        <v>12</v>
      </c>
      <c r="E19" s="658">
        <f>-'Part VII-Pro Forma'!C53/12</f>
        <v>5395.227451207752</v>
      </c>
    </row>
    <row r="20" spans="4:8" ht="15">
      <c r="D20" s="657">
        <v>13</v>
      </c>
      <c r="E20" s="658">
        <f>-'Part VII-Pro Forma'!D53/12</f>
        <v>5395.227451207752</v>
      </c>
    </row>
    <row r="21" spans="4:8" ht="15">
      <c r="D21" s="657">
        <v>14</v>
      </c>
      <c r="E21" s="658">
        <f>-'Part VII-Pro Forma'!E53/12</f>
        <v>5395.227451207752</v>
      </c>
    </row>
    <row r="22" spans="4:8" ht="15">
      <c r="D22" s="657">
        <v>15</v>
      </c>
      <c r="E22" s="658">
        <f>-'Part VII-Pro Forma'!F53/12</f>
        <v>5395.227451207752</v>
      </c>
    </row>
    <row r="23" spans="4:8" ht="15">
      <c r="D23" s="657">
        <v>16</v>
      </c>
      <c r="E23" s="658">
        <f>-'Part VII-Pro Forma'!G53/12</f>
        <v>5395.227451207752</v>
      </c>
    </row>
    <row r="24" spans="4:8" ht="15">
      <c r="D24" s="657">
        <v>17</v>
      </c>
      <c r="E24" s="658">
        <f>-'Part VII-Pro Forma'!H53/12</f>
        <v>5395.227451207752</v>
      </c>
      <c r="H24" s="654" t="s">
        <v>254</v>
      </c>
    </row>
    <row r="25" spans="4:8" ht="15">
      <c r="D25" s="657">
        <v>18</v>
      </c>
      <c r="E25" s="658">
        <f>-'Part VII-Pro Forma'!I53/12</f>
        <v>5395.227451207752</v>
      </c>
    </row>
    <row r="26" spans="4:8" ht="15">
      <c r="D26" s="657">
        <v>19</v>
      </c>
      <c r="E26" s="658">
        <f>-'Part VII-Pro Forma'!J53/12</f>
        <v>5395.227451207752</v>
      </c>
    </row>
    <row r="27" spans="4:8" ht="15">
      <c r="D27" s="657">
        <v>20</v>
      </c>
      <c r="E27" s="658">
        <f>-'Part VII-Pro Forma'!K53/12</f>
        <v>5395.227451207752</v>
      </c>
    </row>
    <row r="28" spans="4:8" ht="15">
      <c r="D28" s="657">
        <v>21</v>
      </c>
      <c r="E28" s="658">
        <f>-'Part VII-Pro Forma'!B83/12</f>
        <v>5395.227451207752</v>
      </c>
    </row>
    <row r="29" spans="4:8" ht="15">
      <c r="D29" s="657">
        <v>22</v>
      </c>
      <c r="E29" s="658">
        <f>-'Part VII-Pro Forma'!C83/12</f>
        <v>5395.227451207752</v>
      </c>
    </row>
    <row r="30" spans="4:8" ht="15">
      <c r="D30" s="657">
        <v>23</v>
      </c>
      <c r="E30" s="658">
        <f>-'Part VII-Pro Forma'!D83/12</f>
        <v>5395.227451207752</v>
      </c>
    </row>
    <row r="31" spans="4:8" ht="15">
      <c r="D31" s="657">
        <v>24</v>
      </c>
      <c r="E31" s="658">
        <f>-'Part VII-Pro Forma'!E83/12</f>
        <v>5395.227451207752</v>
      </c>
    </row>
    <row r="32" spans="4:8" ht="15">
      <c r="D32" s="657">
        <v>25</v>
      </c>
      <c r="E32" s="658">
        <f>-'Part VII-Pro Forma'!F83/12</f>
        <v>5395.227451207752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3244</v>
      </c>
      <c r="B1" s="1973"/>
      <c r="C1" s="1973"/>
      <c r="D1" s="1973"/>
      <c r="E1" s="1973"/>
      <c r="F1" s="1973"/>
      <c r="G1" s="1973"/>
      <c r="H1" s="1973"/>
      <c r="I1" s="1973"/>
      <c r="J1" s="1973"/>
      <c r="K1" s="1973"/>
    </row>
    <row r="2" spans="1:11" ht="15">
      <c r="A2" s="1029" t="str">
        <f>Overview!E8</f>
        <v>2016-028</v>
      </c>
      <c r="B2" s="1029" t="str">
        <f>Overview!C8</f>
        <v>The Village on Park</v>
      </c>
      <c r="C2" s="1030"/>
    </row>
    <row r="3" spans="1:11" ht="12.6" customHeight="1">
      <c r="A3" s="1030"/>
      <c r="B3" s="1030"/>
      <c r="C3" s="1030"/>
    </row>
    <row r="4" spans="1:11" ht="18">
      <c r="A4" s="1031" t="s">
        <v>3836</v>
      </c>
      <c r="B4" s="1030"/>
      <c r="C4" s="1030"/>
    </row>
    <row r="5" spans="1:11" s="983" customFormat="1" ht="17.25" customHeight="1">
      <c r="C5" s="1976" t="s">
        <v>3820</v>
      </c>
      <c r="D5" s="1977"/>
      <c r="E5" s="1978"/>
      <c r="F5" s="705"/>
      <c r="G5" s="1976" t="s">
        <v>3821</v>
      </c>
      <c r="H5" s="1977"/>
      <c r="I5" s="1978"/>
      <c r="J5" s="1028"/>
      <c r="K5" s="1032" t="s">
        <v>3825</v>
      </c>
    </row>
    <row r="6" spans="1:11" s="1034" customFormat="1" ht="15" customHeight="1">
      <c r="A6" s="1033" t="s">
        <v>2820</v>
      </c>
      <c r="C6" s="1035" t="s">
        <v>3816</v>
      </c>
      <c r="D6" s="1035" t="s">
        <v>3245</v>
      </c>
      <c r="E6" s="1035" t="s">
        <v>2066</v>
      </c>
      <c r="G6" s="1035" t="s">
        <v>3817</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3818</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10550624</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3819</v>
      </c>
    </row>
    <row r="11" spans="1:11" s="705" customFormat="1" ht="13.5" customHeight="1">
      <c r="A11" s="1041" t="s">
        <v>3815</v>
      </c>
      <c r="C11" s="1042">
        <f>'DCA Underwriting Assumptions'!$N$54</f>
        <v>199229</v>
      </c>
      <c r="D11" s="1043" t="e">
        <f>#REF!</f>
        <v>#REF!</v>
      </c>
      <c r="E11" s="1044" t="e">
        <f>C11*D11</f>
        <v>#REF!</v>
      </c>
      <c r="G11" s="1042">
        <f>'DCA Underwriting Assumptions'!$N$54</f>
        <v>199229</v>
      </c>
      <c r="H11" s="1043" t="e">
        <f>#REF!</f>
        <v>#REF!</v>
      </c>
      <c r="I11" s="1044" t="e">
        <f>G11*H11</f>
        <v>#REF!</v>
      </c>
      <c r="K11" s="1979" t="s">
        <v>3826</v>
      </c>
    </row>
    <row r="12" spans="1:11" ht="13.5" customHeight="1" thickBot="1">
      <c r="A12" s="1045" t="s">
        <v>3782</v>
      </c>
      <c r="D12" s="1046" t="e">
        <f>SUM(D7:D11)</f>
        <v>#REF!</v>
      </c>
      <c r="E12" s="1047"/>
      <c r="G12" s="1045" t="s">
        <v>1859</v>
      </c>
      <c r="H12" s="1046" t="e">
        <f>SUM(H7:H11)</f>
        <v>#REF!</v>
      </c>
      <c r="I12" s="1047"/>
      <c r="K12" s="1980"/>
    </row>
    <row r="13" spans="1:11" s="705" customFormat="1" ht="13.5" customHeight="1" thickBot="1">
      <c r="A13" s="1045" t="s">
        <v>3247</v>
      </c>
      <c r="B13" s="1048"/>
      <c r="E13" s="1049" t="e">
        <f>SUM(E7:E11)</f>
        <v>#REF!</v>
      </c>
      <c r="G13" s="1045" t="s">
        <v>3501</v>
      </c>
      <c r="H13" s="1048"/>
      <c r="I13" s="1050" t="e">
        <f>SUM(I7:I11)</f>
        <v>#REF!</v>
      </c>
      <c r="K13" s="1040">
        <f>'Part VIII-Threshold Criteria'!$P$65</f>
        <v>10550704</v>
      </c>
    </row>
    <row r="14" spans="1:11" ht="11.25" customHeight="1">
      <c r="G14" s="1051" t="s">
        <v>3822</v>
      </c>
    </row>
    <row r="15" spans="1:11" s="705" customFormat="1" ht="13.5" customHeight="1"/>
    <row r="16" spans="1:11" ht="16.5" customHeight="1">
      <c r="A16" s="1031" t="s">
        <v>3837</v>
      </c>
    </row>
    <row r="17" spans="1:11" ht="6" customHeight="1"/>
    <row r="18" spans="1:11" s="705" customFormat="1" ht="13.5" customHeight="1">
      <c r="A18" s="705" t="s">
        <v>3824</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3823</v>
      </c>
      <c r="K21" s="1055" t="e">
        <f>K18/K19</f>
        <v>#REF!</v>
      </c>
    </row>
    <row r="22" spans="1:11" ht="9" customHeight="1"/>
    <row r="23" spans="1:11" s="705" customFormat="1" ht="13.5" customHeight="1">
      <c r="A23" s="705" t="s">
        <v>3781</v>
      </c>
      <c r="C23" s="1056"/>
      <c r="E23" s="1052" t="s">
        <v>3253</v>
      </c>
      <c r="K23" s="874">
        <f>K9</f>
        <v>10550624</v>
      </c>
    </row>
    <row r="24" spans="1:11" s="705" customFormat="1" ht="13.5" customHeight="1">
      <c r="A24" s="1057" t="s">
        <v>1826</v>
      </c>
      <c r="K24" s="1040">
        <f>'Part IV-Uses of Funds'!$G$121</f>
        <v>151115</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10399509</v>
      </c>
    </row>
    <row r="29" spans="1:11" ht="9" customHeight="1">
      <c r="A29" s="1054"/>
      <c r="K29" s="1062"/>
    </row>
    <row r="30" spans="1:11" s="705" customFormat="1" ht="15" customHeight="1">
      <c r="A30" s="1048" t="s">
        <v>3256</v>
      </c>
      <c r="E30" s="1052" t="s">
        <v>3831</v>
      </c>
      <c r="F30" s="1063"/>
      <c r="G30" s="1063"/>
      <c r="H30" s="1063"/>
      <c r="I30" s="1063"/>
      <c r="K30" s="1064" t="e">
        <f>K21*K28</f>
        <v>#REF!</v>
      </c>
    </row>
    <row r="31" spans="1:11" ht="27.75" customHeight="1">
      <c r="K31" s="1062"/>
    </row>
    <row r="32" spans="1:11" s="705" customFormat="1" ht="16.5" customHeight="1">
      <c r="A32" s="1065" t="s">
        <v>3838</v>
      </c>
      <c r="B32" s="1048"/>
      <c r="C32" s="1048"/>
      <c r="D32" s="1048"/>
      <c r="E32" s="1052"/>
    </row>
    <row r="33" spans="1:11" ht="6" customHeight="1" thickBot="1"/>
    <row r="34" spans="1:11" s="705" customFormat="1" ht="24" customHeight="1" thickBot="1">
      <c r="A34" s="1066" t="s">
        <v>3834</v>
      </c>
      <c r="B34" s="1048"/>
      <c r="C34" s="1048"/>
      <c r="D34" s="1048"/>
      <c r="E34" s="1052" t="s">
        <v>3832</v>
      </c>
      <c r="K34" s="1067" t="e">
        <f>MIN(E13,K30)</f>
        <v>#REF!</v>
      </c>
    </row>
    <row r="35" spans="1:11" ht="6" customHeight="1"/>
    <row r="36" spans="1:11" s="705" customFormat="1" ht="15" customHeight="1">
      <c r="A36" s="1048" t="s">
        <v>3835</v>
      </c>
      <c r="E36" s="1052" t="s">
        <v>3833</v>
      </c>
      <c r="K36" s="1068">
        <f>Overview!C25</f>
        <v>1060000</v>
      </c>
    </row>
    <row r="37" spans="1:11" s="705" customFormat="1" ht="9" customHeight="1" thickBot="1">
      <c r="E37" s="1069"/>
      <c r="F37" s="1069"/>
      <c r="G37" s="1069"/>
      <c r="H37" s="1069"/>
      <c r="K37" s="1070"/>
    </row>
    <row r="38" spans="1:11" s="705" customFormat="1" ht="15.75" customHeight="1">
      <c r="A38" s="1981" t="s">
        <v>3829</v>
      </c>
      <c r="B38" s="1981"/>
      <c r="C38" s="1981"/>
      <c r="D38" s="1984" t="s">
        <v>3251</v>
      </c>
      <c r="E38" s="1984"/>
      <c r="F38" s="1984" t="s">
        <v>3252</v>
      </c>
      <c r="G38" s="1984"/>
      <c r="H38" s="1984"/>
      <c r="I38" s="1071" t="s">
        <v>2959</v>
      </c>
      <c r="K38" s="1974" t="e">
        <f>ROUND((D39/F39)*I39,0)</f>
        <v>#REF!</v>
      </c>
    </row>
    <row r="39" spans="1:11" s="705" customFormat="1" ht="15.75" customHeight="1" thickBot="1">
      <c r="A39" s="1981"/>
      <c r="B39" s="1981"/>
      <c r="C39" s="1981"/>
      <c r="D39" s="1983">
        <f>K36</f>
        <v>1060000</v>
      </c>
      <c r="E39" s="1983"/>
      <c r="F39" s="1982">
        <f>K28</f>
        <v>10399509</v>
      </c>
      <c r="G39" s="1982"/>
      <c r="H39" s="1982"/>
      <c r="I39" s="1072" t="e">
        <f>K19</f>
        <v>#REF!</v>
      </c>
      <c r="K39" s="1975"/>
    </row>
    <row r="40" spans="1:11" ht="12.75" customHeight="1">
      <c r="D40" s="1073" t="s">
        <v>3830</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2016-028  The Village on Park</v>
      </c>
      <c r="B1" s="1985"/>
      <c r="C1" s="1985"/>
      <c r="D1" s="1985"/>
      <c r="E1" s="1985"/>
      <c r="F1" s="1985"/>
      <c r="G1" s="1985"/>
      <c r="H1" s="1985"/>
    </row>
    <row r="3" spans="1:13" ht="12" customHeight="1">
      <c r="A3" s="1986" t="s">
        <v>3784</v>
      </c>
      <c r="B3" s="1986"/>
      <c r="C3" s="1986"/>
      <c r="D3" s="1986"/>
      <c r="E3" s="1986"/>
      <c r="F3" s="1986"/>
      <c r="G3" s="1986"/>
      <c r="H3" s="1986"/>
      <c r="I3" s="689"/>
      <c r="J3" s="662" t="s">
        <v>3257</v>
      </c>
      <c r="K3" s="662"/>
      <c r="L3" s="662"/>
      <c r="M3" s="662"/>
    </row>
    <row r="5" spans="1:13" ht="12" customHeight="1">
      <c r="A5" s="660">
        <v>1</v>
      </c>
      <c r="C5" s="660" t="s">
        <v>3258</v>
      </c>
      <c r="E5" s="690" t="str">
        <f>Overview!H9</f>
        <v>The Village on Park, LP</v>
      </c>
    </row>
    <row r="6" spans="1:13" ht="3" customHeight="1">
      <c r="H6" s="883"/>
    </row>
    <row r="7" spans="1:13" ht="12" customHeight="1">
      <c r="A7" s="660">
        <v>2</v>
      </c>
      <c r="C7" s="660" t="s">
        <v>3259</v>
      </c>
      <c r="E7" s="690" t="str">
        <f>'Part II-Development Team'!H6</f>
        <v>119 N. Robinson Ave., Suite 630</v>
      </c>
    </row>
    <row r="8" spans="1:13" ht="12" customHeight="1">
      <c r="E8" s="690" t="str">
        <f>+'Part II-Development Team'!H7&amp;","&amp;" "&amp;'Part II-Development Team'!H8&amp;" "&amp;LEFT('Part II-Development Team'!J8,5)</f>
        <v>Oklahoma City, OK 73102</v>
      </c>
    </row>
    <row r="9" spans="1:13" ht="12" customHeight="1">
      <c r="C9" s="660" t="s">
        <v>3260</v>
      </c>
      <c r="E9" s="1987"/>
      <c r="F9" s="1987"/>
    </row>
    <row r="10" spans="1:13" ht="12" customHeight="1">
      <c r="C10" s="660" t="s">
        <v>3261</v>
      </c>
      <c r="E10" s="690" t="str">
        <f>'Part II-Development Team'!Q5</f>
        <v>Shawn Smith</v>
      </c>
    </row>
    <row r="11" spans="1:13" ht="12" customHeight="1">
      <c r="C11" s="660" t="s">
        <v>3262</v>
      </c>
      <c r="E11" s="690">
        <f>'Part II-Development Team'!O9</f>
        <v>0</v>
      </c>
    </row>
    <row r="12" spans="1:13" ht="12" customHeight="1">
      <c r="C12" s="660" t="s">
        <v>3263</v>
      </c>
      <c r="E12" s="699">
        <f>'Part II-Development Team'!H9</f>
        <v>4056045074</v>
      </c>
    </row>
    <row r="13" spans="1:13" ht="12" customHeight="1">
      <c r="C13" s="660" t="s">
        <v>3264</v>
      </c>
      <c r="E13" s="699" t="str">
        <f>'Part II-Development Team'!L9</f>
        <v>rhudspeth@belmontmgt.net</v>
      </c>
    </row>
    <row r="14" spans="1:13" ht="3" customHeight="1"/>
    <row r="15" spans="1:13" ht="12" customHeight="1">
      <c r="A15" s="660">
        <v>3</v>
      </c>
      <c r="C15" s="660" t="s">
        <v>3265</v>
      </c>
      <c r="E15" s="690" t="str">
        <f>Overview!C8</f>
        <v>The Village on Park</v>
      </c>
    </row>
    <row r="16" spans="1:13" ht="12" customHeight="1">
      <c r="C16" s="660" t="s">
        <v>3266</v>
      </c>
      <c r="E16" s="690" t="str">
        <f>'Part I-Project Information'!$F$25</f>
        <v>W. Park Street</v>
      </c>
    </row>
    <row r="17" spans="1:8" ht="12" customHeight="1">
      <c r="E17" s="690" t="str">
        <f>+'Part I-Project Information'!$F$28&amp;","&amp;" "&amp;'Part I-Project Information'!$J$29&amp;" "&amp;LEFT('Part I-Project Information'!$J$28,5)</f>
        <v>Hahira, Lowndes 31632</v>
      </c>
    </row>
    <row r="18" spans="1:8" ht="3" customHeight="1"/>
    <row r="19" spans="1:8" ht="12" customHeight="1">
      <c r="A19" s="660">
        <v>4</v>
      </c>
      <c r="C19" s="660" t="s">
        <v>3267</v>
      </c>
      <c r="E19" s="690" t="str">
        <f>'Part II-Development Team'!H92</f>
        <v>Gateway Management Company, LLC</v>
      </c>
    </row>
    <row r="20" spans="1:8" ht="12" customHeight="1">
      <c r="C20" s="660" t="s">
        <v>3268</v>
      </c>
      <c r="E20" s="690" t="str">
        <f>'Part II-Development Team'!H93</f>
        <v>22 Inverness Center Parkway, Suite 222</v>
      </c>
    </row>
    <row r="21" spans="1:8" ht="12" customHeight="1">
      <c r="E21" s="690" t="str">
        <f>+'Part II-Development Team'!H94&amp;","&amp;" "&amp;'Part II-Development Team'!H95&amp;" "&amp;LEFT('Part II-Development Team'!J95,5)</f>
        <v xml:space="preserve">Birmingham, AL </v>
      </c>
    </row>
    <row r="22" spans="1:8" ht="12" customHeight="1">
      <c r="C22" s="660" t="s">
        <v>3263</v>
      </c>
      <c r="E22" s="699">
        <f>'Part II-Development Team'!H96</f>
        <v>2059803245</v>
      </c>
    </row>
    <row r="23" spans="1:8" ht="12" customHeight="1">
      <c r="C23" s="660" t="s">
        <v>3264</v>
      </c>
      <c r="E23" s="699" t="str">
        <f>'Part II-Development Team'!L96</f>
        <v>rfleece@gatewaymgt.com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3783</v>
      </c>
      <c r="E28" s="660" t="str">
        <f>Overview!$C$9</f>
        <v>&lt;&lt;Select&gt;&gt;</v>
      </c>
    </row>
    <row r="29" spans="1:8" ht="3" customHeight="1">
      <c r="H29" s="661"/>
    </row>
    <row r="30" spans="1:8" ht="12" customHeight="1">
      <c r="A30" s="660">
        <v>6</v>
      </c>
      <c r="C30" s="660" t="s">
        <v>3270</v>
      </c>
      <c r="E30" s="660" t="s">
        <v>2494</v>
      </c>
      <c r="F30" s="691">
        <f>'Part III-Sources of Funds'!L19</f>
        <v>6278532</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480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Village on Park GP, LLC</v>
      </c>
    </row>
    <row r="48" spans="1:7" ht="3" customHeight="1">
      <c r="E48" s="690"/>
    </row>
    <row r="49" spans="1:7" ht="12" customHeight="1">
      <c r="A49" s="660">
        <v>15</v>
      </c>
      <c r="C49" s="660" t="s">
        <v>3285</v>
      </c>
      <c r="E49" s="690" t="str">
        <f>'Part II-Development Team'!Q98</f>
        <v>Thomas Kurrie, Jr.</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3785</v>
      </c>
    </row>
    <row r="59" spans="1:7" ht="3" customHeight="1">
      <c r="F59" s="667"/>
    </row>
    <row r="60" spans="1:7" ht="12" customHeight="1">
      <c r="A60" s="660">
        <v>20</v>
      </c>
      <c r="C60" s="660" t="s">
        <v>3291</v>
      </c>
      <c r="F60" s="696">
        <f>'Part VII-Pro Forma'!$K$67</f>
        <v>790797.34335938434</v>
      </c>
      <c r="G60" s="695">
        <v>300</v>
      </c>
    </row>
    <row r="61" spans="1:7" ht="3" customHeight="1"/>
    <row r="62" spans="1:7" ht="12" customHeight="1">
      <c r="A62" s="660">
        <v>21</v>
      </c>
      <c r="C62" s="660" t="s">
        <v>3803</v>
      </c>
      <c r="E62" s="662" t="s">
        <v>3786</v>
      </c>
      <c r="F62" s="869" t="s">
        <v>3787</v>
      </c>
      <c r="G62" s="662" t="s">
        <v>3292</v>
      </c>
    </row>
    <row r="63" spans="1:7" ht="12" customHeight="1">
      <c r="E63" s="662" t="s">
        <v>3786</v>
      </c>
      <c r="F63" s="869" t="s">
        <v>3787</v>
      </c>
      <c r="G63" s="662"/>
    </row>
    <row r="64" spans="1:7" ht="3" customHeight="1"/>
    <row r="65" spans="1:6" ht="12" customHeight="1">
      <c r="A65" s="660">
        <v>22</v>
      </c>
      <c r="C65" s="660" t="s">
        <v>3293</v>
      </c>
      <c r="E65" s="690" t="str">
        <f>Overview!H9</f>
        <v>The Village on Park,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151115</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59372</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3504</v>
      </c>
      <c r="B1" s="1999"/>
      <c r="C1" s="1999"/>
      <c r="D1" s="1999"/>
      <c r="E1" s="1999"/>
      <c r="F1" s="1999"/>
      <c r="G1" s="1999"/>
      <c r="H1" s="1999"/>
      <c r="I1" s="1999"/>
      <c r="J1" s="1999"/>
    </row>
    <row r="2" spans="1:10" ht="15">
      <c r="A2" s="1999" t="str">
        <f>Overview!E8&amp;"  "&amp;Overview!C8</f>
        <v>2016-028  The Village on Park</v>
      </c>
      <c r="B2" s="1999"/>
      <c r="C2" s="1999"/>
      <c r="D2" s="1999"/>
      <c r="E2" s="1999"/>
      <c r="F2" s="1999"/>
      <c r="G2" s="1999"/>
      <c r="H2" s="1999"/>
      <c r="I2" s="1999"/>
      <c r="J2" s="1999"/>
    </row>
    <row r="3" spans="1:10" ht="6" customHeight="1"/>
    <row r="4" spans="1:10" ht="12" customHeight="1">
      <c r="A4" s="1074" t="s">
        <v>3301</v>
      </c>
    </row>
    <row r="5" spans="1:10" ht="12" customHeight="1">
      <c r="A5" s="1028" t="s">
        <v>3302</v>
      </c>
      <c r="C5" s="1075" t="str">
        <f>'Subsidy Layering Memo'!D6</f>
        <v>(Underwriter)</v>
      </c>
      <c r="F5" s="2002" t="s">
        <v>3257</v>
      </c>
      <c r="G5" s="2002"/>
      <c r="H5" s="2002"/>
      <c r="I5" s="1075"/>
    </row>
    <row r="6" spans="1:10" ht="6" customHeight="1">
      <c r="C6" s="961"/>
      <c r="D6" s="1075"/>
      <c r="I6" s="1075"/>
    </row>
    <row r="7" spans="1:10" ht="12" customHeight="1">
      <c r="A7" s="1074" t="s">
        <v>3303</v>
      </c>
      <c r="C7" s="961"/>
      <c r="D7" s="1075"/>
      <c r="I7" s="1075"/>
    </row>
    <row r="8" spans="1:10" ht="12" customHeight="1">
      <c r="A8" s="1028" t="s">
        <v>3304</v>
      </c>
      <c r="C8" s="1075" t="str">
        <f>Overview!$H$9</f>
        <v>The Village on Park,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Shawn Smith</v>
      </c>
      <c r="G15" s="961"/>
      <c r="I15" s="1075"/>
    </row>
    <row r="16" spans="1:10" ht="12" customHeight="1">
      <c r="A16" s="1079" t="s">
        <v>2055</v>
      </c>
      <c r="C16" s="1078" t="str">
        <f>'Part II-Development Team'!$Q$6</f>
        <v>Manager of GP</v>
      </c>
      <c r="G16" s="961"/>
      <c r="I16" s="1075"/>
    </row>
    <row r="17" spans="1:9" ht="3" customHeight="1">
      <c r="G17" s="961"/>
      <c r="H17" s="1075"/>
      <c r="I17" s="1075"/>
    </row>
    <row r="18" spans="1:9" ht="12" customHeight="1">
      <c r="A18" s="1028" t="s">
        <v>3308</v>
      </c>
      <c r="C18" s="1078" t="str">
        <f>'Preview term'!$E$7</f>
        <v>119 N. Robinson Ave., Suite 630</v>
      </c>
      <c r="G18" s="961"/>
      <c r="I18" s="1075"/>
    </row>
    <row r="19" spans="1:9" ht="12" customHeight="1">
      <c r="C19" s="1078" t="str">
        <f>'Preview term'!$E$8</f>
        <v>Oklahoma City, OK 73102</v>
      </c>
      <c r="G19" s="961"/>
      <c r="I19" s="1075"/>
    </row>
    <row r="20" spans="1:9" ht="3" customHeight="1">
      <c r="G20" s="961"/>
      <c r="H20" s="1075"/>
      <c r="I20" s="1075"/>
    </row>
    <row r="21" spans="1:9" ht="12" customHeight="1">
      <c r="A21" s="1028" t="s">
        <v>3309</v>
      </c>
      <c r="C21" s="1078" t="str">
        <f>'Preview term'!$E$49</f>
        <v>Thomas Kurrie, Jr.</v>
      </c>
      <c r="G21" s="961"/>
      <c r="I21" s="1075"/>
    </row>
    <row r="22" spans="1:9" ht="3" customHeight="1">
      <c r="C22" s="1078"/>
      <c r="G22" s="961"/>
      <c r="I22" s="1075"/>
    </row>
    <row r="23" spans="1:9" ht="12" customHeight="1">
      <c r="A23" s="1028" t="s">
        <v>3310</v>
      </c>
      <c r="C23" s="1078">
        <f>'Part II-Development Team'!$H$102</f>
        <v>2292427562</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The Village on Park</v>
      </c>
      <c r="I28" s="1075"/>
    </row>
    <row r="29" spans="1:9" ht="3" customHeight="1">
      <c r="C29" s="1078"/>
      <c r="I29" s="1075"/>
    </row>
    <row r="30" spans="1:9" ht="12" customHeight="1">
      <c r="A30" s="1028" t="s">
        <v>3314</v>
      </c>
      <c r="C30" s="1078" t="str">
        <f>'Preview term'!E16</f>
        <v>W. Park Street</v>
      </c>
      <c r="I30" s="1075"/>
    </row>
    <row r="31" spans="1:9">
      <c r="C31" s="1075" t="str">
        <f>'Preview term'!E17</f>
        <v>Hahira, Lowndes 31632</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Washer and dryer in each unit, Computer Center, Equipped Fitness Facility, Equipped Playground, </v>
      </c>
      <c r="D41" s="1990"/>
      <c r="E41" s="1990"/>
      <c r="F41" s="1990"/>
      <c r="G41" s="1990"/>
      <c r="H41" s="1990"/>
      <c r="I41" s="1990"/>
      <c r="J41" s="1990"/>
    </row>
    <row r="42" spans="1:10" ht="3" customHeight="1">
      <c r="G42" s="961"/>
      <c r="H42" s="961"/>
      <c r="I42" s="961"/>
    </row>
    <row r="43" spans="1:10" ht="25.5" customHeight="1">
      <c r="A43" s="1087" t="s">
        <v>3322</v>
      </c>
      <c r="C43" s="1991" t="s">
        <v>3788</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3323</v>
      </c>
      <c r="C45" s="871" t="str">
        <f>'Part I-Project Information'!$J$29</f>
        <v>Lowndes</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3328</v>
      </c>
      <c r="B54" s="1087"/>
      <c r="C54" s="1092" t="s">
        <v>3329</v>
      </c>
      <c r="D54" s="1092" t="s">
        <v>3789</v>
      </c>
      <c r="E54" s="1993"/>
      <c r="F54" s="1993"/>
      <c r="G54" s="1993"/>
      <c r="H54" s="1993"/>
      <c r="I54" s="1993"/>
      <c r="J54" s="1993"/>
    </row>
    <row r="55" spans="1:10" ht="12" customHeight="1">
      <c r="A55" s="1087"/>
      <c r="B55" s="1087"/>
      <c r="C55" s="1087"/>
      <c r="D55" s="1092" t="s">
        <v>3790</v>
      </c>
      <c r="E55" s="1994"/>
      <c r="F55" s="1994"/>
      <c r="G55" s="1994"/>
      <c r="H55" s="1994"/>
      <c r="I55" s="1994"/>
      <c r="J55" s="1994"/>
    </row>
    <row r="56" spans="1:10" ht="12" customHeight="1">
      <c r="A56" s="1074" t="s">
        <v>3330</v>
      </c>
      <c r="G56" s="961"/>
      <c r="H56" s="961"/>
      <c r="I56" s="961"/>
    </row>
    <row r="57" spans="1:10" ht="18" customHeight="1">
      <c r="A57" s="1028" t="s">
        <v>3331</v>
      </c>
      <c r="C57" s="1076" t="str">
        <f>Overview!C10</f>
        <v>Village on Park GP, LLC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6278532</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3846</v>
      </c>
      <c r="D79" s="1100">
        <v>24</v>
      </c>
      <c r="I79" s="961"/>
    </row>
    <row r="80" spans="1:10" ht="3" customHeight="1">
      <c r="D80" s="1094"/>
      <c r="E80" s="961"/>
      <c r="F80" s="961"/>
      <c r="I80" s="961"/>
    </row>
    <row r="81" spans="1:9" ht="12" customHeight="1">
      <c r="A81" s="1028" t="s">
        <v>3347</v>
      </c>
      <c r="C81" s="1028" t="s">
        <v>2494</v>
      </c>
      <c r="D81" s="1101">
        <f>'Preview term'!F39</f>
        <v>480</v>
      </c>
      <c r="E81" s="961" t="s">
        <v>3795</v>
      </c>
      <c r="I81" s="961"/>
    </row>
    <row r="82" spans="1:9" ht="3" customHeight="1">
      <c r="D82" s="1094"/>
      <c r="G82" s="961"/>
      <c r="H82" s="961"/>
      <c r="I82" s="961"/>
    </row>
    <row r="83" spans="1:9" ht="12" customHeight="1">
      <c r="A83" s="1028" t="s">
        <v>3348</v>
      </c>
      <c r="D83" s="1102">
        <v>0</v>
      </c>
      <c r="E83" s="1103">
        <f>D83*12</f>
        <v>0</v>
      </c>
      <c r="F83" s="961" t="s">
        <v>3847</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790797.34335938434</v>
      </c>
      <c r="D87" s="1105" t="s">
        <v>3791</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Sterling Bank</v>
      </c>
      <c r="I94" s="961"/>
    </row>
    <row r="95" spans="1:9" ht="12" customHeight="1">
      <c r="C95" s="1094"/>
      <c r="D95" s="961"/>
      <c r="E95" s="1094" t="s">
        <v>1863</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1866</v>
      </c>
      <c r="F97" s="1996"/>
      <c r="G97" s="1996"/>
      <c r="H97" s="1996"/>
      <c r="I97" s="961"/>
    </row>
    <row r="98" spans="1:10" ht="12" customHeight="1">
      <c r="B98" s="1079" t="s">
        <v>3359</v>
      </c>
      <c r="C98" s="1098" t="s">
        <v>3516</v>
      </c>
      <c r="D98" s="961" t="s">
        <v>3358</v>
      </c>
      <c r="E98" s="1094" t="str">
        <f>'Part III-Sources of Funds'!E37</f>
        <v>USDA RD 538</v>
      </c>
      <c r="I98" s="961"/>
    </row>
    <row r="99" spans="1:10" ht="12" customHeight="1">
      <c r="C99" s="1094"/>
      <c r="D99" s="961"/>
      <c r="E99" s="1094" t="s">
        <v>1863</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3792</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1"/>
      <c r="E108" s="1991"/>
      <c r="F108" s="1991"/>
      <c r="G108" s="1991"/>
      <c r="H108" s="1991"/>
      <c r="I108" s="1991"/>
      <c r="J108" s="1991"/>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3794</v>
      </c>
      <c r="I115" s="961"/>
    </row>
    <row r="116" spans="1:9" ht="12" customHeight="1">
      <c r="C116" s="1076" t="s">
        <v>3793</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Alga Development, LLC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680252</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Gateway Management Company, LLC</v>
      </c>
      <c r="G139" s="961"/>
      <c r="I139" s="961"/>
      <c r="J139" s="1114"/>
    </row>
    <row r="140" spans="1:10" ht="3" customHeight="1">
      <c r="C140" s="1076"/>
      <c r="G140" s="961"/>
      <c r="I140" s="961"/>
    </row>
    <row r="141" spans="1:10" ht="12" customHeight="1">
      <c r="A141" s="1028" t="s">
        <v>3382</v>
      </c>
      <c r="C141" s="1078" t="str">
        <f>C8</f>
        <v>The Village on Park, LP</v>
      </c>
      <c r="G141" s="961"/>
      <c r="I141" s="1075"/>
      <c r="J141" s="1115"/>
    </row>
    <row r="142" spans="1:10" ht="3" customHeight="1">
      <c r="C142" s="1078"/>
      <c r="G142" s="961"/>
      <c r="I142" s="1075"/>
      <c r="J142" s="1115"/>
    </row>
    <row r="143" spans="1:10" ht="12" customHeight="1">
      <c r="A143" s="1028" t="s">
        <v>3383</v>
      </c>
      <c r="C143" s="1078" t="str">
        <f>C132</f>
        <v>Alga Development, LLC</v>
      </c>
      <c r="G143" s="961"/>
      <c r="I143" s="1075"/>
      <c r="J143" s="1115"/>
    </row>
    <row r="144" spans="1:10">
      <c r="C144" s="1078" t="str">
        <f>'Part II-Development Team'!$H$55&amp;", "&amp;'Part II-Development Team'!$H$56&amp;", "&amp;'Part II-Development Team'!$H$57&amp;"  "&amp;'Part II-Development Team'!$J$57</f>
        <v xml:space="preserve">119 N Robinson  Ave., Suite 630, Oklahoma City, OK  </v>
      </c>
      <c r="G144" s="961"/>
      <c r="I144" s="1075"/>
      <c r="J144" s="1115"/>
    </row>
    <row r="145" spans="1:10" ht="3" customHeight="1">
      <c r="C145" s="1116"/>
      <c r="G145" s="961"/>
      <c r="I145" s="1075"/>
      <c r="J145" s="1115"/>
    </row>
    <row r="146" spans="1:10" ht="12" customHeight="1">
      <c r="A146" s="1028" t="s">
        <v>3384</v>
      </c>
      <c r="C146" s="1078" t="str">
        <f>Overview!H10</f>
        <v>Affordable Equity Partners, Inc</v>
      </c>
      <c r="G146" s="961"/>
      <c r="I146" s="1075"/>
      <c r="J146" s="1114"/>
    </row>
    <row r="147" spans="1:10" ht="3" customHeight="1">
      <c r="C147" s="1078"/>
      <c r="G147" s="961"/>
      <c r="I147" s="1075"/>
      <c r="J147" s="1115"/>
    </row>
    <row r="148" spans="1:10" ht="12" customHeight="1">
      <c r="A148" s="1028" t="s">
        <v>3385</v>
      </c>
      <c r="C148" s="1078" t="str">
        <f>Overview!K10</f>
        <v>Affordable Equity Partners, Inc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3796</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3848</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3797</v>
      </c>
      <c r="I166" s="961"/>
    </row>
    <row r="167" spans="1:13" ht="3" customHeight="1">
      <c r="E167" s="961"/>
      <c r="G167" s="961"/>
      <c r="I167" s="961"/>
    </row>
    <row r="168" spans="1:13" ht="12" customHeight="1">
      <c r="A168" s="1028" t="s">
        <v>3394</v>
      </c>
      <c r="C168" s="1028" t="s">
        <v>3395</v>
      </c>
      <c r="E168" s="1118">
        <f>'Preview term'!F71</f>
        <v>151115</v>
      </c>
      <c r="G168" s="961"/>
      <c r="I168" s="961"/>
    </row>
    <row r="169" spans="1:13" ht="12" customHeight="1">
      <c r="C169" s="1028" t="s">
        <v>3797</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3798</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0"/>
      <c r="G181" s="2000"/>
      <c r="H181" s="2000"/>
      <c r="I181" s="2000"/>
      <c r="J181" s="2000"/>
    </row>
    <row r="182" spans="1:10" ht="12" customHeight="1">
      <c r="C182" s="1028" t="s">
        <v>3799</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59372</v>
      </c>
      <c r="G185" s="961"/>
      <c r="I185" s="961"/>
    </row>
    <row r="186" spans="1:10" ht="12" customHeight="1">
      <c r="C186" s="1028" t="s">
        <v>3797</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3797</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3801</v>
      </c>
      <c r="B199" s="1087"/>
      <c r="C199" s="1087"/>
      <c r="D199" s="1087"/>
      <c r="E199" s="1092" t="s">
        <v>3800</v>
      </c>
      <c r="F199" s="1995"/>
      <c r="G199" s="1995"/>
      <c r="H199" s="1995"/>
      <c r="I199" s="1995"/>
      <c r="J199" s="1995"/>
    </row>
    <row r="200" spans="1:10" ht="9" customHeight="1">
      <c r="G200" s="961"/>
      <c r="H200" s="961"/>
      <c r="I200" s="961"/>
    </row>
    <row r="201" spans="1:10" ht="12" customHeight="1">
      <c r="A201" s="1120" t="s">
        <v>3505</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8" t="s">
        <v>3100</v>
      </c>
      <c r="B206" s="1988"/>
      <c r="C206" s="1988"/>
      <c r="D206" s="1988"/>
      <c r="E206" s="1988"/>
      <c r="F206" s="1988"/>
      <c r="G206" s="1988"/>
      <c r="H206" s="1988"/>
      <c r="I206" s="1988"/>
      <c r="J206" s="1988"/>
    </row>
    <row r="207" spans="1:10">
      <c r="A207" s="961" t="s">
        <v>3101</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The Village on Park</v>
      </c>
    </row>
    <row r="2" spans="1:11">
      <c r="A2" s="961" t="s">
        <v>3411</v>
      </c>
    </row>
    <row r="3" spans="1:11" ht="3" customHeight="1"/>
    <row r="4" spans="1:11" ht="51.75" customHeight="1">
      <c r="A4" s="1989" t="s">
        <v>3522</v>
      </c>
      <c r="B4" s="1989"/>
      <c r="C4" s="1989"/>
      <c r="D4" s="1989"/>
      <c r="E4" s="1989"/>
      <c r="F4" s="1989"/>
      <c r="G4" s="1989"/>
      <c r="H4" s="1989"/>
      <c r="J4" s="1121">
        <f>SUM('Part VII-Pro Forma'!B14:B16)/12</f>
        <v>28912.379400000002</v>
      </c>
      <c r="K4" s="1028" t="s">
        <v>3849</v>
      </c>
    </row>
    <row r="5" spans="1:11" ht="1.5" customHeight="1">
      <c r="C5" s="1122"/>
      <c r="D5" s="1122"/>
      <c r="E5" s="1122"/>
      <c r="F5" s="1122"/>
      <c r="G5" s="1122"/>
      <c r="H5" s="1122"/>
    </row>
    <row r="6" spans="1:11" ht="12.75" customHeight="1">
      <c r="B6" s="1123" t="s">
        <v>2520</v>
      </c>
      <c r="C6" s="1989" t="s">
        <v>3412</v>
      </c>
      <c r="D6" s="1989"/>
      <c r="E6" s="1989"/>
      <c r="F6" s="1989"/>
      <c r="G6" s="1989"/>
      <c r="H6" s="1989"/>
    </row>
    <row r="7" spans="1:11" ht="12.75" customHeight="1">
      <c r="B7" s="1123" t="s">
        <v>2521</v>
      </c>
      <c r="C7" s="1989" t="s">
        <v>3413</v>
      </c>
      <c r="D7" s="1989"/>
      <c r="E7" s="1989"/>
      <c r="F7" s="1989"/>
      <c r="G7" s="1989"/>
      <c r="H7" s="1989"/>
    </row>
    <row r="8" spans="1:11" ht="3" customHeight="1"/>
    <row r="9" spans="1:11">
      <c r="A9" s="1028" t="s">
        <v>3414</v>
      </c>
    </row>
    <row r="10" spans="1:11" ht="1.5" customHeight="1"/>
    <row r="11" spans="1:11" ht="26.25" customHeight="1">
      <c r="A11" s="1124" t="s">
        <v>2058</v>
      </c>
      <c r="B11" s="2008" t="s">
        <v>3519</v>
      </c>
      <c r="C11" s="2008"/>
      <c r="D11" s="2008"/>
      <c r="E11" s="2008"/>
      <c r="F11" s="2008"/>
      <c r="G11" s="2005">
        <f>'Part III-Sources of Funds'!I45+'Part III-Sources of Funds'!I46</f>
        <v>9474848</v>
      </c>
      <c r="H11" s="2005"/>
    </row>
    <row r="12" spans="1:11" ht="1.5" customHeight="1">
      <c r="G12" s="1087"/>
      <c r="H12" s="1087"/>
    </row>
    <row r="13" spans="1:11" ht="26.25" customHeight="1">
      <c r="A13" s="1124" t="s">
        <v>2061</v>
      </c>
      <c r="B13" s="2008" t="s">
        <v>3520</v>
      </c>
      <c r="C13" s="2008"/>
      <c r="D13" s="2008"/>
      <c r="E13" s="2008"/>
      <c r="F13" s="2008"/>
      <c r="G13" s="2007" t="s">
        <v>3338</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3524</v>
      </c>
      <c r="F16" s="1115"/>
      <c r="G16" s="2006" t="s">
        <v>3156</v>
      </c>
      <c r="H16" s="2006"/>
    </row>
    <row r="17" spans="1:8" ht="1.5" customHeight="1">
      <c r="G17" s="1094"/>
    </row>
    <row r="18" spans="1:8" ht="12" customHeight="1">
      <c r="A18" s="1124" t="s">
        <v>2193</v>
      </c>
      <c r="B18" s="1087" t="s">
        <v>3521</v>
      </c>
      <c r="C18" s="1124"/>
      <c r="D18" s="1124"/>
      <c r="E18" s="1124"/>
      <c r="G18" s="1990" t="s">
        <v>2947</v>
      </c>
      <c r="H18" s="1990"/>
    </row>
    <row r="19" spans="1:8" ht="12" customHeight="1">
      <c r="B19" s="1990"/>
      <c r="C19" s="1990"/>
      <c r="D19" s="1990"/>
      <c r="E19" s="1990"/>
      <c r="F19" s="1990"/>
      <c r="G19" s="1990"/>
      <c r="H19" s="1990"/>
    </row>
    <row r="20" spans="1:8" ht="13.5" customHeight="1"/>
    <row r="21" spans="1:8" ht="12" customHeight="1">
      <c r="A21" s="961" t="s">
        <v>3415</v>
      </c>
    </row>
    <row r="22" spans="1:8" ht="3" customHeight="1"/>
    <row r="23" spans="1:8" ht="26.25" customHeight="1">
      <c r="A23" s="2003" t="s">
        <v>3523</v>
      </c>
      <c r="B23" s="2003"/>
      <c r="C23" s="2003"/>
      <c r="D23" s="2003"/>
      <c r="E23" s="2003"/>
      <c r="F23" s="2003"/>
      <c r="G23" s="2003"/>
      <c r="H23" s="2003"/>
    </row>
    <row r="24" spans="1:8" ht="26.25" customHeight="1">
      <c r="A24" s="2004" t="s">
        <v>3416</v>
      </c>
      <c r="B24" s="2004"/>
      <c r="C24" s="2004"/>
      <c r="D24" s="2004"/>
      <c r="E24" s="2004"/>
      <c r="F24" s="2004"/>
      <c r="G24" s="2004"/>
      <c r="H24" s="2004"/>
    </row>
    <row r="25" spans="1:8" ht="9" customHeight="1">
      <c r="A25" s="1054"/>
    </row>
    <row r="26" spans="1:8">
      <c r="A26" s="1094" t="s">
        <v>3525</v>
      </c>
      <c r="B26" s="1125"/>
      <c r="C26" s="1094" t="s">
        <v>3526</v>
      </c>
      <c r="D26" s="1126" t="s">
        <v>3808</v>
      </c>
    </row>
    <row r="27" spans="1:8" ht="6" customHeight="1"/>
    <row r="28" spans="1:8" ht="12.75" customHeight="1">
      <c r="C28" s="1087" t="s">
        <v>3417</v>
      </c>
      <c r="D28" s="1127" t="s">
        <v>2062</v>
      </c>
      <c r="E28" s="1128"/>
      <c r="F28" s="1989" t="s">
        <v>3418</v>
      </c>
      <c r="G28" s="1989"/>
      <c r="H28" s="1989"/>
    </row>
    <row r="29" spans="1:8" ht="12.75" customHeight="1">
      <c r="C29" s="1129" t="s">
        <v>1403</v>
      </c>
      <c r="D29" s="1127" t="s">
        <v>2064</v>
      </c>
      <c r="E29" s="1989" t="s">
        <v>3530</v>
      </c>
      <c r="F29" s="1989"/>
      <c r="G29" s="1989"/>
      <c r="H29" s="1989"/>
    </row>
    <row r="30" spans="1:8" ht="12.75" customHeight="1">
      <c r="E30" s="1989" t="s">
        <v>3804</v>
      </c>
      <c r="F30" s="1989"/>
      <c r="G30" s="1989"/>
      <c r="H30" s="1989"/>
    </row>
    <row r="31" spans="1:8" ht="12.75" customHeight="1">
      <c r="D31" s="1130" t="s">
        <v>3529</v>
      </c>
      <c r="E31" s="1989" t="s">
        <v>3805</v>
      </c>
      <c r="F31" s="1989"/>
      <c r="G31" s="1989"/>
      <c r="H31" s="1989"/>
    </row>
    <row r="32" spans="1:8" ht="3" customHeight="1">
      <c r="D32" s="1127"/>
      <c r="E32" s="1131"/>
      <c r="F32" s="1131"/>
      <c r="G32" s="1131"/>
      <c r="H32" s="1131"/>
    </row>
    <row r="33" spans="1:11">
      <c r="A33" s="1094" t="s">
        <v>3525</v>
      </c>
      <c r="B33" s="1125"/>
      <c r="C33" s="1094" t="s">
        <v>3527</v>
      </c>
      <c r="D33" s="1126" t="s">
        <v>3809</v>
      </c>
    </row>
    <row r="34" spans="1:11" ht="4.5" customHeight="1"/>
    <row r="35" spans="1:11" ht="12.75" customHeight="1">
      <c r="C35" s="1087" t="s">
        <v>3417</v>
      </c>
      <c r="D35" s="1127" t="s">
        <v>2062</v>
      </c>
      <c r="E35" s="1128"/>
      <c r="F35" s="1989" t="s">
        <v>3418</v>
      </c>
      <c r="G35" s="1989"/>
      <c r="H35" s="1989"/>
    </row>
    <row r="36" spans="1:11" ht="12.75" customHeight="1">
      <c r="C36" s="1129" t="s">
        <v>1403</v>
      </c>
      <c r="D36" s="1127" t="s">
        <v>2064</v>
      </c>
      <c r="E36" s="1989" t="s">
        <v>3531</v>
      </c>
      <c r="F36" s="1989"/>
      <c r="G36" s="1989"/>
      <c r="H36" s="1989"/>
    </row>
    <row r="37" spans="1:11" ht="12.75" customHeight="1">
      <c r="E37" s="1989" t="s">
        <v>3804</v>
      </c>
      <c r="F37" s="1989"/>
      <c r="G37" s="1989"/>
      <c r="H37" s="1989"/>
    </row>
    <row r="38" spans="1:11" ht="12.75" customHeight="1">
      <c r="D38" s="1130" t="s">
        <v>3529</v>
      </c>
      <c r="E38" s="1989" t="s">
        <v>3805</v>
      </c>
      <c r="F38" s="1989"/>
      <c r="G38" s="1989"/>
      <c r="H38" s="1989"/>
    </row>
    <row r="39" spans="1:11" ht="3" customHeight="1">
      <c r="D39" s="1127"/>
      <c r="E39" s="1131"/>
      <c r="F39" s="1131"/>
      <c r="G39" s="1131"/>
      <c r="H39" s="1131"/>
    </row>
    <row r="40" spans="1:11">
      <c r="A40" s="1094" t="s">
        <v>3525</v>
      </c>
      <c r="B40" s="1125"/>
      <c r="C40" s="1094" t="s">
        <v>3528</v>
      </c>
      <c r="D40" s="1126" t="s">
        <v>3810</v>
      </c>
    </row>
    <row r="41" spans="1:11" ht="4.5" customHeight="1"/>
    <row r="42" spans="1:11" ht="12.75" customHeight="1">
      <c r="C42" s="1087" t="s">
        <v>3417</v>
      </c>
      <c r="D42" s="1127" t="s">
        <v>2062</v>
      </c>
      <c r="E42" s="1128"/>
      <c r="F42" s="1989" t="s">
        <v>3418</v>
      </c>
      <c r="G42" s="1989"/>
      <c r="H42" s="1989"/>
      <c r="K42" s="1028" t="s">
        <v>254</v>
      </c>
    </row>
    <row r="43" spans="1:11" ht="12.75" customHeight="1">
      <c r="C43" s="1129" t="s">
        <v>1403</v>
      </c>
      <c r="D43" s="1127" t="s">
        <v>2064</v>
      </c>
      <c r="E43" s="1989" t="s">
        <v>3531</v>
      </c>
      <c r="F43" s="1989"/>
      <c r="G43" s="1989"/>
      <c r="H43" s="1989"/>
    </row>
    <row r="44" spans="1:11" ht="12.75" customHeight="1">
      <c r="E44" s="1989" t="s">
        <v>3804</v>
      </c>
      <c r="F44" s="1989"/>
      <c r="G44" s="1989"/>
      <c r="H44" s="1989"/>
    </row>
    <row r="45" spans="1:11" ht="12.75" customHeight="1">
      <c r="D45" s="1130" t="s">
        <v>3529</v>
      </c>
      <c r="E45" s="1989" t="s">
        <v>3805</v>
      </c>
      <c r="F45" s="1989"/>
      <c r="G45" s="1989"/>
      <c r="H45" s="1989"/>
    </row>
    <row r="46" spans="1:11" ht="9" customHeight="1"/>
    <row r="47" spans="1:11" ht="7.5" customHeight="1">
      <c r="E47" s="1989"/>
      <c r="F47" s="1989"/>
      <c r="G47" s="1989"/>
      <c r="H47" s="1989"/>
    </row>
    <row r="48" spans="1:11">
      <c r="A48" s="1054" t="s">
        <v>3419</v>
      </c>
      <c r="E48" s="1131"/>
      <c r="F48" s="1131"/>
      <c r="G48" s="1131"/>
      <c r="H48" s="1131"/>
    </row>
    <row r="49" spans="1:11" ht="9" customHeight="1"/>
    <row r="50" spans="1:11" ht="26.25" customHeight="1">
      <c r="A50" s="2003" t="s">
        <v>3806</v>
      </c>
      <c r="B50" s="2003"/>
      <c r="C50" s="2003"/>
      <c r="D50" s="2003"/>
      <c r="E50" s="2003"/>
      <c r="F50" s="2003"/>
      <c r="G50" s="2003"/>
      <c r="H50" s="2003"/>
    </row>
    <row r="51" spans="1:11" ht="9" customHeight="1">
      <c r="A51" s="1054"/>
    </row>
    <row r="52" spans="1:11">
      <c r="A52" s="1094" t="s">
        <v>3525</v>
      </c>
      <c r="B52" s="1125"/>
      <c r="C52" s="1094" t="s">
        <v>3526</v>
      </c>
      <c r="D52" s="1126" t="s">
        <v>3807</v>
      </c>
    </row>
    <row r="53" spans="1:11" ht="4.5" customHeight="1"/>
    <row r="54" spans="1:11" ht="12.75" customHeight="1">
      <c r="C54" s="1087" t="s">
        <v>3417</v>
      </c>
      <c r="D54" s="1127" t="s">
        <v>2062</v>
      </c>
      <c r="E54" s="1128"/>
      <c r="F54" s="1989" t="s">
        <v>3418</v>
      </c>
      <c r="G54" s="1989"/>
      <c r="H54" s="1989"/>
    </row>
    <row r="55" spans="1:11" ht="12.75" customHeight="1">
      <c r="C55" s="1129" t="s">
        <v>1403</v>
      </c>
      <c r="D55" s="1127" t="s">
        <v>2064</v>
      </c>
      <c r="E55" s="1989" t="s">
        <v>3813</v>
      </c>
      <c r="F55" s="1989"/>
      <c r="G55" s="1989"/>
      <c r="H55" s="1989"/>
    </row>
    <row r="56" spans="1:11" ht="3" customHeight="1">
      <c r="D56" s="1127"/>
      <c r="E56" s="1131"/>
      <c r="F56" s="1131"/>
      <c r="G56" s="1131"/>
      <c r="H56" s="1131"/>
    </row>
    <row r="57" spans="1:11">
      <c r="A57" s="1094" t="s">
        <v>3525</v>
      </c>
      <c r="B57" s="1125"/>
      <c r="C57" s="1094" t="s">
        <v>3527</v>
      </c>
      <c r="D57" s="1126" t="s">
        <v>3811</v>
      </c>
    </row>
    <row r="58" spans="1:11" ht="4.5" customHeight="1"/>
    <row r="59" spans="1:11">
      <c r="C59" s="1087" t="s">
        <v>3417</v>
      </c>
      <c r="D59" s="1127" t="s">
        <v>2062</v>
      </c>
      <c r="E59" s="1128"/>
      <c r="F59" s="1989" t="s">
        <v>3418</v>
      </c>
      <c r="G59" s="1989"/>
      <c r="H59" s="1989"/>
    </row>
    <row r="60" spans="1:11" ht="12.75" customHeight="1">
      <c r="C60" s="1129" t="s">
        <v>1403</v>
      </c>
      <c r="D60" s="1127" t="s">
        <v>2064</v>
      </c>
      <c r="E60" s="1989" t="s">
        <v>3813</v>
      </c>
      <c r="F60" s="1989"/>
      <c r="G60" s="1989"/>
      <c r="H60" s="1989"/>
    </row>
    <row r="61" spans="1:11" ht="3" customHeight="1">
      <c r="D61" s="1127"/>
      <c r="E61" s="1131"/>
      <c r="F61" s="1131"/>
      <c r="G61" s="1131"/>
      <c r="H61" s="1131"/>
    </row>
    <row r="62" spans="1:11">
      <c r="A62" s="1094" t="s">
        <v>3525</v>
      </c>
      <c r="B62" s="1125"/>
      <c r="C62" s="1094" t="s">
        <v>3528</v>
      </c>
      <c r="D62" s="1126" t="s">
        <v>3812</v>
      </c>
    </row>
    <row r="63" spans="1:11" ht="4.5" customHeight="1"/>
    <row r="64" spans="1:11">
      <c r="C64" s="1087" t="s">
        <v>3417</v>
      </c>
      <c r="D64" s="1127" t="s">
        <v>2062</v>
      </c>
      <c r="E64" s="1128"/>
      <c r="F64" s="1989" t="s">
        <v>3418</v>
      </c>
      <c r="G64" s="1989"/>
      <c r="H64" s="1989"/>
      <c r="K64" s="1028" t="s">
        <v>254</v>
      </c>
    </row>
    <row r="65" spans="3:8" ht="12.75" customHeight="1">
      <c r="C65" s="1129" t="s">
        <v>1403</v>
      </c>
      <c r="D65" s="1127" t="s">
        <v>2064</v>
      </c>
      <c r="E65" s="1989" t="s">
        <v>3813</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3420</v>
      </c>
      <c r="C1" s="2010"/>
      <c r="D1" s="2010"/>
      <c r="E1" s="2010"/>
      <c r="F1" s="2010"/>
      <c r="G1" s="2010"/>
      <c r="H1" s="2010"/>
      <c r="I1" s="2011"/>
    </row>
    <row r="2" spans="2:13">
      <c r="B2" s="2012" t="s">
        <v>3421</v>
      </c>
      <c r="C2" s="2013"/>
      <c r="D2" s="2013"/>
      <c r="E2" s="2013" t="s">
        <v>3422</v>
      </c>
      <c r="F2" s="2013"/>
      <c r="G2" s="2013"/>
      <c r="H2" s="2013" t="s">
        <v>641</v>
      </c>
      <c r="I2" s="2014"/>
      <c r="J2" s="662" t="s">
        <v>3257</v>
      </c>
      <c r="K2" s="662"/>
      <c r="L2" s="663"/>
      <c r="M2" s="663"/>
    </row>
    <row r="3" spans="2:13">
      <c r="B3" s="2015" t="str">
        <f>'Closing term sheet'!C8</f>
        <v>The Village on Park, LP</v>
      </c>
      <c r="C3" s="2016"/>
      <c r="D3" s="2017"/>
      <c r="E3" s="2018"/>
      <c r="F3" s="2019"/>
      <c r="G3" s="2020"/>
      <c r="H3" s="2021" t="str">
        <f>'Preview term'!E15</f>
        <v>The Village on Park</v>
      </c>
      <c r="I3" s="202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W. Park Street</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Hahira</v>
      </c>
      <c r="D32" s="2032"/>
      <c r="E32" s="669" t="s">
        <v>1865</v>
      </c>
      <c r="F32" s="707" t="s">
        <v>880</v>
      </c>
      <c r="G32" s="669" t="s">
        <v>3444</v>
      </c>
      <c r="H32" s="711">
        <f>'Part I-Project Information'!J28</f>
        <v>316321642</v>
      </c>
      <c r="I32" s="717"/>
    </row>
    <row r="33" spans="2:9">
      <c r="B33" s="731" t="s">
        <v>643</v>
      </c>
      <c r="C33" s="2031" t="str">
        <f>'Part I-Project Information'!J29</f>
        <v>Lowndes</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3802</v>
      </c>
      <c r="C35" s="2035">
        <f>'Closing term sheet'!D64</f>
        <v>6278532</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3450</v>
      </c>
      <c r="C40" s="2024"/>
      <c r="D40" s="2024"/>
      <c r="E40" s="2024"/>
      <c r="F40" s="2024"/>
      <c r="G40" s="2024"/>
      <c r="H40" s="2024"/>
      <c r="I40" s="2025"/>
    </row>
    <row r="41" spans="2:9" ht="7.5" customHeight="1">
      <c r="B41" s="2039"/>
      <c r="C41" s="2040"/>
      <c r="D41" s="2040"/>
      <c r="E41" s="664"/>
      <c r="F41" s="664"/>
      <c r="G41" s="726"/>
      <c r="H41" s="664"/>
      <c r="I41" s="717"/>
    </row>
    <row r="42" spans="2:9">
      <c r="B42" s="727" t="s">
        <v>3452</v>
      </c>
      <c r="C42" s="664"/>
      <c r="D42" s="712">
        <v>4</v>
      </c>
      <c r="F42" s="664"/>
      <c r="G42" s="2041" t="s">
        <v>3451</v>
      </c>
      <c r="H42" s="2041"/>
      <c r="I42" s="2042"/>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3463</v>
      </c>
      <c r="C60" s="2024"/>
      <c r="D60" s="2024"/>
      <c r="E60" s="2024"/>
      <c r="F60" s="2024"/>
      <c r="G60" s="2024"/>
      <c r="H60" s="2024"/>
      <c r="I60" s="2025"/>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3">
        <f>'Closing term sheet'!D64</f>
        <v>6278532</v>
      </c>
      <c r="G63" s="2043"/>
      <c r="H63" s="664"/>
      <c r="I63" s="717"/>
    </row>
    <row r="64" spans="2:9">
      <c r="B64" s="716"/>
      <c r="C64" s="661" t="s">
        <v>3466</v>
      </c>
      <c r="D64" s="664"/>
      <c r="E64" s="664"/>
      <c r="F64" s="2044">
        <f>'Part III-Sources of Funds'!I43+'Part III-Sources of Funds'!I44</f>
        <v>0</v>
      </c>
      <c r="G64" s="2044"/>
      <c r="H64" s="664"/>
      <c r="I64" s="717"/>
    </row>
    <row r="65" spans="2:9">
      <c r="B65" s="716"/>
      <c r="C65" s="661" t="s">
        <v>3467</v>
      </c>
      <c r="D65" s="664"/>
      <c r="E65" s="664"/>
      <c r="F65" s="2045"/>
      <c r="G65" s="2045"/>
      <c r="H65" s="664"/>
      <c r="I65" s="717"/>
    </row>
    <row r="66" spans="2:9">
      <c r="B66" s="716"/>
      <c r="C66" s="670" t="s">
        <v>3468</v>
      </c>
      <c r="D66" s="664"/>
      <c r="E66" s="664"/>
      <c r="F66" s="2044">
        <v>11000</v>
      </c>
      <c r="G66" s="2044"/>
      <c r="H66" s="664"/>
      <c r="I66" s="717"/>
    </row>
    <row r="67" spans="2:9">
      <c r="B67" s="716"/>
      <c r="C67" s="661" t="s">
        <v>3469</v>
      </c>
      <c r="D67" s="664"/>
      <c r="E67" s="664"/>
      <c r="F67" s="2046"/>
      <c r="G67" s="2046"/>
      <c r="H67" s="664"/>
      <c r="I67" s="717"/>
    </row>
    <row r="68" spans="2:9">
      <c r="B68" s="716"/>
      <c r="C68" s="666" t="s">
        <v>3470</v>
      </c>
      <c r="D68" s="664"/>
      <c r="E68" s="664"/>
      <c r="F68" s="2047">
        <f>SUM(F63:G67)</f>
        <v>6289532</v>
      </c>
      <c r="G68" s="2047"/>
      <c r="H68" s="664"/>
      <c r="I68" s="717"/>
    </row>
    <row r="69" spans="2:9">
      <c r="B69" s="716"/>
      <c r="C69" s="664"/>
      <c r="D69" s="664"/>
      <c r="E69" s="664"/>
      <c r="F69" s="2048"/>
      <c r="G69" s="2048"/>
      <c r="H69" s="664"/>
      <c r="I69" s="717"/>
    </row>
    <row r="70" spans="2:9">
      <c r="B70" s="718" t="s">
        <v>3471</v>
      </c>
      <c r="C70" s="664"/>
      <c r="D70" s="664"/>
      <c r="E70" s="664"/>
      <c r="F70" s="664"/>
      <c r="G70" s="664"/>
      <c r="H70" s="664"/>
      <c r="I70" s="717"/>
    </row>
    <row r="71" spans="2:9">
      <c r="B71" s="716"/>
      <c r="C71" s="661" t="s">
        <v>3472</v>
      </c>
      <c r="D71" s="664"/>
      <c r="E71" s="664"/>
      <c r="F71" s="2043"/>
      <c r="G71" s="2043"/>
      <c r="H71" s="664"/>
      <c r="I71" s="717"/>
    </row>
    <row r="72" spans="2:9">
      <c r="B72" s="716"/>
      <c r="C72" s="661" t="s">
        <v>3473</v>
      </c>
      <c r="D72" s="664"/>
      <c r="E72" s="664"/>
      <c r="F72" s="2050"/>
      <c r="G72" s="2050"/>
      <c r="H72" s="664"/>
      <c r="I72" s="717"/>
    </row>
    <row r="73" spans="2:9">
      <c r="B73" s="716"/>
      <c r="C73" s="661" t="s">
        <v>3474</v>
      </c>
      <c r="D73" s="664"/>
      <c r="E73" s="664"/>
      <c r="F73" s="2051" t="s">
        <v>3338</v>
      </c>
      <c r="G73" s="2049"/>
      <c r="H73" s="664"/>
      <c r="I73" s="717"/>
    </row>
    <row r="74" spans="2:9">
      <c r="B74" s="716"/>
      <c r="C74" s="666" t="s">
        <v>3475</v>
      </c>
      <c r="D74" s="664"/>
      <c r="E74" s="664"/>
      <c r="F74" s="2047">
        <f>+SUM(F71:G73)</f>
        <v>0</v>
      </c>
      <c r="G74" s="2047"/>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3"/>
      <c r="G77" s="2043"/>
      <c r="H77" s="664"/>
      <c r="I77" s="717"/>
    </row>
    <row r="78" spans="2:9">
      <c r="B78" s="716"/>
      <c r="C78" s="661" t="s">
        <v>3478</v>
      </c>
      <c r="D78" s="664"/>
      <c r="E78" s="664"/>
      <c r="F78" s="2050"/>
      <c r="G78" s="2050"/>
      <c r="H78" s="664"/>
      <c r="I78" s="717"/>
    </row>
    <row r="79" spans="2:9">
      <c r="B79" s="716"/>
      <c r="C79" s="661" t="s">
        <v>3479</v>
      </c>
      <c r="D79" s="664"/>
      <c r="E79" s="664"/>
      <c r="F79" s="2046"/>
      <c r="G79" s="2046"/>
      <c r="H79" s="664"/>
      <c r="I79" s="717"/>
    </row>
    <row r="80" spans="2:9">
      <c r="B80" s="716"/>
      <c r="C80" s="666" t="s">
        <v>3480</v>
      </c>
      <c r="D80" s="664"/>
      <c r="E80" s="664"/>
      <c r="F80" s="2047">
        <f>+SUM(F77:G79)</f>
        <v>0</v>
      </c>
      <c r="G80" s="2047"/>
      <c r="H80" s="664"/>
      <c r="I80" s="717"/>
    </row>
    <row r="81" spans="2:9">
      <c r="B81" s="716"/>
      <c r="C81" s="664"/>
      <c r="D81" s="664"/>
      <c r="E81" s="664"/>
      <c r="F81" s="664"/>
      <c r="G81" s="664"/>
      <c r="H81" s="664"/>
      <c r="I81" s="717"/>
    </row>
    <row r="82" spans="2:9">
      <c r="B82" s="727" t="s">
        <v>3481</v>
      </c>
      <c r="C82" s="661"/>
      <c r="D82" s="664"/>
      <c r="E82" s="664"/>
      <c r="F82" s="2049">
        <f>'Part III-Sources of Funds'!I45+'Part III-Sources of Funds'!I46</f>
        <v>9474848</v>
      </c>
      <c r="G82" s="2049"/>
      <c r="H82" s="664"/>
      <c r="I82" s="717"/>
    </row>
    <row r="83" spans="2:9">
      <c r="B83" s="716"/>
      <c r="C83" s="664"/>
      <c r="D83" s="664"/>
      <c r="E83" s="664"/>
      <c r="F83" s="664"/>
      <c r="G83" s="664"/>
      <c r="H83" s="664"/>
      <c r="I83" s="730" t="s">
        <v>3482</v>
      </c>
    </row>
    <row r="84" spans="2:9">
      <c r="B84" s="718" t="s">
        <v>3483</v>
      </c>
      <c r="C84" s="664"/>
      <c r="D84" s="664"/>
      <c r="E84" s="664"/>
      <c r="F84" s="2049">
        <f>+F82+F80+F74+F68</f>
        <v>15764380</v>
      </c>
      <c r="G84" s="2049"/>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8" customWidth="1"/>
    <col min="2" max="13" width="7.140625" style="3328" customWidth="1"/>
    <col min="14" max="15" width="5.85546875" style="3328" customWidth="1"/>
    <col min="16" max="16384" width="8.85546875" style="3328"/>
  </cols>
  <sheetData>
    <row r="1" spans="1:26" ht="19.5">
      <c r="N1" s="3329" t="s">
        <v>1555</v>
      </c>
      <c r="O1" s="3329"/>
      <c r="P1" s="3329"/>
      <c r="Q1" s="3329"/>
      <c r="R1" s="3329"/>
      <c r="S1" s="3329"/>
      <c r="T1" s="3329"/>
      <c r="U1" s="3329"/>
      <c r="V1" s="3329"/>
      <c r="W1" s="3329"/>
      <c r="X1" s="3329"/>
      <c r="Y1" s="3329"/>
      <c r="Z1" s="3329"/>
    </row>
    <row r="3" spans="1:26">
      <c r="N3" s="3330" t="s">
        <v>1556</v>
      </c>
      <c r="O3" s="3330"/>
      <c r="P3" s="3330"/>
      <c r="Q3" s="3330"/>
      <c r="R3" s="3330"/>
      <c r="S3" s="3330"/>
      <c r="T3" s="3330"/>
      <c r="U3" s="3330"/>
      <c r="V3" s="3330"/>
      <c r="W3" s="3330"/>
      <c r="X3" s="3330"/>
      <c r="Y3" s="3330"/>
      <c r="Z3" s="3330"/>
    </row>
    <row r="4" spans="1:26">
      <c r="N4" s="3331" t="s">
        <v>1557</v>
      </c>
      <c r="O4" s="3331"/>
      <c r="P4" s="3331"/>
      <c r="Q4" s="3331"/>
      <c r="R4" s="3331"/>
      <c r="S4" s="3331"/>
      <c r="T4" s="3331"/>
      <c r="U4" s="3331"/>
      <c r="V4" s="3331"/>
      <c r="W4" s="3331"/>
      <c r="X4" s="3331"/>
      <c r="Y4" s="3331"/>
      <c r="Z4" s="3331"/>
    </row>
    <row r="5" spans="1:26">
      <c r="B5" s="3332"/>
      <c r="C5" s="3332"/>
      <c r="D5" s="3332"/>
      <c r="E5" s="3332"/>
      <c r="F5" s="3332"/>
      <c r="G5" s="3332"/>
      <c r="H5" s="3332"/>
      <c r="I5" s="3332"/>
      <c r="J5" s="3332"/>
      <c r="K5" s="3332"/>
      <c r="L5" s="3332"/>
      <c r="M5" s="3332"/>
      <c r="N5" s="3333" t="s">
        <v>730</v>
      </c>
    </row>
    <row r="6" spans="1:26" ht="57" customHeight="1">
      <c r="A6" s="3334" t="s">
        <v>2865</v>
      </c>
      <c r="B6" s="3334"/>
      <c r="C6" s="3334"/>
      <c r="D6" s="3334"/>
      <c r="E6" s="3334"/>
      <c r="F6" s="3334"/>
      <c r="G6" s="3334"/>
      <c r="H6" s="3334"/>
      <c r="I6" s="3334"/>
      <c r="J6" s="3334"/>
      <c r="K6" s="3334"/>
      <c r="L6" s="3334"/>
      <c r="M6" s="3334"/>
    </row>
    <row r="7" spans="1:26" ht="11.45" customHeight="1">
      <c r="A7" s="3332"/>
      <c r="B7" s="3332"/>
      <c r="C7" s="3332"/>
      <c r="D7" s="3332"/>
      <c r="E7" s="3332"/>
      <c r="F7" s="3332"/>
      <c r="G7" s="3332"/>
      <c r="H7" s="3332"/>
      <c r="I7" s="3332"/>
      <c r="J7" s="3332"/>
      <c r="K7" s="3332"/>
      <c r="L7" s="3332"/>
      <c r="M7" s="3332"/>
    </row>
    <row r="8" spans="1:26">
      <c r="A8" s="3332" t="s">
        <v>735</v>
      </c>
      <c r="B8" s="3332"/>
      <c r="C8" s="3332"/>
      <c r="D8" s="3332"/>
      <c r="E8" s="3332"/>
      <c r="F8" s="3332"/>
      <c r="G8" s="3332"/>
      <c r="H8" s="3332"/>
      <c r="I8" s="3332"/>
      <c r="J8" s="3332"/>
      <c r="K8" s="3332"/>
      <c r="L8" s="3332"/>
      <c r="M8" s="3332"/>
    </row>
    <row r="9" spans="1:26" ht="11.45" customHeight="1">
      <c r="A9" s="3332"/>
      <c r="B9" s="3332"/>
      <c r="C9" s="3332"/>
      <c r="D9" s="3332"/>
      <c r="E9" s="3332"/>
      <c r="F9" s="3332"/>
      <c r="G9" s="3332"/>
      <c r="H9" s="3332"/>
      <c r="I9" s="3332"/>
      <c r="J9" s="3332"/>
      <c r="K9" s="3332"/>
      <c r="L9" s="3332"/>
      <c r="M9" s="3332"/>
    </row>
    <row r="10" spans="1:26">
      <c r="A10" s="3335" t="s">
        <v>1980</v>
      </c>
      <c r="B10" s="3335"/>
      <c r="C10" s="3335"/>
      <c r="D10" s="3335"/>
      <c r="E10" s="3335"/>
      <c r="F10" s="3335"/>
      <c r="G10" s="3335"/>
      <c r="H10" s="3335"/>
      <c r="I10" s="3335"/>
      <c r="J10" s="3335"/>
      <c r="K10" s="3335"/>
      <c r="L10" s="3335"/>
      <c r="M10" s="3335"/>
    </row>
    <row r="11" spans="1:26" ht="6.75" customHeight="1">
      <c r="A11" s="3335"/>
      <c r="B11" s="3335"/>
      <c r="C11" s="3335"/>
      <c r="D11" s="3335"/>
      <c r="E11" s="3335"/>
      <c r="F11" s="3335"/>
      <c r="G11" s="3335"/>
      <c r="H11" s="3335"/>
      <c r="I11" s="3335"/>
      <c r="J11" s="3335"/>
      <c r="K11" s="3335"/>
      <c r="L11" s="3335"/>
      <c r="M11" s="3335"/>
    </row>
    <row r="12" spans="1:26" ht="44.25" customHeight="1">
      <c r="A12" s="3336" t="s">
        <v>4121</v>
      </c>
      <c r="B12" s="3336"/>
      <c r="C12" s="3336"/>
      <c r="D12" s="3336"/>
      <c r="E12" s="3336"/>
      <c r="F12" s="3336"/>
      <c r="G12" s="3336"/>
      <c r="H12" s="3336"/>
      <c r="I12" s="3336"/>
      <c r="J12" s="3336"/>
      <c r="K12" s="3336"/>
      <c r="L12" s="3336"/>
      <c r="M12" s="3336"/>
    </row>
    <row r="13" spans="1:26" ht="3" customHeight="1">
      <c r="A13" s="3335"/>
      <c r="B13" s="3335"/>
      <c r="C13" s="3335"/>
      <c r="D13" s="3335"/>
      <c r="E13" s="3335"/>
      <c r="F13" s="3335"/>
      <c r="G13" s="3335"/>
      <c r="H13" s="3335"/>
      <c r="I13" s="3335"/>
      <c r="J13" s="3335"/>
      <c r="K13" s="3335"/>
      <c r="L13" s="3335"/>
      <c r="M13" s="3335"/>
    </row>
    <row r="14" spans="1:26" ht="104.25" customHeight="1">
      <c r="A14" s="3337" t="s">
        <v>1803</v>
      </c>
      <c r="B14" s="3338" t="s">
        <v>4122</v>
      </c>
      <c r="C14" s="3338"/>
      <c r="D14" s="3338"/>
      <c r="E14" s="3338"/>
      <c r="F14" s="3338"/>
      <c r="G14" s="3338"/>
      <c r="H14" s="3338"/>
      <c r="I14" s="3338"/>
      <c r="J14" s="3338"/>
      <c r="K14" s="3338"/>
      <c r="L14" s="3338"/>
      <c r="M14" s="3338"/>
    </row>
    <row r="15" spans="1:26" ht="57.75" customHeight="1">
      <c r="A15" s="3337" t="s">
        <v>1804</v>
      </c>
      <c r="B15" s="3338" t="s">
        <v>4123</v>
      </c>
      <c r="C15" s="3338"/>
      <c r="D15" s="3338"/>
      <c r="E15" s="3338"/>
      <c r="F15" s="3338"/>
      <c r="G15" s="3338"/>
      <c r="H15" s="3338"/>
      <c r="I15" s="3338"/>
      <c r="J15" s="3338"/>
      <c r="K15" s="3338"/>
      <c r="L15" s="3338"/>
      <c r="M15" s="3338"/>
    </row>
    <row r="16" spans="1:26" ht="119.25" customHeight="1">
      <c r="A16" s="3337" t="s">
        <v>1805</v>
      </c>
      <c r="B16" s="3338" t="s">
        <v>4124</v>
      </c>
      <c r="C16" s="3338"/>
      <c r="D16" s="3338"/>
      <c r="E16" s="3338"/>
      <c r="F16" s="3338"/>
      <c r="G16" s="3338"/>
      <c r="H16" s="3338"/>
      <c r="I16" s="3338"/>
      <c r="J16" s="3338"/>
      <c r="K16" s="3338"/>
      <c r="L16" s="3338"/>
      <c r="M16" s="3338"/>
    </row>
    <row r="17" spans="1:13" ht="159.75" customHeight="1">
      <c r="A17" s="3337" t="s">
        <v>2448</v>
      </c>
      <c r="B17" s="3338" t="s">
        <v>3707</v>
      </c>
      <c r="C17" s="3338"/>
      <c r="D17" s="3338"/>
      <c r="E17" s="3338"/>
      <c r="F17" s="3338"/>
      <c r="G17" s="3338"/>
      <c r="H17" s="3338"/>
      <c r="I17" s="3338"/>
      <c r="J17" s="3338"/>
      <c r="K17" s="3338"/>
      <c r="L17" s="3338"/>
      <c r="M17" s="3338"/>
    </row>
    <row r="18" spans="1:13" ht="45" customHeight="1">
      <c r="A18" s="3337" t="s">
        <v>1606</v>
      </c>
      <c r="B18" s="3338" t="s">
        <v>709</v>
      </c>
      <c r="C18" s="3338"/>
      <c r="D18" s="3338"/>
      <c r="E18" s="3338"/>
      <c r="F18" s="3338"/>
      <c r="G18" s="3338"/>
      <c r="H18" s="3338"/>
      <c r="I18" s="3338"/>
      <c r="J18" s="3338"/>
      <c r="K18" s="3338"/>
      <c r="L18" s="3338"/>
      <c r="M18" s="3338"/>
    </row>
    <row r="19" spans="1:13" ht="177.75" customHeight="1">
      <c r="A19" s="3337" t="s">
        <v>1607</v>
      </c>
      <c r="B19" s="3338" t="s">
        <v>3706</v>
      </c>
      <c r="C19" s="3338"/>
      <c r="D19" s="3338"/>
      <c r="E19" s="3338"/>
      <c r="F19" s="3338"/>
      <c r="G19" s="3338"/>
      <c r="H19" s="3338"/>
      <c r="I19" s="3338"/>
      <c r="J19" s="3338"/>
      <c r="K19" s="3338"/>
      <c r="L19" s="3338"/>
      <c r="M19" s="3338"/>
    </row>
    <row r="20" spans="1:13" ht="57" customHeight="1">
      <c r="A20" s="3337" t="s">
        <v>100</v>
      </c>
      <c r="B20" s="3339" t="s">
        <v>4125</v>
      </c>
      <c r="C20" s="3339"/>
      <c r="D20" s="3339"/>
      <c r="E20" s="3339"/>
      <c r="F20" s="3339"/>
      <c r="G20" s="3339"/>
      <c r="H20" s="3339"/>
      <c r="I20" s="3339"/>
      <c r="J20" s="3339"/>
      <c r="K20" s="3339"/>
      <c r="L20" s="3339"/>
      <c r="M20" s="3339"/>
    </row>
    <row r="21" spans="1:13" ht="57.75" customHeight="1">
      <c r="A21" s="3337" t="s">
        <v>530</v>
      </c>
      <c r="B21" s="3338" t="s">
        <v>3709</v>
      </c>
      <c r="C21" s="3338"/>
      <c r="D21" s="3338"/>
      <c r="E21" s="3338"/>
      <c r="F21" s="3338"/>
      <c r="G21" s="3338"/>
      <c r="H21" s="3338"/>
      <c r="I21" s="3338"/>
      <c r="J21" s="3338"/>
      <c r="K21" s="3338"/>
      <c r="L21" s="3338"/>
      <c r="M21" s="3338"/>
    </row>
    <row r="22" spans="1:13" ht="28.5" customHeight="1">
      <c r="A22" s="3337" t="s">
        <v>531</v>
      </c>
      <c r="B22" s="3338" t="s">
        <v>3763</v>
      </c>
      <c r="C22" s="3338"/>
      <c r="D22" s="3338"/>
      <c r="E22" s="3338"/>
      <c r="F22" s="3338"/>
      <c r="G22" s="3338"/>
      <c r="H22" s="3338"/>
      <c r="I22" s="3338"/>
      <c r="J22" s="3338"/>
      <c r="K22" s="3338"/>
      <c r="L22" s="3338"/>
      <c r="M22" s="3338"/>
    </row>
    <row r="23" spans="1:13" ht="1.5" customHeight="1">
      <c r="A23" s="3335"/>
      <c r="B23" s="3335"/>
      <c r="C23" s="3335"/>
      <c r="D23" s="3335"/>
      <c r="E23" s="3335"/>
      <c r="F23" s="3335"/>
      <c r="G23" s="3335"/>
      <c r="H23" s="3335"/>
      <c r="I23" s="3335"/>
      <c r="J23" s="3335"/>
      <c r="K23" s="3335"/>
      <c r="L23" s="3335"/>
      <c r="M23" s="3335"/>
    </row>
    <row r="24" spans="1:13" ht="3" customHeight="1">
      <c r="A24" s="3335"/>
      <c r="B24" s="3335"/>
      <c r="C24" s="3335"/>
      <c r="D24" s="3335"/>
      <c r="E24" s="3335"/>
      <c r="F24" s="3335"/>
      <c r="G24" s="3335"/>
      <c r="H24" s="3335"/>
      <c r="I24" s="3335"/>
      <c r="J24" s="3335"/>
      <c r="K24" s="3335"/>
      <c r="L24" s="3335"/>
      <c r="M24" s="3335"/>
    </row>
    <row r="25" spans="1:13" ht="13.5" customHeight="1">
      <c r="A25" s="3335" t="s">
        <v>1521</v>
      </c>
      <c r="B25" s="3335"/>
      <c r="C25" s="3335"/>
      <c r="D25" s="3335"/>
      <c r="E25" s="3335"/>
      <c r="F25" s="3335"/>
      <c r="G25" s="3335"/>
      <c r="H25" s="3335"/>
      <c r="I25" s="3335"/>
      <c r="J25" s="3335"/>
      <c r="K25" s="3335"/>
      <c r="L25" s="3335"/>
      <c r="M25" s="3335"/>
    </row>
    <row r="26" spans="1:13" ht="28.5" customHeight="1">
      <c r="A26" s="914" t="s">
        <v>1522</v>
      </c>
      <c r="B26" s="3338" t="s">
        <v>3764</v>
      </c>
      <c r="C26" s="3338"/>
      <c r="D26" s="3338"/>
      <c r="E26" s="3338"/>
      <c r="F26" s="3338"/>
      <c r="G26" s="3338"/>
      <c r="H26" s="3338"/>
      <c r="I26" s="3338"/>
      <c r="J26" s="3338"/>
      <c r="K26" s="3338"/>
      <c r="L26" s="3338"/>
      <c r="M26" s="3338"/>
    </row>
    <row r="27" spans="1:13" ht="28.5" customHeight="1">
      <c r="A27" s="914" t="s">
        <v>1522</v>
      </c>
      <c r="B27" s="3338" t="s">
        <v>3765</v>
      </c>
      <c r="C27" s="3338"/>
      <c r="D27" s="3338"/>
      <c r="E27" s="3338"/>
      <c r="F27" s="3338"/>
      <c r="G27" s="3338"/>
      <c r="H27" s="3338"/>
      <c r="I27" s="3338"/>
      <c r="J27" s="3338"/>
      <c r="K27" s="3338"/>
      <c r="L27" s="3338"/>
      <c r="M27" s="3338"/>
    </row>
    <row r="28" spans="1:13" ht="71.25" customHeight="1">
      <c r="A28" s="914" t="s">
        <v>1522</v>
      </c>
      <c r="B28" s="3338" t="s">
        <v>2866</v>
      </c>
      <c r="C28" s="3338"/>
      <c r="D28" s="3338"/>
      <c r="E28" s="3338"/>
      <c r="F28" s="3338"/>
      <c r="G28" s="3338"/>
      <c r="H28" s="3338"/>
      <c r="I28" s="3338"/>
      <c r="J28" s="3338"/>
      <c r="K28" s="3338"/>
      <c r="L28" s="3338"/>
      <c r="M28" s="3338"/>
    </row>
    <row r="29" spans="1:13" ht="3" customHeight="1">
      <c r="A29" s="3335"/>
      <c r="B29" s="3335"/>
      <c r="C29" s="3335"/>
      <c r="D29" s="3335"/>
      <c r="E29" s="3335"/>
      <c r="F29" s="3335"/>
      <c r="G29" s="3335"/>
      <c r="H29" s="3335"/>
      <c r="I29" s="3335"/>
      <c r="J29" s="3335"/>
      <c r="K29" s="3335"/>
      <c r="L29" s="3335"/>
      <c r="M29" s="3335"/>
    </row>
    <row r="30" spans="1:13" ht="43.5" customHeight="1">
      <c r="A30" s="3338" t="s">
        <v>979</v>
      </c>
      <c r="B30" s="3338"/>
      <c r="C30" s="3338"/>
      <c r="D30" s="3338"/>
      <c r="E30" s="3338"/>
      <c r="F30" s="3338"/>
      <c r="G30" s="3338"/>
      <c r="H30" s="3338"/>
      <c r="I30" s="3338"/>
      <c r="J30" s="3338"/>
      <c r="K30" s="3338"/>
      <c r="L30" s="3338"/>
      <c r="M30" s="3338"/>
    </row>
    <row r="31" spans="1:13" ht="3" customHeight="1">
      <c r="A31" s="3335"/>
      <c r="B31" s="3335"/>
      <c r="C31" s="3335"/>
      <c r="D31" s="3335"/>
      <c r="E31" s="3335"/>
      <c r="F31" s="3335"/>
      <c r="G31" s="3335"/>
      <c r="H31" s="3335"/>
      <c r="I31" s="3335"/>
      <c r="J31" s="3335"/>
      <c r="K31" s="3335"/>
      <c r="L31" s="3335"/>
      <c r="M31" s="3335"/>
    </row>
    <row r="32" spans="1:13" ht="28.5" customHeight="1">
      <c r="A32" s="3338" t="s">
        <v>2867</v>
      </c>
      <c r="B32" s="3338"/>
      <c r="C32" s="3338"/>
      <c r="D32" s="3338"/>
      <c r="E32" s="3338"/>
      <c r="F32" s="3338"/>
      <c r="G32" s="3338"/>
      <c r="H32" s="3338"/>
      <c r="I32" s="3338"/>
      <c r="J32" s="3338"/>
      <c r="K32" s="3338"/>
      <c r="L32" s="3338"/>
      <c r="M32" s="3338"/>
    </row>
    <row r="33" spans="1:13" ht="4.5" customHeight="1">
      <c r="A33" s="3335"/>
      <c r="B33" s="3335"/>
      <c r="C33" s="3335"/>
      <c r="D33" s="3335"/>
      <c r="E33" s="3335"/>
      <c r="F33" s="3335"/>
      <c r="G33" s="3335"/>
      <c r="H33" s="3335"/>
      <c r="I33" s="3335"/>
      <c r="J33" s="3335"/>
      <c r="K33" s="3335"/>
      <c r="L33" s="3335"/>
      <c r="M33" s="3335"/>
    </row>
    <row r="34" spans="1:13">
      <c r="A34" s="3335" t="s">
        <v>955</v>
      </c>
      <c r="B34" s="3335"/>
      <c r="C34" s="3335"/>
      <c r="D34" s="3335"/>
      <c r="E34" s="3335"/>
      <c r="F34" s="3335"/>
      <c r="G34" s="3335"/>
      <c r="H34" s="3335"/>
      <c r="I34" s="3335"/>
      <c r="J34" s="3335"/>
      <c r="K34" s="3335"/>
      <c r="L34" s="3335"/>
      <c r="M34" s="3335"/>
    </row>
    <row r="35" spans="1:13" ht="6" customHeight="1">
      <c r="A35" s="3340"/>
      <c r="B35" s="3340"/>
      <c r="C35" s="3340"/>
      <c r="D35" s="3340"/>
      <c r="E35" s="3340"/>
      <c r="F35" s="3340"/>
      <c r="G35" s="3340"/>
      <c r="H35" s="3340"/>
      <c r="I35" s="3340"/>
      <c r="J35" s="3340"/>
      <c r="K35" s="3340"/>
      <c r="L35" s="3340"/>
      <c r="M35" s="3340"/>
    </row>
    <row r="36" spans="1:13">
      <c r="A36" s="3341"/>
      <c r="B36" s="3341"/>
      <c r="C36" s="3341"/>
      <c r="D36" s="3341"/>
      <c r="E36" s="3341"/>
      <c r="F36" s="3341"/>
      <c r="G36" s="3342"/>
      <c r="H36" s="3341"/>
      <c r="I36" s="3341"/>
      <c r="J36" s="3341"/>
      <c r="K36" s="3341"/>
      <c r="L36" s="3341"/>
      <c r="M36" s="3341"/>
    </row>
    <row r="37" spans="1:13" ht="12" customHeight="1">
      <c r="A37" s="3343" t="s">
        <v>956</v>
      </c>
      <c r="B37" s="3343"/>
      <c r="C37" s="3343"/>
      <c r="D37" s="3343"/>
      <c r="E37" s="3343"/>
      <c r="F37" s="3343"/>
      <c r="G37" s="3342"/>
      <c r="H37" s="3343" t="s">
        <v>2055</v>
      </c>
      <c r="I37" s="3343"/>
      <c r="J37" s="3343"/>
      <c r="K37" s="3343"/>
      <c r="L37" s="3343"/>
      <c r="M37" s="3343"/>
    </row>
    <row r="38" spans="1:13" ht="6" customHeight="1">
      <c r="A38" s="3342"/>
      <c r="B38" s="3342"/>
      <c r="C38" s="3342"/>
      <c r="D38" s="3342"/>
      <c r="E38" s="3342"/>
      <c r="F38" s="3342"/>
      <c r="G38" s="3342"/>
      <c r="H38" s="3342"/>
      <c r="I38" s="3342"/>
      <c r="J38" s="3342"/>
      <c r="K38" s="3342"/>
      <c r="L38" s="3342"/>
      <c r="M38" s="3342"/>
    </row>
    <row r="39" spans="1:13">
      <c r="A39" s="3341"/>
      <c r="B39" s="3341"/>
      <c r="C39" s="3341"/>
      <c r="D39" s="3341"/>
      <c r="E39" s="3341"/>
      <c r="F39" s="3341"/>
      <c r="G39" s="3342"/>
      <c r="H39" s="3344"/>
      <c r="I39" s="3344"/>
      <c r="J39" s="3344"/>
      <c r="K39" s="3344"/>
      <c r="L39" s="3344"/>
      <c r="M39" s="3344"/>
    </row>
    <row r="40" spans="1:13" ht="12" customHeight="1">
      <c r="A40" s="3343" t="s">
        <v>957</v>
      </c>
      <c r="B40" s="3343"/>
      <c r="C40" s="3343"/>
      <c r="D40" s="3343"/>
      <c r="E40" s="3343"/>
      <c r="F40" s="3343"/>
      <c r="G40" s="3342"/>
      <c r="H40" s="3343" t="s">
        <v>958</v>
      </c>
      <c r="I40" s="3343"/>
      <c r="J40" s="3343"/>
      <c r="K40" s="3343"/>
      <c r="L40" s="3343"/>
      <c r="M40" s="3343"/>
    </row>
    <row r="41" spans="1:13" ht="3" customHeight="1">
      <c r="A41" s="3345"/>
      <c r="B41" s="3345"/>
      <c r="C41" s="3345"/>
      <c r="D41" s="3345"/>
      <c r="E41" s="3345"/>
      <c r="F41" s="3345"/>
      <c r="G41" s="3342"/>
      <c r="H41" s="3345"/>
      <c r="I41" s="3345"/>
      <c r="J41" s="3345"/>
      <c r="K41" s="3345"/>
      <c r="L41" s="3345"/>
      <c r="M41" s="3345"/>
    </row>
    <row r="42" spans="1:13" ht="11.45" customHeight="1">
      <c r="A42" s="3332"/>
      <c r="B42" s="3332"/>
      <c r="C42" s="3332"/>
      <c r="D42" s="3332"/>
      <c r="E42" s="3332"/>
      <c r="F42" s="3332"/>
      <c r="G42" s="3332"/>
      <c r="H42" s="3346" t="s">
        <v>959</v>
      </c>
      <c r="I42" s="3346"/>
      <c r="J42" s="3346"/>
      <c r="K42" s="3346"/>
      <c r="L42" s="3346"/>
      <c r="M42" s="3346"/>
    </row>
    <row r="43" spans="1:13" ht="11.45" customHeight="1">
      <c r="A43" s="3332"/>
      <c r="B43" s="3332"/>
      <c r="C43" s="3332"/>
      <c r="D43" s="3332"/>
      <c r="E43" s="3332"/>
      <c r="F43" s="3332"/>
      <c r="G43" s="3332"/>
    </row>
    <row r="44" spans="1:13" ht="11.45" customHeight="1">
      <c r="A44" s="3332"/>
      <c r="B44" s="3332"/>
      <c r="C44" s="3332"/>
      <c r="D44" s="3332"/>
      <c r="E44" s="3332"/>
      <c r="F44" s="3332"/>
      <c r="G44" s="3332"/>
      <c r="H44" s="3332"/>
      <c r="I44" s="3332"/>
      <c r="J44" s="3332"/>
      <c r="K44" s="3332"/>
      <c r="L44" s="3332"/>
      <c r="M44" s="3332"/>
    </row>
    <row r="45" spans="1:13" ht="11.45" customHeight="1">
      <c r="A45" s="3332"/>
      <c r="B45" s="3332"/>
      <c r="C45" s="3332"/>
      <c r="D45" s="3332"/>
      <c r="E45" s="3332"/>
      <c r="F45" s="3332"/>
      <c r="G45" s="3332"/>
      <c r="H45" s="3332"/>
      <c r="I45" s="3332"/>
      <c r="J45" s="3332"/>
      <c r="K45" s="3332"/>
      <c r="L45" s="3332"/>
      <c r="M45" s="3332"/>
    </row>
    <row r="46" spans="1:13" ht="11.45" customHeight="1"/>
    <row r="47" spans="1:13" ht="11.45" customHeight="1"/>
    <row r="48" spans="1:13" ht="11.45" customHeight="1"/>
    <row r="49" ht="11.45" customHeight="1"/>
    <row r="50" ht="11.45" customHeight="1"/>
  </sheetData>
  <sheetProtection algorithmName="SHA-512" hashValue="swElkuoBfMyPTNUqhuljtzp2mU4cXT7sRbQRk1JT6n3A6S32lU16vvOGUuDtysUFAmIPDQXsIsDDvDYwe9HR3w==" saltValue="6CydGnBkgzBq1zQgYkIWe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2" zoomScale="112" zoomScaleNormal="112" workbookViewId="0">
      <selection activeCell="A83" sqref="A83:XFD8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4037</v>
      </c>
      <c r="G11" s="185"/>
      <c r="H11" s="183"/>
      <c r="I11" s="183"/>
      <c r="J11" s="745" t="s">
        <v>4038</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3546</v>
      </c>
      <c r="G13" s="2055"/>
      <c r="H13" s="2055"/>
      <c r="I13" s="2055"/>
      <c r="J13" s="2056"/>
      <c r="K13" s="312"/>
      <c r="L13" s="747" t="s">
        <v>3884</v>
      </c>
      <c r="M13" s="312"/>
      <c r="N13" s="2054" t="s">
        <v>3546</v>
      </c>
      <c r="O13" s="2055"/>
      <c r="P13" s="2055"/>
      <c r="Q13" s="2055"/>
      <c r="R13" s="2056"/>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75">
        <v>110481</v>
      </c>
      <c r="K54" s="875">
        <v>126647</v>
      </c>
      <c r="L54" s="875">
        <v>154003</v>
      </c>
      <c r="M54" s="875">
        <v>199229</v>
      </c>
      <c r="N54" s="875">
        <v>199229</v>
      </c>
      <c r="O54" s="185"/>
      <c r="Q54" s="876">
        <v>1000</v>
      </c>
      <c r="R54" s="876">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4043</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4042</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3" t="s">
        <v>2943</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4141</v>
      </c>
      <c r="B124" s="185"/>
      <c r="C124" s="185"/>
      <c r="D124" s="183"/>
      <c r="E124" s="183"/>
      <c r="F124" s="185" t="s">
        <v>4144</v>
      </c>
      <c r="G124" s="185"/>
      <c r="H124" s="183"/>
      <c r="I124" s="183"/>
      <c r="J124" s="185" t="s">
        <v>4145</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4142</v>
      </c>
      <c r="H125" s="183"/>
      <c r="I125" s="183"/>
      <c r="J125" s="185" t="s">
        <v>4146</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4143</v>
      </c>
      <c r="G126" s="185"/>
      <c r="H126" s="183"/>
      <c r="I126" s="183"/>
      <c r="J126" s="185" t="s">
        <v>4145</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4"/>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4"/>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5"/>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4"/>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4"/>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5"/>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4"/>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2999</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3000</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3001</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3002</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3003</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3004</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3005</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3006</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3007</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3008</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3009</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3010</v>
      </c>
      <c r="S643" s="579" t="s">
        <v>339</v>
      </c>
      <c r="AA643" s="1334"/>
    </row>
    <row r="644" spans="6:27" ht="10.5" customHeight="1">
      <c r="F644" s="371"/>
      <c r="G644" s="348"/>
      <c r="H644" s="348"/>
      <c r="I644" s="348"/>
      <c r="J644" s="348"/>
      <c r="K644" s="348"/>
      <c r="L644" s="348"/>
      <c r="M644" s="348"/>
      <c r="N644" s="678" t="s">
        <v>1196</v>
      </c>
      <c r="O644" s="325"/>
      <c r="P644" s="185"/>
      <c r="Q644" s="433"/>
      <c r="R644" s="680" t="s">
        <v>3011</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2882</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3012</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3013</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60"/>
      <c r="O680" s="2061"/>
      <c r="P680" s="2061"/>
      <c r="Q680" s="2062"/>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3014</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3015</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meTefQbuWA+NlFAB2K7uUEfmQdlFtZzSsLceNUhJ6IerX1WuDE19cGldR3g5zbhIwZZN78KNfp9y4fM6hYGAxQ==" saltValue="ZPxVNeu+VY341AJ8BhG9s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0" workbookViewId="0">
      <selection activeCell="A1010" sqref="A1:XFD1048576"/>
    </sheetView>
  </sheetViews>
  <sheetFormatPr defaultColWidth="9.140625"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0" width="9.85546875" style="877" bestFit="1" customWidth="1"/>
    <col min="11" max="11" width="9.425781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The Village on Park</v>
      </c>
    </row>
    <row r="3" spans="1:1" ht="16.5">
      <c r="A3" s="2066" t="str">
        <f>CONCATENATE('Part I-Project Information'!F28,", ", 'Part I-Project Information'!J29," County")</f>
        <v>Hahira, Lowndes County</v>
      </c>
    </row>
    <row r="5" spans="1:1" ht="12.75" customHeight="1">
      <c r="A5" s="2067" t="str">
        <f>'Project Narrative'!A5</f>
        <v xml:space="preserve">The Village on Park is a proposed 64 unit family housing development.  The Village on Park will be located in Hahira, Lowndes County, Georgia.  The property is located south of West Main, east of Union Road, and north of Park Street.  We believe that the development of The Village on Park will provide quality affordable housing to the residents of Lowndes County.  Not only will The Village on Park provide the needed housing and economic boost, but it will provide it in the most beneficial and desirous location.  There are a multitude of shopping and dining opportunities, a school and a library within two miles of The Village on Park.  
The families in Hahira need safer, quality affordable housing.  The Village on Park will meet those needs.
The Village on Park's site location is a USDA rural eligible location.  
The Village on Park will consist of three residential buildings and a clubhouse.  As stated previously, The Village on Park will be a family housing development and will have other amenities geared towards a family population, such as:  a playground, a covered porch for gathering, a clubhouse for community events, a fully equipped computer center, and a fitness center.
Furthermore, The Village on Park will also participate in the Earth Craft Multi-family program.  This will ensure that the property is developed in a sustainable manner and will extend the useful life of the development beyond what would be expected without the Earth Craft Multi-family program.  This will furthermore ensure that the residents of The Village on Park are afforded a more enjoyable and sustainable environment in which to live.  
The development team will include Village on Park GP, LLC as the managing general partner and Alga Development Company, LLC as the developer. Complementing Alga’s experience will be Fairway Construction Company, Inc. as the general contractor, bringing 27 years of experience with over 130 affordable housing developments completed to-date; Gateway Management Company, LLC, Affordable Equity Partners, Inc. as the syndicator, with over $3 billion State and Federal tax credits syndicated; and Martin Riley Associates Architects as architect, with over 1,000 successful projects
.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4387</v>
      </c>
      <c r="H28" s="2070"/>
      <c r="I28" s="2070"/>
      <c r="J28" s="2070"/>
      <c r="K28" s="2070"/>
      <c r="L28" s="2069"/>
      <c r="M28" s="2070"/>
      <c r="N28" s="2070"/>
      <c r="O28" s="2068" t="s">
        <v>2779</v>
      </c>
      <c r="P28" s="2068"/>
    </row>
    <row r="29" spans="1:16" ht="13.5">
      <c r="A29" s="2069"/>
      <c r="B29" s="2068"/>
      <c r="C29" s="2070"/>
      <c r="D29" s="2070"/>
      <c r="E29" s="2070"/>
      <c r="F29" s="2069"/>
      <c r="G29" s="2072" t="s">
        <v>4388</v>
      </c>
      <c r="H29" s="2073"/>
      <c r="I29" s="2073"/>
      <c r="J29" s="2073"/>
      <c r="K29" s="2070"/>
      <c r="L29" s="2070"/>
      <c r="M29" s="2070"/>
      <c r="N29" s="2070"/>
      <c r="O29" s="2068" t="str">
        <f>'Part I-Project Information'!O4</f>
        <v>2016-028</v>
      </c>
      <c r="P29" s="2068"/>
    </row>
    <row r="30" spans="1:16">
      <c r="A30" s="2069"/>
      <c r="B30" s="2068" t="str">
        <f>'Part I-Project Information'!B5</f>
        <v>May 2016 Revision v6</v>
      </c>
      <c r="C30" s="2068"/>
      <c r="D30" s="2074"/>
      <c r="E30" s="2070"/>
      <c r="F30" s="2068"/>
      <c r="G30" s="2074" t="s">
        <v>3502</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I-Project Information'!$J$7</f>
        <v>820454</v>
      </c>
      <c r="K32" s="2077"/>
      <c r="L32" s="2070"/>
      <c r="M32" s="2073"/>
      <c r="N32" s="2070"/>
      <c r="O32" s="2070"/>
      <c r="P32" s="2070"/>
    </row>
    <row r="33" spans="1:16">
      <c r="A33" s="2078"/>
      <c r="B33" s="2078"/>
      <c r="C33" s="2079"/>
      <c r="E33" s="2080"/>
      <c r="F33" s="2070" t="s">
        <v>1333</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4389</v>
      </c>
      <c r="K35" s="2068"/>
      <c r="L35" s="2073"/>
      <c r="M35" s="2070"/>
      <c r="N35" s="2070"/>
      <c r="O35" s="2070" t="str">
        <f>'Part I-Project Information'!O10</f>
        <v>2016PA-046</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Ryan Hudspeth</v>
      </c>
      <c r="G40" s="2070"/>
      <c r="H40" s="2070"/>
      <c r="I40" s="2070"/>
      <c r="J40" s="2070"/>
      <c r="K40" s="2070"/>
      <c r="L40" s="2070"/>
      <c r="M40" s="2076" t="s">
        <v>2055</v>
      </c>
      <c r="N40" s="2070" t="str">
        <f>'Part I-Project Information'!N15</f>
        <v>Manager</v>
      </c>
      <c r="O40" s="2070"/>
      <c r="P40" s="2070"/>
    </row>
    <row r="41" spans="1:16">
      <c r="A41" s="2070"/>
      <c r="B41" s="2076" t="s">
        <v>2056</v>
      </c>
      <c r="C41" s="2070"/>
      <c r="D41" s="2070"/>
      <c r="E41" s="2070"/>
      <c r="F41" s="2070" t="str">
        <f>'Part I-Project Information'!F16</f>
        <v>119 N. Robinson, Suite 630</v>
      </c>
      <c r="G41" s="2070"/>
      <c r="H41" s="2070"/>
      <c r="I41" s="2070"/>
      <c r="J41" s="2070"/>
      <c r="K41" s="2070"/>
      <c r="L41" s="2070"/>
      <c r="M41" s="2076" t="s">
        <v>1787</v>
      </c>
      <c r="N41" s="2070"/>
      <c r="O41" s="2085">
        <f>'Part I-Project Information'!O16</f>
        <v>0</v>
      </c>
      <c r="P41" s="2085"/>
    </row>
    <row r="42" spans="1:16">
      <c r="A42" s="2070"/>
      <c r="B42" s="2076" t="s">
        <v>642</v>
      </c>
      <c r="C42" s="2070"/>
      <c r="D42" s="2070"/>
      <c r="E42" s="2070"/>
      <c r="F42" s="2070" t="str">
        <f>'Part I-Project Information'!F17</f>
        <v>Oklahoma City</v>
      </c>
      <c r="G42" s="2070"/>
      <c r="H42" s="2070"/>
      <c r="I42" s="2070"/>
      <c r="J42" s="2070"/>
      <c r="K42" s="2070"/>
      <c r="L42" s="2070"/>
      <c r="M42" s="2076" t="s">
        <v>1868</v>
      </c>
      <c r="N42" s="2070"/>
      <c r="O42" s="2085">
        <f>'Part I-Project Information'!O17</f>
        <v>4056045092</v>
      </c>
      <c r="P42" s="2085"/>
    </row>
    <row r="43" spans="1:16">
      <c r="A43" s="2070"/>
      <c r="B43" s="2076" t="s">
        <v>1865</v>
      </c>
      <c r="C43" s="2070"/>
      <c r="D43" s="2070"/>
      <c r="E43" s="2070"/>
      <c r="F43" s="2086" t="str">
        <f>'Part I-Project Information'!F18</f>
        <v>OK</v>
      </c>
      <c r="G43" s="2070"/>
      <c r="H43" s="2070"/>
      <c r="I43" s="2073" t="s">
        <v>2308</v>
      </c>
      <c r="J43" s="2087">
        <f>'Part I-Project Information'!J18</f>
        <v>731024617</v>
      </c>
      <c r="K43" s="2087"/>
      <c r="L43" s="2070"/>
      <c r="M43" s="2076" t="s">
        <v>2054</v>
      </c>
      <c r="N43" s="2070"/>
      <c r="O43" s="2085">
        <f>'Part I-Project Information'!O18</f>
        <v>0</v>
      </c>
      <c r="P43" s="2085"/>
    </row>
    <row r="44" spans="1:16">
      <c r="A44" s="2070"/>
      <c r="B44" s="2076" t="s">
        <v>1786</v>
      </c>
      <c r="C44" s="2070"/>
      <c r="D44" s="2070"/>
      <c r="E44" s="2070"/>
      <c r="F44" s="2085">
        <f>'Part I-Project Information'!F19</f>
        <v>4056045074</v>
      </c>
      <c r="G44" s="2085"/>
      <c r="H44" s="2085"/>
      <c r="I44" s="2073" t="s">
        <v>1785</v>
      </c>
      <c r="J44" s="2073">
        <f>'Part I-Project Information'!J19</f>
        <v>0</v>
      </c>
      <c r="K44" s="2073" t="s">
        <v>2059</v>
      </c>
      <c r="L44" s="2070" t="str">
        <f>'Part I-Project Information'!L19</f>
        <v>rhudspeth@belmontmgt.net</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The Village on Park</v>
      </c>
      <c r="G49" s="2089"/>
      <c r="H49" s="2089"/>
      <c r="I49" s="2089"/>
      <c r="J49" s="2089"/>
      <c r="K49" s="2089"/>
      <c r="L49" s="2076" t="s">
        <v>2271</v>
      </c>
      <c r="M49" s="2070"/>
      <c r="N49" s="2070"/>
      <c r="O49" s="2070" t="str">
        <f>'Part I-Project Information'!O24</f>
        <v>No</v>
      </c>
      <c r="P49" s="2070"/>
    </row>
    <row r="50" spans="1:16">
      <c r="A50" s="2090"/>
      <c r="B50" s="2070" t="s">
        <v>2802</v>
      </c>
      <c r="C50" s="2070"/>
      <c r="D50" s="2082"/>
      <c r="E50" s="2070"/>
      <c r="F50" s="2089" t="str">
        <f>'Part I-Project Information'!F25</f>
        <v>W. Park Street</v>
      </c>
      <c r="G50" s="2089"/>
      <c r="H50" s="2089"/>
      <c r="I50" s="2089"/>
      <c r="J50" s="2089"/>
      <c r="K50" s="2089"/>
      <c r="L50" s="2070" t="s">
        <v>4129</v>
      </c>
      <c r="M50" s="2070"/>
      <c r="N50" s="2070"/>
      <c r="O50" s="2070">
        <f>'Part I-Project Information'!O25</f>
        <v>0</v>
      </c>
      <c r="P50" s="2070"/>
    </row>
    <row r="51" spans="1:16">
      <c r="A51" s="2090"/>
      <c r="B51" s="2070" t="s">
        <v>4390</v>
      </c>
      <c r="C51" s="2070"/>
      <c r="D51" s="2082"/>
      <c r="E51" s="2070"/>
      <c r="F51" s="2089" t="str">
        <f>'Part I-Project Information'!F26</f>
        <v>908 W. Park Steet</v>
      </c>
      <c r="G51" s="2089"/>
      <c r="H51" s="2089"/>
      <c r="I51" s="2089"/>
      <c r="J51" s="2089"/>
      <c r="K51" s="2089"/>
      <c r="L51" s="2076" t="s">
        <v>2128</v>
      </c>
      <c r="M51" s="2070"/>
      <c r="N51" s="2070" t="str">
        <f>'Part I-Project Information'!N26</f>
        <v>No</v>
      </c>
      <c r="O51" s="2073" t="s">
        <v>4128</v>
      </c>
      <c r="P51" s="2070">
        <f>'Part I-Project Information'!P26</f>
        <v>0</v>
      </c>
    </row>
    <row r="52" spans="1:16" ht="13.5">
      <c r="A52" s="2090"/>
      <c r="B52" s="2070" t="s">
        <v>2898</v>
      </c>
      <c r="C52" s="2070"/>
      <c r="D52" s="2082"/>
      <c r="E52" s="2070"/>
      <c r="F52" s="2091" t="s">
        <v>4210</v>
      </c>
      <c r="G52" s="2092" t="str">
        <f>'Part I-Project Information'!$G$27</f>
        <v>30.988020</v>
      </c>
      <c r="H52" s="2092"/>
      <c r="I52" s="2091" t="s">
        <v>4211</v>
      </c>
      <c r="J52" s="2092" t="str">
        <f>'Part I-Project Information'!$J$27</f>
        <v>-.83.382642</v>
      </c>
      <c r="K52" s="2092"/>
      <c r="L52" s="2076" t="s">
        <v>2363</v>
      </c>
      <c r="M52" s="2070"/>
      <c r="N52" s="2070"/>
      <c r="O52" s="2093">
        <f>'Part I-Project Information'!O27</f>
        <v>6.5060000000000002</v>
      </c>
      <c r="P52" s="2093"/>
    </row>
    <row r="53" spans="1:16" ht="16.5">
      <c r="A53" s="2069"/>
      <c r="B53" s="2070" t="s">
        <v>642</v>
      </c>
      <c r="C53" s="2070"/>
      <c r="D53" s="2070"/>
      <c r="E53" s="2070"/>
      <c r="F53" s="2070" t="str">
        <f>'Part I-Project Information'!F28</f>
        <v>Hahira</v>
      </c>
      <c r="G53" s="2070"/>
      <c r="H53" s="2070"/>
      <c r="I53" s="2084" t="s">
        <v>4391</v>
      </c>
      <c r="J53" s="2087">
        <f>'Part I-Project Information'!J28</f>
        <v>316321642</v>
      </c>
      <c r="K53" s="2087"/>
      <c r="L53" s="2068" t="str">
        <f>IF(AND(NOT(F49=""),NOT(F53="Select from list"),J53=""),"Enter Zip!","")</f>
        <v/>
      </c>
      <c r="M53" s="2094" t="s">
        <v>3061</v>
      </c>
      <c r="N53" s="2070"/>
      <c r="O53" s="2095" t="str">
        <f>'Part I-Project Information'!O28</f>
        <v>13185010202</v>
      </c>
      <c r="P53" s="2096"/>
    </row>
    <row r="54" spans="1:16">
      <c r="A54" s="2069"/>
      <c r="B54" s="2070" t="s">
        <v>3855</v>
      </c>
      <c r="C54" s="2070"/>
      <c r="D54" s="2070"/>
      <c r="E54" s="2070"/>
      <c r="F54" s="2070" t="str">
        <f>'Part I-Project Information'!F29</f>
        <v>Within City Limits</v>
      </c>
      <c r="G54" s="2070"/>
      <c r="H54" s="2070"/>
      <c r="I54" s="2097" t="s">
        <v>643</v>
      </c>
      <c r="J54" s="2089" t="str">
        <f>'Part I-Project Information'!J29</f>
        <v>Lowndes</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Yes</v>
      </c>
      <c r="G55" s="2070" t="s">
        <v>2899</v>
      </c>
      <c r="H55" s="2070"/>
      <c r="I55" s="2073" t="str">
        <f>'Part I-Project Information'!I30</f>
        <v>No</v>
      </c>
      <c r="J55" s="2073" t="s">
        <v>2920</v>
      </c>
      <c r="K55" s="2073" t="str">
        <f>'Part I-Project Information'!K30</f>
        <v>Rural</v>
      </c>
      <c r="L55" s="2070"/>
      <c r="M55" s="2076" t="s">
        <v>2699</v>
      </c>
      <c r="N55" s="2069" t="e">
        <f>VLOOKUP($J$29,'DCA Underwriting Assumptions'!$G$141:$J$300,4)</f>
        <v>#N/A</v>
      </c>
      <c r="O55" s="2070" t="str">
        <f>'Part I-Project Information'!O30</f>
        <v>Valdosta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4392</v>
      </c>
      <c r="D57" s="2070"/>
      <c r="E57" s="2070"/>
      <c r="F57" s="2100" t="s">
        <v>2878</v>
      </c>
      <c r="G57" s="2100"/>
      <c r="H57" s="2070" t="s">
        <v>766</v>
      </c>
      <c r="I57" s="2070"/>
      <c r="J57" s="2070" t="s">
        <v>767</v>
      </c>
      <c r="K57" s="2070"/>
      <c r="L57" s="2101" t="s">
        <v>4160</v>
      </c>
      <c r="M57" s="2070"/>
      <c r="N57" s="2070"/>
      <c r="O57" s="2070"/>
      <c r="P57" s="2070"/>
    </row>
    <row r="58" spans="1:16">
      <c r="A58" s="2069"/>
      <c r="B58" s="2070" t="s">
        <v>4393</v>
      </c>
      <c r="C58" s="2070"/>
      <c r="D58" s="2068"/>
      <c r="E58" s="2070"/>
      <c r="F58" s="2102">
        <f>'Part I-Project Information'!F33</f>
        <v>8</v>
      </c>
      <c r="G58" s="2102"/>
      <c r="H58" s="2102">
        <f>'Part I-Project Information'!H33</f>
        <v>8</v>
      </c>
      <c r="I58" s="2102"/>
      <c r="J58" s="2102">
        <f>'Part I-Project Information'!J33</f>
        <v>175</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Hahira</v>
      </c>
      <c r="G61" s="2105"/>
      <c r="H61" s="2105"/>
      <c r="I61" s="2105"/>
      <c r="J61" s="2105"/>
      <c r="K61" s="2105"/>
      <c r="L61" s="2106" t="s">
        <v>2808</v>
      </c>
      <c r="M61" s="2070" t="str">
        <f>'Part I-Project Information'!M36</f>
        <v>www.hahiraga.gov</v>
      </c>
      <c r="N61" s="2070"/>
      <c r="O61" s="2070"/>
      <c r="P61" s="2070"/>
    </row>
    <row r="62" spans="1:16">
      <c r="A62" s="2069"/>
      <c r="B62" s="2070" t="s">
        <v>662</v>
      </c>
      <c r="C62" s="2070"/>
      <c r="D62" s="2070"/>
      <c r="E62" s="2070"/>
      <c r="F62" s="2105" t="str">
        <f>'Part I-Project Information'!F37</f>
        <v>Bruce Cain</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102 South Church Street</v>
      </c>
      <c r="G63" s="2105"/>
      <c r="H63" s="2105"/>
      <c r="I63" s="2105"/>
      <c r="J63" s="2105"/>
      <c r="K63" s="2105"/>
      <c r="L63" s="2076" t="s">
        <v>642</v>
      </c>
      <c r="M63" s="2105" t="str">
        <f>'Part I-Project Information'!M38</f>
        <v>Hahira</v>
      </c>
      <c r="N63" s="2105"/>
      <c r="O63" s="2105"/>
      <c r="P63" s="2105"/>
    </row>
    <row r="64" spans="1:16">
      <c r="A64" s="2069"/>
      <c r="B64" s="2076" t="s">
        <v>2308</v>
      </c>
      <c r="C64" s="2070"/>
      <c r="D64" s="2070"/>
      <c r="E64" s="2070"/>
      <c r="F64" s="2087">
        <f>'Part I-Project Information'!F39</f>
        <v>316320000</v>
      </c>
      <c r="G64" s="2087"/>
      <c r="H64" s="2073" t="s">
        <v>2057</v>
      </c>
      <c r="I64" s="2085">
        <f>'Part I-Project Information'!I39</f>
        <v>2297942330</v>
      </c>
      <c r="J64" s="2085"/>
      <c r="K64" s="2085"/>
      <c r="L64" s="2076" t="s">
        <v>1866</v>
      </c>
      <c r="M64" s="2105" t="str">
        <f>'Part I-Project Information'!M39</f>
        <v>bcain@hahiraga.gov</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4394</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64</v>
      </c>
      <c r="I69" s="2075"/>
      <c r="J69" s="2075"/>
      <c r="K69" s="2076" t="s">
        <v>4111</v>
      </c>
      <c r="L69" s="2070"/>
      <c r="M69" s="2110" t="s">
        <v>4110</v>
      </c>
      <c r="N69" s="2109">
        <f>'Part VI-Revenues &amp; Expenses'!$O$81</f>
        <v>0</v>
      </c>
      <c r="O69" s="2111" t="s">
        <v>3544</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3067</v>
      </c>
      <c r="J71" s="2070"/>
      <c r="K71" s="2070" t="s">
        <v>361</v>
      </c>
      <c r="L71" s="2070"/>
      <c r="M71" s="2070"/>
      <c r="N71" s="2070"/>
      <c r="O71" s="2070"/>
      <c r="P71" s="2114" t="str">
        <f>'Part I-Project Information'!P46</f>
        <v>n/a</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3850</v>
      </c>
      <c r="J75" s="2090" t="s">
        <v>2193</v>
      </c>
      <c r="K75" s="2117" t="s">
        <v>2382</v>
      </c>
      <c r="L75" s="2070"/>
      <c r="M75" s="2070"/>
      <c r="N75" s="2070"/>
      <c r="O75" s="2070"/>
      <c r="P75" s="2073"/>
    </row>
    <row r="76" spans="1:16">
      <c r="A76" s="2069"/>
      <c r="B76" s="2086"/>
      <c r="C76" s="2075" t="s">
        <v>2357</v>
      </c>
      <c r="D76" s="2070"/>
      <c r="E76" s="2070"/>
      <c r="F76" s="2070"/>
      <c r="G76" s="2070"/>
      <c r="H76" s="2118">
        <f>SUM(H77:H78)</f>
        <v>45</v>
      </c>
      <c r="I76" s="2118">
        <f>SUM(I77:I78)</f>
        <v>0</v>
      </c>
      <c r="J76" s="2069"/>
      <c r="K76" s="2075" t="s">
        <v>2890</v>
      </c>
      <c r="L76" s="2070"/>
      <c r="M76" s="2070"/>
      <c r="N76" s="2070"/>
      <c r="O76" s="2070"/>
      <c r="P76" s="2118">
        <f>'Part VI-Revenues &amp; Expenses'!$O$115</f>
        <v>46660</v>
      </c>
    </row>
    <row r="77" spans="1:16">
      <c r="A77" s="2069"/>
      <c r="B77" s="2075"/>
      <c r="C77" s="2070"/>
      <c r="D77" s="2100" t="s">
        <v>399</v>
      </c>
      <c r="E77" s="2070"/>
      <c r="F77" s="2070"/>
      <c r="G77" s="2070"/>
      <c r="H77" s="2118">
        <f>'Part VI-Revenues &amp; Expenses'!$O$57</f>
        <v>14</v>
      </c>
      <c r="I77" s="2118">
        <f>'Part VI-Revenues &amp; Expenses'!$O$65</f>
        <v>0</v>
      </c>
      <c r="J77" s="2070"/>
      <c r="K77" s="2075" t="s">
        <v>2891</v>
      </c>
      <c r="L77" s="2070"/>
      <c r="M77" s="2070"/>
      <c r="N77" s="2070"/>
      <c r="O77" s="2070"/>
      <c r="P77" s="2118">
        <f>'Part VI-Revenues &amp; Expenses'!$O$116</f>
        <v>19900</v>
      </c>
    </row>
    <row r="78" spans="1:16">
      <c r="A78" s="2069"/>
      <c r="B78" s="2070"/>
      <c r="C78" s="2070"/>
      <c r="D78" s="2100" t="s">
        <v>1890</v>
      </c>
      <c r="E78" s="2100"/>
      <c r="F78" s="2070"/>
      <c r="G78" s="2070"/>
      <c r="H78" s="2118">
        <f>'Part VI-Revenues &amp; Expenses'!$O$56</f>
        <v>31</v>
      </c>
      <c r="I78" s="2118">
        <f>'Part VI-Revenues &amp; Expenses'!$O$64</f>
        <v>0</v>
      </c>
      <c r="J78" s="2070"/>
      <c r="K78" s="2075" t="s">
        <v>2892</v>
      </c>
      <c r="L78" s="2070"/>
      <c r="M78" s="2070"/>
      <c r="N78" s="2070"/>
      <c r="O78" s="2070"/>
      <c r="P78" s="2118">
        <f>P76+P77</f>
        <v>66560</v>
      </c>
    </row>
    <row r="79" spans="1:16">
      <c r="A79" s="2069"/>
      <c r="B79" s="2070"/>
      <c r="C79" s="2075" t="s">
        <v>264</v>
      </c>
      <c r="D79" s="2070"/>
      <c r="E79" s="2070"/>
      <c r="F79" s="2070"/>
      <c r="G79" s="2070"/>
      <c r="H79" s="2118">
        <f>'Part VI-Revenues &amp; Expenses'!$O$59</f>
        <v>19</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64</v>
      </c>
      <c r="I80" s="2070"/>
      <c r="J80" s="2069"/>
      <c r="K80" s="2075" t="s">
        <v>1474</v>
      </c>
      <c r="L80" s="2070"/>
      <c r="M80" s="2070"/>
      <c r="N80" s="2070"/>
      <c r="O80" s="2070"/>
      <c r="P80" s="2118">
        <f>+P78+P79</f>
        <v>66560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64</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3</v>
      </c>
      <c r="I84" s="2070"/>
      <c r="J84" s="2070"/>
      <c r="K84" s="2075" t="s">
        <v>1165</v>
      </c>
      <c r="L84" s="2070"/>
      <c r="M84" s="2070"/>
      <c r="N84" s="2070"/>
      <c r="O84" s="2070"/>
      <c r="P84" s="2118">
        <f>'Part I-Project Information'!P59</f>
        <v>3041</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69601</v>
      </c>
    </row>
    <row r="86" spans="1:16">
      <c r="A86" s="2069"/>
      <c r="B86" s="2069"/>
      <c r="C86" s="2070"/>
      <c r="D86" s="2086" t="s">
        <v>2074</v>
      </c>
      <c r="E86" s="2070"/>
      <c r="F86" s="2070"/>
      <c r="G86" s="2070"/>
      <c r="H86" s="2118">
        <f>+H84+H85</f>
        <v>4</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2980</v>
      </c>
      <c r="D88" s="2070"/>
      <c r="E88" s="2070"/>
      <c r="F88" s="2070"/>
      <c r="G88" s="2070"/>
      <c r="H88" s="2118">
        <f>'Part I-Project Information'!H63</f>
        <v>128</v>
      </c>
      <c r="I88" s="2070"/>
      <c r="J88" s="2070"/>
      <c r="K88" s="2070" t="s">
        <v>2983</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4395</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3503</v>
      </c>
      <c r="L94" s="2121"/>
      <c r="M94" s="2122" t="s">
        <v>3068</v>
      </c>
      <c r="N94" s="2118">
        <f>'Part I-Project Information'!N69</f>
        <v>0</v>
      </c>
      <c r="O94" s="2122" t="s">
        <v>3069</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3070</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6.25E-2</v>
      </c>
      <c r="O98" s="2082" t="s">
        <v>4147</v>
      </c>
      <c r="P98" s="2124">
        <f>'DCA Underwriting Assumptions'!$Q$124</f>
        <v>0.05</v>
      </c>
    </row>
    <row r="99" spans="1:16">
      <c r="A99" s="2069"/>
      <c r="B99" s="2069"/>
      <c r="C99" s="2070"/>
      <c r="D99" s="2086" t="s">
        <v>2978</v>
      </c>
      <c r="E99" s="2086"/>
      <c r="F99" s="2086" t="s">
        <v>828</v>
      </c>
      <c r="G99" s="2070"/>
      <c r="H99" s="2118">
        <f>'Part I-Project Information'!H74</f>
        <v>2</v>
      </c>
      <c r="I99" s="2070"/>
      <c r="J99" s="2070"/>
      <c r="K99" s="2070" t="s">
        <v>2979</v>
      </c>
      <c r="L99" s="2070"/>
      <c r="M99" s="2070"/>
      <c r="N99" s="2123">
        <f>IF(H98=0,0,H99/H98)</f>
        <v>0.5</v>
      </c>
      <c r="O99" s="2082" t="s">
        <v>4147</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3.125E-2</v>
      </c>
      <c r="O101" s="2082" t="s">
        <v>4147</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No</v>
      </c>
      <c r="I111" s="2070"/>
      <c r="J111" s="2070"/>
      <c r="K111" s="2100" t="s">
        <v>3654</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t="str">
        <f>'Part I-Project Information'!H88</f>
        <v>No</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4098</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1</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820454</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Alga Development, LLC</v>
      </c>
      <c r="D135" s="2083"/>
      <c r="E135" s="2083"/>
      <c r="F135" s="2083" t="str">
        <f>'Part I-Project Information'!F110</f>
        <v>The Village on Park</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f>'Part I-Project Information'!C111</f>
        <v>2</v>
      </c>
      <c r="D136" s="2083"/>
      <c r="E136" s="2083"/>
      <c r="F136" s="2083">
        <f>'Part I-Project Information'!F111</f>
        <v>0</v>
      </c>
      <c r="G136" s="2083"/>
      <c r="H136" s="2083"/>
      <c r="I136" s="2083">
        <f>'Part I-Project Information'!I111</f>
        <v>0</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4396</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2038</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2868</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No</v>
      </c>
      <c r="J188" s="2070"/>
      <c r="K188" s="2070"/>
      <c r="L188" s="2070" t="s">
        <v>2984</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3753</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3046</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43252</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364.5">
      <c r="A200" s="2143" t="str">
        <f>'Part I-Project Information'!A175</f>
        <v>The project team was qualified complete per pre-app number 2016PA-046, Taylor Landing Apartments. Since the pre-app application was submitted without a firm site committment, the site is now  W. Park Street, Hahira, GA, Lowndes County. The project team has not changed.</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2016-028 The Village on Park,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3683</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The Village on Park, LP</v>
      </c>
      <c r="I209" s="2100"/>
      <c r="J209" s="2100"/>
      <c r="K209" s="2100"/>
      <c r="L209" s="2100"/>
      <c r="M209" s="2100"/>
      <c r="N209" s="2100"/>
      <c r="O209" s="2076" t="s">
        <v>2065</v>
      </c>
      <c r="P209" s="2076"/>
      <c r="Q209" s="2070" t="str">
        <f>'Part II-Development Team'!Q5</f>
        <v>Shawn Smith</v>
      </c>
      <c r="R209" s="2100"/>
      <c r="S209" s="2100"/>
    </row>
    <row r="210" spans="1:19">
      <c r="A210" s="2070"/>
      <c r="B210" s="2070"/>
      <c r="C210" s="2070"/>
      <c r="D210" s="2144"/>
      <c r="E210" s="2076" t="s">
        <v>1058</v>
      </c>
      <c r="F210" s="2082"/>
      <c r="G210" s="2070"/>
      <c r="H210" s="2070" t="str">
        <f>'Part II-Development Team'!H6</f>
        <v>119 N. Robinson Ave., Suite 630</v>
      </c>
      <c r="I210" s="2100"/>
      <c r="J210" s="2100"/>
      <c r="K210" s="2100"/>
      <c r="L210" s="2100"/>
      <c r="M210" s="2100"/>
      <c r="N210" s="2100"/>
      <c r="O210" s="2076" t="s">
        <v>1813</v>
      </c>
      <c r="P210" s="2070"/>
      <c r="Q210" s="2070" t="str">
        <f>'Part II-Development Team'!Q6</f>
        <v>Manager of GP</v>
      </c>
      <c r="R210" s="2100"/>
      <c r="S210" s="2100"/>
    </row>
    <row r="211" spans="1:19">
      <c r="A211" s="2070"/>
      <c r="B211" s="2070"/>
      <c r="C211" s="2070"/>
      <c r="D211" s="2144"/>
      <c r="E211" s="2076" t="s">
        <v>642</v>
      </c>
      <c r="F211" s="2070"/>
      <c r="G211" s="2070"/>
      <c r="H211" s="2070" t="str">
        <f>'Part II-Development Team'!H7</f>
        <v>Oklahoma City</v>
      </c>
      <c r="I211" s="2100"/>
      <c r="J211" s="2100"/>
      <c r="K211" s="2073" t="s">
        <v>793</v>
      </c>
      <c r="L211" s="2070" t="str">
        <f>'Part II-Development Team'!L7</f>
        <v>TBD</v>
      </c>
      <c r="M211" s="2100"/>
      <c r="N211" s="2100"/>
      <c r="O211" s="2076" t="s">
        <v>1869</v>
      </c>
      <c r="P211" s="2070"/>
      <c r="Q211" s="2085">
        <f>'Part II-Development Team'!Q7</f>
        <v>0</v>
      </c>
      <c r="R211" s="2085"/>
      <c r="S211" s="2085"/>
    </row>
    <row r="212" spans="1:19">
      <c r="A212" s="2070"/>
      <c r="B212" s="2070"/>
      <c r="C212" s="2070"/>
      <c r="D212" s="2144"/>
      <c r="E212" s="2076" t="s">
        <v>1865</v>
      </c>
      <c r="F212" s="2070"/>
      <c r="G212" s="2070"/>
      <c r="H212" s="2073" t="str">
        <f>'Part II-Development Team'!H8</f>
        <v>OK</v>
      </c>
      <c r="I212" s="2073" t="s">
        <v>2308</v>
      </c>
      <c r="J212" s="2087">
        <f>'Part II-Development Team'!J8</f>
        <v>731024617</v>
      </c>
      <c r="K212" s="2100"/>
      <c r="L212" s="2070" t="s">
        <v>4139</v>
      </c>
      <c r="M212" s="2070" t="str">
        <f>'Part II-Development Team'!M8</f>
        <v>For Profit</v>
      </c>
      <c r="N212" s="2070"/>
      <c r="O212" s="2076" t="s">
        <v>2054</v>
      </c>
      <c r="P212" s="2070"/>
      <c r="Q212" s="2085">
        <f>'Part II-Development Team'!Q8</f>
        <v>0</v>
      </c>
      <c r="R212" s="2085"/>
      <c r="S212" s="2085"/>
    </row>
    <row r="213" spans="1:19">
      <c r="A213" s="2070"/>
      <c r="B213" s="2070"/>
      <c r="C213" s="2070"/>
      <c r="D213" s="2144"/>
      <c r="E213" s="2076" t="s">
        <v>2060</v>
      </c>
      <c r="F213" s="2070"/>
      <c r="G213" s="2070"/>
      <c r="H213" s="2085">
        <f>'Part II-Development Team'!H9</f>
        <v>4056045074</v>
      </c>
      <c r="I213" s="2085"/>
      <c r="J213" s="2084">
        <f>'Part II-Development Team'!J9</f>
        <v>0</v>
      </c>
      <c r="K213" s="2073" t="s">
        <v>2059</v>
      </c>
      <c r="L213" s="2089" t="str">
        <f>'Part II-Development Team'!L9</f>
        <v>rhudspeth@belmontmgt.net</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4161</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Village on Park GP, LLC</v>
      </c>
      <c r="I218" s="2100"/>
      <c r="J218" s="2100"/>
      <c r="K218" s="2100"/>
      <c r="L218" s="2100"/>
      <c r="M218" s="2100"/>
      <c r="N218" s="2100"/>
      <c r="O218" s="2076" t="s">
        <v>2065</v>
      </c>
      <c r="P218" s="2076"/>
      <c r="Q218" s="2070" t="str">
        <f>'Part II-Development Team'!Q14</f>
        <v>Shawn Smith</v>
      </c>
      <c r="R218" s="2100"/>
      <c r="S218" s="2100"/>
    </row>
    <row r="219" spans="1:19">
      <c r="A219" s="2070"/>
      <c r="B219" s="2070"/>
      <c r="C219" s="2070"/>
      <c r="D219" s="2144"/>
      <c r="E219" s="2076" t="s">
        <v>1058</v>
      </c>
      <c r="F219" s="2082"/>
      <c r="G219" s="2070"/>
      <c r="H219" s="2070" t="str">
        <f>'Part II-Development Team'!H15</f>
        <v>119 N. Robinson Ave., Suite 630</v>
      </c>
      <c r="I219" s="2100"/>
      <c r="J219" s="2100"/>
      <c r="K219" s="2100"/>
      <c r="L219" s="2100"/>
      <c r="M219" s="2100"/>
      <c r="N219" s="2100"/>
      <c r="O219" s="2076" t="s">
        <v>1813</v>
      </c>
      <c r="P219" s="2070"/>
      <c r="Q219" s="2070" t="str">
        <f>'Part II-Development Team'!Q15</f>
        <v>Manager of GP</v>
      </c>
      <c r="R219" s="2100"/>
      <c r="S219" s="2100"/>
    </row>
    <row r="220" spans="1:19">
      <c r="A220" s="2070"/>
      <c r="B220" s="2070"/>
      <c r="C220" s="2070"/>
      <c r="D220" s="2144"/>
      <c r="E220" s="2076" t="s">
        <v>642</v>
      </c>
      <c r="F220" s="2070"/>
      <c r="G220" s="2070"/>
      <c r="H220" s="2070" t="str">
        <f>'Part II-Development Team'!H16</f>
        <v>Oklahoma City</v>
      </c>
      <c r="I220" s="2100"/>
      <c r="J220" s="2100"/>
      <c r="K220" s="2073" t="s">
        <v>2808</v>
      </c>
      <c r="L220" s="2070">
        <f>'Part II-Development Team'!L16</f>
        <v>0</v>
      </c>
      <c r="M220" s="2100"/>
      <c r="N220" s="2100"/>
      <c r="O220" s="2076" t="s">
        <v>1869</v>
      </c>
      <c r="P220" s="2070"/>
      <c r="Q220" s="2085">
        <f>'Part II-Development Team'!Q16</f>
        <v>0</v>
      </c>
      <c r="R220" s="2085"/>
      <c r="S220" s="2085"/>
    </row>
    <row r="221" spans="1:19">
      <c r="A221" s="2070"/>
      <c r="B221" s="2070"/>
      <c r="C221" s="2070"/>
      <c r="D221" s="2068"/>
      <c r="E221" s="2076" t="s">
        <v>1865</v>
      </c>
      <c r="F221" s="2070"/>
      <c r="G221" s="2070"/>
      <c r="H221" s="2073" t="str">
        <f>'Part II-Development Team'!H17</f>
        <v>OK</v>
      </c>
      <c r="I221" s="2070"/>
      <c r="J221" s="2070"/>
      <c r="K221" s="2073" t="s">
        <v>2308</v>
      </c>
      <c r="L221" s="2087">
        <f>'Part II-Development Team'!L17</f>
        <v>731024617</v>
      </c>
      <c r="M221" s="2100"/>
      <c r="N221" s="2070"/>
      <c r="O221" s="2076" t="s">
        <v>2054</v>
      </c>
      <c r="P221" s="2070"/>
      <c r="Q221" s="2085">
        <f>'Part II-Development Team'!Q17</f>
        <v>0</v>
      </c>
      <c r="R221" s="2085"/>
      <c r="S221" s="2085"/>
    </row>
    <row r="222" spans="1:19">
      <c r="A222" s="2070"/>
      <c r="B222" s="2070"/>
      <c r="C222" s="2070"/>
      <c r="D222" s="2144"/>
      <c r="E222" s="2076" t="s">
        <v>2060</v>
      </c>
      <c r="F222" s="2070"/>
      <c r="G222" s="2070"/>
      <c r="H222" s="2085">
        <f>'Part II-Development Team'!H18</f>
        <v>4056045074</v>
      </c>
      <c r="I222" s="2085"/>
      <c r="J222" s="2084">
        <f>'Part II-Development Team'!J18</f>
        <v>0</v>
      </c>
      <c r="K222" s="2073" t="s">
        <v>2059</v>
      </c>
      <c r="L222" s="2089" t="str">
        <f>'Part II-Development Team'!L18</f>
        <v>rhudspeth@belmontmgt.net</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Affordable Equity Partners, Inc</v>
      </c>
      <c r="I237" s="2100"/>
      <c r="J237" s="2100"/>
      <c r="K237" s="2100"/>
      <c r="L237" s="2100"/>
      <c r="M237" s="2100"/>
      <c r="N237" s="2100"/>
      <c r="O237" s="2076" t="s">
        <v>2065</v>
      </c>
      <c r="P237" s="2076"/>
      <c r="Q237" s="2070" t="str">
        <f>'Part II-Development Team'!Q33</f>
        <v>Brian Kimes</v>
      </c>
      <c r="R237" s="2100"/>
      <c r="S237" s="2100"/>
    </row>
    <row r="238" spans="1:19">
      <c r="A238" s="2070"/>
      <c r="B238" s="2070"/>
      <c r="C238" s="2070"/>
      <c r="D238" s="2144"/>
      <c r="E238" s="2076" t="s">
        <v>1058</v>
      </c>
      <c r="F238" s="2082"/>
      <c r="G238" s="2070"/>
      <c r="H238" s="2070" t="str">
        <f>'Part II-Development Team'!H34</f>
        <v>206 Peach Way</v>
      </c>
      <c r="I238" s="2100"/>
      <c r="J238" s="2100"/>
      <c r="K238" s="2100"/>
      <c r="L238" s="2100"/>
      <c r="M238" s="2100"/>
      <c r="N238" s="2100"/>
      <c r="O238" s="2076" t="s">
        <v>1813</v>
      </c>
      <c r="P238" s="2070"/>
      <c r="Q238" s="2070" t="str">
        <f>'Part II-Development Team'!Q34</f>
        <v>Vice President</v>
      </c>
      <c r="R238" s="2100"/>
      <c r="S238" s="2100"/>
    </row>
    <row r="239" spans="1:19">
      <c r="A239" s="2070"/>
      <c r="B239" s="2070"/>
      <c r="C239" s="2070"/>
      <c r="D239" s="2144"/>
      <c r="E239" s="2076" t="s">
        <v>642</v>
      </c>
      <c r="F239" s="2070"/>
      <c r="G239" s="2070"/>
      <c r="H239" s="2070" t="str">
        <f>'Part II-Development Team'!H35</f>
        <v>Columbia</v>
      </c>
      <c r="I239" s="2100"/>
      <c r="J239" s="2100"/>
      <c r="K239" s="2073" t="s">
        <v>2808</v>
      </c>
      <c r="L239" s="2070" t="str">
        <f>'Part II-Development Team'!L35</f>
        <v>www.aepartners.com</v>
      </c>
      <c r="M239" s="2100"/>
      <c r="N239" s="2100"/>
      <c r="O239" s="2076" t="s">
        <v>1869</v>
      </c>
      <c r="P239" s="2070"/>
      <c r="Q239" s="2085">
        <f>'Part II-Development Team'!Q35</f>
        <v>5734432021</v>
      </c>
      <c r="R239" s="2085"/>
      <c r="S239" s="2085"/>
    </row>
    <row r="240" spans="1:19">
      <c r="A240" s="2070"/>
      <c r="B240" s="2070"/>
      <c r="C240" s="2070"/>
      <c r="D240" s="2070"/>
      <c r="E240" s="2076" t="s">
        <v>1865</v>
      </c>
      <c r="F240" s="2070"/>
      <c r="G240" s="2070"/>
      <c r="H240" s="2073" t="str">
        <f>'Part II-Development Team'!H36</f>
        <v>MO</v>
      </c>
      <c r="I240" s="2070"/>
      <c r="J240" s="2070"/>
      <c r="K240" s="2073" t="s">
        <v>2308</v>
      </c>
      <c r="L240" s="2087">
        <f>'Part II-Development Team'!L36</f>
        <v>652030000</v>
      </c>
      <c r="M240" s="2100"/>
      <c r="N240" s="2070"/>
      <c r="O240" s="2076" t="s">
        <v>2054</v>
      </c>
      <c r="P240" s="2070"/>
      <c r="Q240" s="2085">
        <f>'Part II-Development Team'!Q36</f>
        <v>5734248811</v>
      </c>
      <c r="R240" s="2085"/>
      <c r="S240" s="2085"/>
    </row>
    <row r="241" spans="1:19">
      <c r="A241" s="2070"/>
      <c r="B241" s="2070"/>
      <c r="C241" s="2070"/>
      <c r="D241" s="2144"/>
      <c r="E241" s="2076" t="s">
        <v>2060</v>
      </c>
      <c r="F241" s="2070"/>
      <c r="G241" s="2070"/>
      <c r="H241" s="2085">
        <f>'Part II-Development Team'!H37</f>
        <v>5734432021</v>
      </c>
      <c r="I241" s="2085"/>
      <c r="J241" s="2084">
        <f>'Part II-Development Team'!J37</f>
        <v>0</v>
      </c>
      <c r="K241" s="2073" t="s">
        <v>2059</v>
      </c>
      <c r="L241" s="2089" t="str">
        <f>'Part II-Development Team'!L37</f>
        <v>bkimes@aepartners.com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Affordable Equity Partners, Inc</v>
      </c>
      <c r="I243" s="2100"/>
      <c r="J243" s="2100"/>
      <c r="K243" s="2100"/>
      <c r="L243" s="2100"/>
      <c r="M243" s="2100"/>
      <c r="N243" s="2100"/>
      <c r="O243" s="2076" t="s">
        <v>2065</v>
      </c>
      <c r="P243" s="2076"/>
      <c r="Q243" s="2070" t="str">
        <f>'Part II-Development Team'!Q39</f>
        <v>Brian Kimes</v>
      </c>
      <c r="R243" s="2100"/>
      <c r="S243" s="2100"/>
    </row>
    <row r="244" spans="1:19">
      <c r="A244" s="2070"/>
      <c r="B244" s="2070"/>
      <c r="C244" s="2070"/>
      <c r="D244" s="2144"/>
      <c r="E244" s="2076" t="s">
        <v>1058</v>
      </c>
      <c r="F244" s="2082"/>
      <c r="G244" s="2070"/>
      <c r="H244" s="2070" t="str">
        <f>'Part II-Development Team'!H40</f>
        <v>206 Peach Way</v>
      </c>
      <c r="I244" s="2100"/>
      <c r="J244" s="2100"/>
      <c r="K244" s="2100"/>
      <c r="L244" s="2100"/>
      <c r="M244" s="2100"/>
      <c r="N244" s="2100"/>
      <c r="O244" s="2076" t="s">
        <v>1813</v>
      </c>
      <c r="P244" s="2070"/>
      <c r="Q244" s="2070" t="str">
        <f>'Part II-Development Team'!Q40</f>
        <v>Vice President</v>
      </c>
      <c r="R244" s="2100"/>
      <c r="S244" s="2100"/>
    </row>
    <row r="245" spans="1:19">
      <c r="A245" s="2070"/>
      <c r="B245" s="2070"/>
      <c r="C245" s="2070"/>
      <c r="D245" s="2144"/>
      <c r="E245" s="2076" t="s">
        <v>642</v>
      </c>
      <c r="F245" s="2070"/>
      <c r="G245" s="2070"/>
      <c r="H245" s="2070" t="str">
        <f>'Part II-Development Team'!H41</f>
        <v>Columbia</v>
      </c>
      <c r="I245" s="2100"/>
      <c r="J245" s="2100"/>
      <c r="K245" s="2073" t="s">
        <v>2808</v>
      </c>
      <c r="L245" s="2070" t="str">
        <f>'Part II-Development Team'!L41</f>
        <v>www.aepartners.com</v>
      </c>
      <c r="M245" s="2100"/>
      <c r="N245" s="2100"/>
      <c r="O245" s="2076" t="s">
        <v>1869</v>
      </c>
      <c r="P245" s="2070"/>
      <c r="Q245" s="2085">
        <f>'Part II-Development Team'!Q41</f>
        <v>5734432021</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652034905</v>
      </c>
      <c r="M246" s="2100"/>
      <c r="N246" s="2070"/>
      <c r="O246" s="2076" t="s">
        <v>2054</v>
      </c>
      <c r="P246" s="2070"/>
      <c r="Q246" s="2085">
        <f>'Part II-Development Team'!Q42</f>
        <v>5734248811</v>
      </c>
      <c r="R246" s="2085"/>
      <c r="S246" s="2085"/>
    </row>
    <row r="247" spans="1:19">
      <c r="A247" s="2070"/>
      <c r="B247" s="2070"/>
      <c r="C247" s="2070"/>
      <c r="D247" s="2144"/>
      <c r="E247" s="2076" t="s">
        <v>2060</v>
      </c>
      <c r="F247" s="2070"/>
      <c r="G247" s="2070"/>
      <c r="H247" s="2085">
        <f>'Part II-Development Team'!H43</f>
        <v>5734432021</v>
      </c>
      <c r="I247" s="2085"/>
      <c r="J247" s="2084">
        <f>'Part II-Development Team'!J43</f>
        <v>0</v>
      </c>
      <c r="K247" s="2073" t="s">
        <v>2059</v>
      </c>
      <c r="L247" s="2089" t="str">
        <f>'Part II-Development Team'!L43</f>
        <v>bkimes@aepartners.com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2065</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2808</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2308</v>
      </c>
      <c r="L253" s="2087">
        <f>'Part II-Development Team'!L49</f>
        <v>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0</v>
      </c>
      <c r="I254" s="2085"/>
      <c r="J254" s="2084">
        <f>'Part II-Development Team'!J50</f>
        <v>0</v>
      </c>
      <c r="K254" s="2073" t="s">
        <v>2059</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Alga Development, LLC</v>
      </c>
      <c r="I258" s="2100"/>
      <c r="J258" s="2100"/>
      <c r="K258" s="2100"/>
      <c r="L258" s="2100"/>
      <c r="M258" s="2100"/>
      <c r="N258" s="2100"/>
      <c r="O258" s="2076" t="s">
        <v>2065</v>
      </c>
      <c r="P258" s="2076"/>
      <c r="Q258" s="2070" t="str">
        <f>'Part II-Development Team'!Q54</f>
        <v>Ryan Hudspeth</v>
      </c>
      <c r="R258" s="2100"/>
      <c r="S258" s="2100"/>
    </row>
    <row r="259" spans="1:19">
      <c r="A259" s="2070"/>
      <c r="B259" s="2070"/>
      <c r="C259" s="2070"/>
      <c r="D259" s="2144"/>
      <c r="E259" s="2076" t="s">
        <v>1058</v>
      </c>
      <c r="F259" s="2082"/>
      <c r="G259" s="2070"/>
      <c r="H259" s="2070" t="str">
        <f>'Part II-Development Team'!H55</f>
        <v>119 N Robinson  Ave., Suite 630</v>
      </c>
      <c r="I259" s="2100"/>
      <c r="J259" s="2100"/>
      <c r="K259" s="2100"/>
      <c r="L259" s="2100"/>
      <c r="M259" s="2100"/>
      <c r="N259" s="2100"/>
      <c r="O259" s="2076" t="s">
        <v>1813</v>
      </c>
      <c r="P259" s="2070"/>
      <c r="Q259" s="2070" t="str">
        <f>'Part II-Development Team'!Q55</f>
        <v>Manager</v>
      </c>
      <c r="R259" s="2100"/>
      <c r="S259" s="2100"/>
    </row>
    <row r="260" spans="1:19">
      <c r="A260" s="2070"/>
      <c r="B260" s="2070"/>
      <c r="C260" s="2070"/>
      <c r="D260" s="2144"/>
      <c r="E260" s="2076" t="s">
        <v>642</v>
      </c>
      <c r="F260" s="2070"/>
      <c r="G260" s="2070"/>
      <c r="H260" s="2070" t="str">
        <f>'Part II-Development Team'!H56</f>
        <v>Oklahoma City</v>
      </c>
      <c r="I260" s="2100"/>
      <c r="J260" s="2100"/>
      <c r="K260" s="2073" t="s">
        <v>2808</v>
      </c>
      <c r="L260" s="2070">
        <f>'Part II-Development Team'!L56</f>
        <v>0</v>
      </c>
      <c r="M260" s="2100"/>
      <c r="N260" s="2100"/>
      <c r="O260" s="2076" t="s">
        <v>1869</v>
      </c>
      <c r="P260" s="2070"/>
      <c r="Q260" s="2085">
        <f>'Part II-Development Team'!Q56</f>
        <v>0</v>
      </c>
      <c r="R260" s="2085"/>
      <c r="S260" s="2085"/>
    </row>
    <row r="261" spans="1:19">
      <c r="A261" s="2070"/>
      <c r="B261" s="2070"/>
      <c r="C261" s="2070"/>
      <c r="D261" s="2070"/>
      <c r="E261" s="2076" t="s">
        <v>1865</v>
      </c>
      <c r="F261" s="2070"/>
      <c r="G261" s="2070"/>
      <c r="H261" s="2073" t="str">
        <f>'Part II-Development Team'!H57</f>
        <v>OK</v>
      </c>
      <c r="I261" s="2070"/>
      <c r="J261" s="2070"/>
      <c r="K261" s="2073" t="s">
        <v>2308</v>
      </c>
      <c r="L261" s="2087">
        <f>'Part II-Development Team'!L57</f>
        <v>731024617</v>
      </c>
      <c r="M261" s="2100"/>
      <c r="N261" s="2070"/>
      <c r="O261" s="2076" t="s">
        <v>2054</v>
      </c>
      <c r="P261" s="2070"/>
      <c r="Q261" s="2085">
        <f>'Part II-Development Team'!Q57</f>
        <v>0</v>
      </c>
      <c r="R261" s="2085"/>
      <c r="S261" s="2085"/>
    </row>
    <row r="262" spans="1:19">
      <c r="A262" s="2070"/>
      <c r="B262" s="2070"/>
      <c r="C262" s="2070"/>
      <c r="D262" s="2144"/>
      <c r="E262" s="2076" t="s">
        <v>2060</v>
      </c>
      <c r="F262" s="2070"/>
      <c r="G262" s="2070"/>
      <c r="H262" s="2085">
        <f>'Part II-Development Team'!H58</f>
        <v>4056045074</v>
      </c>
      <c r="I262" s="2085"/>
      <c r="J262" s="2084">
        <f>'Part II-Development Team'!J58</f>
        <v>0</v>
      </c>
      <c r="K262" s="2073" t="s">
        <v>2059</v>
      </c>
      <c r="L262" s="2089" t="str">
        <f>'Part II-Development Team'!L58</f>
        <v>rhudspeth@belmontmgt.net</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t="str">
        <f>'Part II-Development Team'!H72</f>
        <v>Peachtree Housing Communities II, LLC</v>
      </c>
      <c r="I276" s="2100"/>
      <c r="J276" s="2100"/>
      <c r="K276" s="2100"/>
      <c r="L276" s="2100"/>
      <c r="M276" s="2100"/>
      <c r="N276" s="2100"/>
      <c r="O276" s="2076" t="s">
        <v>2065</v>
      </c>
      <c r="P276" s="2076"/>
      <c r="Q276" s="2070" t="str">
        <f>'Part II-Development Team'!Q72</f>
        <v>Josh Thomason</v>
      </c>
      <c r="R276" s="2100"/>
      <c r="S276" s="2100"/>
    </row>
    <row r="277" spans="1:19">
      <c r="A277" s="2070"/>
      <c r="B277" s="2070"/>
      <c r="C277" s="2070"/>
      <c r="D277" s="2144"/>
      <c r="E277" s="2076" t="s">
        <v>1058</v>
      </c>
      <c r="F277" s="2082"/>
      <c r="G277" s="2070"/>
      <c r="H277" s="2070" t="str">
        <f>'Part II-Development Team'!H73</f>
        <v>80 West Wieuca Road NE, Suite 204</v>
      </c>
      <c r="I277" s="2100"/>
      <c r="J277" s="2100"/>
      <c r="K277" s="2100"/>
      <c r="L277" s="2100"/>
      <c r="M277" s="2100"/>
      <c r="N277" s="2100"/>
      <c r="O277" s="2076" t="s">
        <v>1813</v>
      </c>
      <c r="P277" s="2070"/>
      <c r="Q277" s="2070" t="str">
        <f>'Part II-Development Team'!Q73</f>
        <v>Member</v>
      </c>
      <c r="R277" s="2100"/>
      <c r="S277" s="2100"/>
    </row>
    <row r="278" spans="1:19">
      <c r="A278" s="2070"/>
      <c r="B278" s="2070"/>
      <c r="C278" s="2070"/>
      <c r="D278" s="2144"/>
      <c r="E278" s="2076" t="s">
        <v>642</v>
      </c>
      <c r="F278" s="2070"/>
      <c r="G278" s="2070"/>
      <c r="H278" s="2070" t="str">
        <f>'Part II-Development Team'!H74</f>
        <v>Atlanta</v>
      </c>
      <c r="I278" s="2100"/>
      <c r="J278" s="2100"/>
      <c r="K278" s="2073" t="s">
        <v>2808</v>
      </c>
      <c r="L278" s="2070" t="str">
        <f>'Part II-Development Team'!L74</f>
        <v>www.peachtreehousing.com</v>
      </c>
      <c r="M278" s="2100"/>
      <c r="N278" s="2100"/>
      <c r="O278" s="2076" t="s">
        <v>1869</v>
      </c>
      <c r="P278" s="2070"/>
      <c r="Q278" s="2085">
        <f>'Part II-Development Team'!Q74</f>
        <v>4042021357</v>
      </c>
      <c r="R278" s="2085"/>
      <c r="S278" s="2085"/>
    </row>
    <row r="279" spans="1:19">
      <c r="A279" s="2070"/>
      <c r="B279" s="2070"/>
      <c r="C279" s="2070"/>
      <c r="D279" s="2070"/>
      <c r="E279" s="2076" t="s">
        <v>1865</v>
      </c>
      <c r="F279" s="2070"/>
      <c r="G279" s="2070"/>
      <c r="H279" s="2073" t="str">
        <f>'Part II-Development Team'!H75</f>
        <v>GA</v>
      </c>
      <c r="I279" s="2070"/>
      <c r="J279" s="2070"/>
      <c r="K279" s="2073" t="s">
        <v>2308</v>
      </c>
      <c r="L279" s="2087">
        <f>'Part II-Development Team'!L75</f>
        <v>303423243</v>
      </c>
      <c r="M279" s="2100"/>
      <c r="N279" s="2070"/>
      <c r="O279" s="2076" t="s">
        <v>2054</v>
      </c>
      <c r="P279" s="2070"/>
      <c r="Q279" s="2085">
        <f>'Part II-Development Team'!Q75</f>
        <v>4042021357</v>
      </c>
      <c r="R279" s="2085"/>
      <c r="S279" s="2085"/>
    </row>
    <row r="280" spans="1:19">
      <c r="A280" s="2070"/>
      <c r="B280" s="2070"/>
      <c r="C280" s="2070"/>
      <c r="D280" s="2144"/>
      <c r="E280" s="2076" t="s">
        <v>2060</v>
      </c>
      <c r="F280" s="2070"/>
      <c r="G280" s="2070"/>
      <c r="H280" s="2085">
        <f>'Part II-Development Team'!H76</f>
        <v>4042021357</v>
      </c>
      <c r="I280" s="2085"/>
      <c r="J280" s="2084">
        <f>'Part II-Development Team'!J76</f>
        <v>0</v>
      </c>
      <c r="K280" s="2073" t="s">
        <v>2059</v>
      </c>
      <c r="L280" s="2089" t="str">
        <f>'Part II-Development Team'!L76</f>
        <v>josh@peachtreehousing.com</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Fairway Construction Co., Inc.</v>
      </c>
      <c r="I290" s="2100"/>
      <c r="J290" s="2100"/>
      <c r="K290" s="2100"/>
      <c r="L290" s="2100"/>
      <c r="M290" s="2100"/>
      <c r="N290" s="2100"/>
      <c r="O290" s="2076" t="s">
        <v>2065</v>
      </c>
      <c r="P290" s="2076"/>
      <c r="Q290" s="2070" t="str">
        <f>'Part II-Development Team'!Q86</f>
        <v>Steven Hickey</v>
      </c>
      <c r="R290" s="2100"/>
      <c r="S290" s="2100"/>
    </row>
    <row r="291" spans="1:19">
      <c r="A291" s="2070"/>
      <c r="B291" s="2070"/>
      <c r="C291" s="2070"/>
      <c r="D291" s="2144"/>
      <c r="E291" s="2076" t="s">
        <v>1058</v>
      </c>
      <c r="F291" s="2082"/>
      <c r="G291" s="2070"/>
      <c r="H291" s="2070" t="str">
        <f>'Part II-Development Team'!H87</f>
        <v>206 Peach Way</v>
      </c>
      <c r="I291" s="2100"/>
      <c r="J291" s="2100"/>
      <c r="K291" s="2100"/>
      <c r="L291" s="2100"/>
      <c r="M291" s="2100"/>
      <c r="N291" s="2100"/>
      <c r="O291" s="2076" t="s">
        <v>1813</v>
      </c>
      <c r="P291" s="2070"/>
      <c r="Q291" s="2070" t="str">
        <f>'Part II-Development Team'!Q87</f>
        <v>Director of Accounting and Operations</v>
      </c>
      <c r="R291" s="2100"/>
      <c r="S291" s="2100"/>
    </row>
    <row r="292" spans="1:19">
      <c r="A292" s="2070"/>
      <c r="B292" s="2070"/>
      <c r="C292" s="2070"/>
      <c r="D292" s="2144"/>
      <c r="E292" s="2076" t="s">
        <v>642</v>
      </c>
      <c r="F292" s="2070"/>
      <c r="G292" s="2070"/>
      <c r="H292" s="2070" t="str">
        <f>'Part II-Development Team'!H88</f>
        <v>Columbia</v>
      </c>
      <c r="I292" s="2100"/>
      <c r="J292" s="2100"/>
      <c r="K292" s="2073" t="s">
        <v>2808</v>
      </c>
      <c r="L292" s="2070" t="str">
        <f>'Part II-Development Team'!L88</f>
        <v>www.fairwayconstruction.net</v>
      </c>
      <c r="M292" s="2100"/>
      <c r="N292" s="2100"/>
      <c r="O292" s="2076" t="s">
        <v>1869</v>
      </c>
      <c r="P292" s="2070"/>
      <c r="Q292" s="2085">
        <f>'Part II-Development Team'!Q88</f>
        <v>5734432021</v>
      </c>
      <c r="R292" s="2085"/>
      <c r="S292" s="2085"/>
    </row>
    <row r="293" spans="1:19">
      <c r="A293" s="2070"/>
      <c r="B293" s="2070"/>
      <c r="C293" s="2070"/>
      <c r="D293" s="2070"/>
      <c r="E293" s="2076" t="s">
        <v>1865</v>
      </c>
      <c r="F293" s="2070"/>
      <c r="G293" s="2070"/>
      <c r="H293" s="2073" t="str">
        <f>'Part II-Development Team'!H89</f>
        <v>MO</v>
      </c>
      <c r="I293" s="2070"/>
      <c r="J293" s="2070"/>
      <c r="K293" s="2073" t="s">
        <v>2308</v>
      </c>
      <c r="L293" s="2087">
        <f>'Part II-Development Team'!L89</f>
        <v>652034905</v>
      </c>
      <c r="M293" s="2100"/>
      <c r="N293" s="2070"/>
      <c r="O293" s="2076" t="s">
        <v>2054</v>
      </c>
      <c r="P293" s="2070"/>
      <c r="Q293" s="2085">
        <f>'Part II-Development Team'!Q89</f>
        <v>4045207495</v>
      </c>
      <c r="R293" s="2085"/>
      <c r="S293" s="2085"/>
    </row>
    <row r="294" spans="1:19">
      <c r="A294" s="2070"/>
      <c r="B294" s="2070"/>
      <c r="C294" s="2070"/>
      <c r="D294" s="2144"/>
      <c r="E294" s="2076" t="s">
        <v>2060</v>
      </c>
      <c r="F294" s="2070"/>
      <c r="G294" s="2070"/>
      <c r="H294" s="2085">
        <f>'Part II-Development Team'!H90</f>
        <v>5734432021</v>
      </c>
      <c r="I294" s="2085"/>
      <c r="J294" s="2084">
        <f>'Part II-Development Team'!J90</f>
        <v>0</v>
      </c>
      <c r="K294" s="2073" t="s">
        <v>2059</v>
      </c>
      <c r="L294" s="2089" t="str">
        <f>'Part II-Development Team'!L90</f>
        <v>shickey@fairwayconstuction.net</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Gateway Management Company, LLC</v>
      </c>
      <c r="I296" s="2100"/>
      <c r="J296" s="2100"/>
      <c r="K296" s="2100"/>
      <c r="L296" s="2100"/>
      <c r="M296" s="2100"/>
      <c r="N296" s="2100"/>
      <c r="O296" s="2076" t="s">
        <v>2065</v>
      </c>
      <c r="P296" s="2076"/>
      <c r="Q296" s="2070" t="str">
        <f>'Part II-Development Team'!Q92</f>
        <v>Randy Fleece</v>
      </c>
      <c r="R296" s="2100"/>
      <c r="S296" s="2100"/>
    </row>
    <row r="297" spans="1:19">
      <c r="A297" s="2070"/>
      <c r="B297" s="2070"/>
      <c r="C297" s="2070"/>
      <c r="D297" s="2144"/>
      <c r="E297" s="2076" t="s">
        <v>1058</v>
      </c>
      <c r="F297" s="2082"/>
      <c r="G297" s="2070"/>
      <c r="H297" s="2070" t="str">
        <f>'Part II-Development Team'!H93</f>
        <v>22 Inverness Center Parkway, Suite 222</v>
      </c>
      <c r="I297" s="2100"/>
      <c r="J297" s="2100"/>
      <c r="K297" s="2100"/>
      <c r="L297" s="2100"/>
      <c r="M297" s="2100"/>
      <c r="N297" s="2100"/>
      <c r="O297" s="2076" t="s">
        <v>1813</v>
      </c>
      <c r="P297" s="2070"/>
      <c r="Q297" s="2070" t="str">
        <f>'Part II-Development Team'!Q93</f>
        <v>President</v>
      </c>
      <c r="R297" s="2100"/>
      <c r="S297" s="2100"/>
    </row>
    <row r="298" spans="1:19">
      <c r="A298" s="2070"/>
      <c r="B298" s="2070"/>
      <c r="C298" s="2070"/>
      <c r="D298" s="2144"/>
      <c r="E298" s="2076" t="s">
        <v>642</v>
      </c>
      <c r="F298" s="2070"/>
      <c r="G298" s="2070"/>
      <c r="H298" s="2070" t="str">
        <f>'Part II-Development Team'!H94</f>
        <v>Birmingham</v>
      </c>
      <c r="I298" s="2100"/>
      <c r="J298" s="2100"/>
      <c r="K298" s="2073" t="s">
        <v>2808</v>
      </c>
      <c r="L298" s="2070" t="str">
        <f>'Part II-Development Team'!L94</f>
        <v>www.thegatewaycompanies.com</v>
      </c>
      <c r="M298" s="2100"/>
      <c r="N298" s="2100"/>
      <c r="O298" s="2076" t="s">
        <v>1869</v>
      </c>
      <c r="P298" s="2070"/>
      <c r="Q298" s="2085">
        <f>'Part II-Development Team'!Q94</f>
        <v>2057779765</v>
      </c>
      <c r="R298" s="2085"/>
      <c r="S298" s="2085"/>
    </row>
    <row r="299" spans="1:19">
      <c r="A299" s="2070"/>
      <c r="B299" s="2070"/>
      <c r="C299" s="2070"/>
      <c r="D299" s="2144"/>
      <c r="E299" s="2076" t="s">
        <v>1865</v>
      </c>
      <c r="F299" s="2070"/>
      <c r="G299" s="2070"/>
      <c r="H299" s="2073" t="str">
        <f>'Part II-Development Team'!H95</f>
        <v>AL</v>
      </c>
      <c r="I299" s="2070"/>
      <c r="J299" s="2070"/>
      <c r="K299" s="2073" t="s">
        <v>2308</v>
      </c>
      <c r="L299" s="2087">
        <f>'Part II-Development Team'!L95</f>
        <v>352424814</v>
      </c>
      <c r="M299" s="2100"/>
      <c r="N299" s="2070"/>
      <c r="O299" s="2076" t="s">
        <v>2054</v>
      </c>
      <c r="P299" s="2070"/>
      <c r="Q299" s="2085">
        <f>'Part II-Development Team'!Q95</f>
        <v>0</v>
      </c>
      <c r="R299" s="2085"/>
      <c r="S299" s="2085"/>
    </row>
    <row r="300" spans="1:19">
      <c r="A300" s="2070"/>
      <c r="B300" s="2070"/>
      <c r="C300" s="2070"/>
      <c r="D300" s="2144"/>
      <c r="E300" s="2076" t="s">
        <v>2060</v>
      </c>
      <c r="F300" s="2070"/>
      <c r="G300" s="2070"/>
      <c r="H300" s="2085">
        <f>'Part II-Development Team'!H96</f>
        <v>2059803245</v>
      </c>
      <c r="I300" s="2085"/>
      <c r="J300" s="2084">
        <f>'Part II-Development Team'!J96</f>
        <v>0</v>
      </c>
      <c r="K300" s="2073" t="s">
        <v>2059</v>
      </c>
      <c r="L300" s="2089" t="str">
        <f>'Part II-Development Team'!L96</f>
        <v>rfleece@gatewaymgt.com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Coleman Talley</v>
      </c>
      <c r="I302" s="2100"/>
      <c r="J302" s="2100"/>
      <c r="K302" s="2100"/>
      <c r="L302" s="2100"/>
      <c r="M302" s="2100"/>
      <c r="N302" s="2100"/>
      <c r="O302" s="2076" t="s">
        <v>2065</v>
      </c>
      <c r="P302" s="2076"/>
      <c r="Q302" s="2070" t="str">
        <f>'Part II-Development Team'!Q98</f>
        <v>Thomas Kurrie, Jr.</v>
      </c>
      <c r="R302" s="2100"/>
      <c r="S302" s="2100"/>
    </row>
    <row r="303" spans="1:19">
      <c r="A303" s="2070"/>
      <c r="B303" s="2070"/>
      <c r="C303" s="2070"/>
      <c r="D303" s="2144"/>
      <c r="E303" s="2076" t="s">
        <v>1058</v>
      </c>
      <c r="F303" s="2082"/>
      <c r="G303" s="2070"/>
      <c r="H303" s="2070" t="str">
        <f>'Part II-Development Team'!H99</f>
        <v>910 N. Patterson Street</v>
      </c>
      <c r="I303" s="2100"/>
      <c r="J303" s="2100"/>
      <c r="K303" s="2100"/>
      <c r="L303" s="2100"/>
      <c r="M303" s="2100"/>
      <c r="N303" s="2100"/>
      <c r="O303" s="2076" t="s">
        <v>1813</v>
      </c>
      <c r="P303" s="2070"/>
      <c r="Q303" s="2070" t="str">
        <f>'Part II-Development Team'!Q99</f>
        <v>Managing Member</v>
      </c>
      <c r="R303" s="2100"/>
      <c r="S303" s="2100"/>
    </row>
    <row r="304" spans="1:19">
      <c r="A304" s="2070"/>
      <c r="B304" s="2070"/>
      <c r="C304" s="2070"/>
      <c r="D304" s="2144"/>
      <c r="E304" s="2076" t="s">
        <v>642</v>
      </c>
      <c r="F304" s="2070"/>
      <c r="G304" s="2070"/>
      <c r="H304" s="2070" t="str">
        <f>'Part II-Development Team'!H100</f>
        <v>Valdosta</v>
      </c>
      <c r="I304" s="2100"/>
      <c r="J304" s="2100"/>
      <c r="K304" s="2073" t="s">
        <v>2808</v>
      </c>
      <c r="L304" s="2070" t="str">
        <f>'Part II-Development Team'!L100</f>
        <v>www.colemantalley.com</v>
      </c>
      <c r="M304" s="2100"/>
      <c r="N304" s="2100"/>
      <c r="O304" s="2076" t="s">
        <v>1869</v>
      </c>
      <c r="P304" s="2070"/>
      <c r="Q304" s="2085">
        <f>'Part II-Development Team'!Q100</f>
        <v>2296718216</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316014531</v>
      </c>
      <c r="M305" s="2100"/>
      <c r="N305" s="2070"/>
      <c r="O305" s="2076" t="s">
        <v>2054</v>
      </c>
      <c r="P305" s="2070"/>
      <c r="Q305" s="2085">
        <f>'Part II-Development Team'!Q101</f>
        <v>2295484476</v>
      </c>
      <c r="R305" s="2085"/>
      <c r="S305" s="2085"/>
    </row>
    <row r="306" spans="1:19">
      <c r="A306" s="2075"/>
      <c r="B306" s="2075"/>
      <c r="C306" s="2075"/>
      <c r="D306" s="2075"/>
      <c r="E306" s="2076" t="s">
        <v>2060</v>
      </c>
      <c r="F306" s="2070"/>
      <c r="G306" s="2070"/>
      <c r="H306" s="2085">
        <f>'Part II-Development Team'!H102</f>
        <v>2292427562</v>
      </c>
      <c r="I306" s="2085"/>
      <c r="J306" s="2084">
        <f>'Part II-Development Team'!J102</f>
        <v>0</v>
      </c>
      <c r="K306" s="2073" t="s">
        <v>2059</v>
      </c>
      <c r="L306" s="2089" t="str">
        <f>'Part II-Development Team'!L102</f>
        <v>tom.kurrie@colemantalley.com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Frost, Cummins, Tidwell Group</v>
      </c>
      <c r="I309" s="2100"/>
      <c r="J309" s="2100"/>
      <c r="K309" s="2100"/>
      <c r="L309" s="2100"/>
      <c r="M309" s="2100"/>
      <c r="N309" s="2100"/>
      <c r="O309" s="2076" t="s">
        <v>2065</v>
      </c>
      <c r="P309" s="2076"/>
      <c r="Q309" s="2070" t="str">
        <f>'Part II-Development Team'!Q105</f>
        <v>Barry Tidwell</v>
      </c>
      <c r="R309" s="2100"/>
      <c r="S309" s="2100"/>
    </row>
    <row r="310" spans="1:19">
      <c r="A310" s="2070"/>
      <c r="B310" s="2070"/>
      <c r="C310" s="2070"/>
      <c r="D310" s="2144"/>
      <c r="E310" s="2076" t="s">
        <v>1058</v>
      </c>
      <c r="F310" s="2082"/>
      <c r="G310" s="2070"/>
      <c r="H310" s="2070" t="str">
        <f>'Part II-Development Team'!H106</f>
        <v>2001 Park Place North</v>
      </c>
      <c r="I310" s="2100"/>
      <c r="J310" s="2100"/>
      <c r="K310" s="2100"/>
      <c r="L310" s="2100"/>
      <c r="M310" s="2100"/>
      <c r="N310" s="2100"/>
      <c r="O310" s="2076" t="s">
        <v>1813</v>
      </c>
      <c r="P310" s="2070"/>
      <c r="Q310" s="2070" t="str">
        <f>'Part II-Development Team'!Q106</f>
        <v>Managing Member</v>
      </c>
      <c r="R310" s="2100"/>
      <c r="S310" s="2100"/>
    </row>
    <row r="311" spans="1:19">
      <c r="A311" s="2070"/>
      <c r="B311" s="2070"/>
      <c r="C311" s="2070"/>
      <c r="D311" s="2144"/>
      <c r="E311" s="2076" t="s">
        <v>642</v>
      </c>
      <c r="F311" s="2070"/>
      <c r="G311" s="2070"/>
      <c r="H311" s="2070" t="str">
        <f>'Part II-Development Team'!H107</f>
        <v>Birmingham</v>
      </c>
      <c r="I311" s="2100"/>
      <c r="J311" s="2100"/>
      <c r="K311" s="2073" t="s">
        <v>2808</v>
      </c>
      <c r="L311" s="2070" t="str">
        <f>'Part II-Development Team'!L107</f>
        <v>www.thefctgroup.com</v>
      </c>
      <c r="M311" s="2100"/>
      <c r="N311" s="2100"/>
      <c r="O311" s="2076" t="s">
        <v>1869</v>
      </c>
      <c r="P311" s="2070"/>
      <c r="Q311" s="2085">
        <f>'Part II-Development Team'!Q107</f>
        <v>0</v>
      </c>
      <c r="R311" s="2085"/>
      <c r="S311" s="2085"/>
    </row>
    <row r="312" spans="1:19">
      <c r="A312" s="2070"/>
      <c r="B312" s="2070"/>
      <c r="C312" s="2070"/>
      <c r="D312" s="2144"/>
      <c r="E312" s="2076" t="s">
        <v>1865</v>
      </c>
      <c r="F312" s="2070"/>
      <c r="G312" s="2070"/>
      <c r="H312" s="2073" t="str">
        <f>'Part II-Development Team'!H108</f>
        <v>AL</v>
      </c>
      <c r="I312" s="2070"/>
      <c r="J312" s="2070"/>
      <c r="K312" s="2073" t="s">
        <v>2308</v>
      </c>
      <c r="L312" s="2087">
        <f>'Part II-Development Team'!L108</f>
        <v>352044803</v>
      </c>
      <c r="M312" s="2100"/>
      <c r="N312" s="2070"/>
      <c r="O312" s="2076" t="s">
        <v>2054</v>
      </c>
      <c r="P312" s="2070"/>
      <c r="Q312" s="2085">
        <f>'Part II-Development Team'!Q108</f>
        <v>3345461281</v>
      </c>
      <c r="R312" s="2085"/>
      <c r="S312" s="2085"/>
    </row>
    <row r="313" spans="1:19">
      <c r="A313" s="2075"/>
      <c r="B313" s="2075"/>
      <c r="C313" s="2075"/>
      <c r="D313" s="2075"/>
      <c r="E313" s="2076" t="s">
        <v>2060</v>
      </c>
      <c r="F313" s="2070"/>
      <c r="G313" s="2070"/>
      <c r="H313" s="2085">
        <f>'Part II-Development Team'!H109</f>
        <v>2058221010</v>
      </c>
      <c r="I313" s="2085"/>
      <c r="J313" s="2084">
        <f>'Part II-Development Team'!J109</f>
        <v>0</v>
      </c>
      <c r="K313" s="2073" t="s">
        <v>2059</v>
      </c>
      <c r="L313" s="2089" t="str">
        <f>'Part II-Development Team'!L109</f>
        <v>barry.tidwell@thefctgroup.com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 Architects, PC</v>
      </c>
      <c r="I315" s="2100"/>
      <c r="J315" s="2100"/>
      <c r="K315" s="2100"/>
      <c r="L315" s="2100"/>
      <c r="M315" s="2100"/>
      <c r="N315" s="2100"/>
      <c r="O315" s="2076" t="s">
        <v>2065</v>
      </c>
      <c r="P315" s="2076"/>
      <c r="Q315" s="2070" t="str">
        <f>'Part II-Development Team'!Q111</f>
        <v>Mike Riley</v>
      </c>
      <c r="R315" s="2100"/>
      <c r="S315" s="2100"/>
    </row>
    <row r="316" spans="1:19">
      <c r="A316" s="2070"/>
      <c r="B316" s="2070"/>
      <c r="C316" s="2070"/>
      <c r="D316" s="2144"/>
      <c r="E316" s="2076" t="s">
        <v>1058</v>
      </c>
      <c r="F316" s="2082"/>
      <c r="G316" s="2070"/>
      <c r="H316" s="2070" t="str">
        <f>'Part II-Development Team'!H112</f>
        <v>215 Church St. Suite 200</v>
      </c>
      <c r="I316" s="2100"/>
      <c r="J316" s="2100"/>
      <c r="K316" s="2100"/>
      <c r="L316" s="2100"/>
      <c r="M316" s="2100"/>
      <c r="N316" s="2100"/>
      <c r="O316" s="2076" t="s">
        <v>1813</v>
      </c>
      <c r="P316" s="2070"/>
      <c r="Q316" s="2070" t="str">
        <f>'Part II-Development Team'!Q112</f>
        <v>Vice President</v>
      </c>
      <c r="R316" s="2100"/>
      <c r="S316" s="2100"/>
    </row>
    <row r="317" spans="1:19">
      <c r="A317" s="2070"/>
      <c r="B317" s="2070"/>
      <c r="C317" s="2070"/>
      <c r="D317" s="2144"/>
      <c r="E317" s="2076" t="s">
        <v>642</v>
      </c>
      <c r="F317" s="2070"/>
      <c r="G317" s="2070"/>
      <c r="H317" s="2070" t="str">
        <f>'Part II-Development Team'!H113</f>
        <v>Decatur</v>
      </c>
      <c r="I317" s="2100"/>
      <c r="J317" s="2100"/>
      <c r="K317" s="2073" t="s">
        <v>2808</v>
      </c>
      <c r="L317" s="2070">
        <f>'Part II-Development Team'!L113</f>
        <v>0</v>
      </c>
      <c r="M317" s="2100"/>
      <c r="N317" s="2100"/>
      <c r="O317" s="2076" t="s">
        <v>1869</v>
      </c>
      <c r="P317" s="2070"/>
      <c r="Q317" s="2085">
        <f>'Part II-Development Team'!Q113</f>
        <v>0</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300303330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4043732800</v>
      </c>
      <c r="I319" s="2085"/>
      <c r="J319" s="2084">
        <f>'Part II-Development Team'!J115</f>
        <v>0</v>
      </c>
      <c r="K319" s="2073" t="s">
        <v>2059</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4397</v>
      </c>
      <c r="D322" s="2070"/>
      <c r="E322" s="2070"/>
      <c r="F322" s="2070"/>
      <c r="G322" s="2070"/>
      <c r="H322" s="2070" t="str">
        <f>'Part II-Development Team'!H118</f>
        <v>Janice M. Butler, Personal Representative/Executor of the Estate of Herbert R. Butler</v>
      </c>
      <c r="I322" s="2070"/>
      <c r="J322" s="2070"/>
      <c r="K322" s="2073" t="s">
        <v>2560</v>
      </c>
      <c r="L322" s="2070">
        <f>'Part II-Development Team'!L118</f>
        <v>0</v>
      </c>
      <c r="M322" s="2100"/>
      <c r="N322" s="2100"/>
      <c r="O322" s="2076" t="s">
        <v>3871</v>
      </c>
      <c r="P322" s="2070"/>
      <c r="Q322" s="2070">
        <f>'Part II-Development Team'!Q118</f>
        <v>0</v>
      </c>
      <c r="R322" s="2100"/>
      <c r="S322" s="2100"/>
    </row>
    <row r="323" spans="1:19">
      <c r="A323" s="2070"/>
      <c r="B323" s="2070"/>
      <c r="C323" s="2070"/>
      <c r="D323" s="2144"/>
      <c r="E323" s="2076" t="s">
        <v>1058</v>
      </c>
      <c r="F323" s="2082"/>
      <c r="G323" s="2070"/>
      <c r="H323" s="2070" t="str">
        <f>'Part II-Development Team'!H119</f>
        <v>605 West Main Street</v>
      </c>
      <c r="I323" s="2100"/>
      <c r="J323" s="2100"/>
      <c r="K323" s="2100"/>
      <c r="L323" s="2100"/>
      <c r="M323" s="2100"/>
      <c r="N323" s="2100"/>
      <c r="O323" s="2076" t="s">
        <v>642</v>
      </c>
      <c r="P323" s="2070"/>
      <c r="Q323" s="2070" t="str">
        <f>'Part II-Development Team'!Q119</f>
        <v>Hahira</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0</v>
      </c>
      <c r="K324" s="2100"/>
      <c r="L324" s="2073" t="s">
        <v>2059</v>
      </c>
      <c r="M324" s="2089">
        <f>'Part II-Development Team'!M120</f>
        <v>0</v>
      </c>
      <c r="N324" s="2089"/>
      <c r="O324" s="2089"/>
      <c r="P324" s="2089"/>
      <c r="Q324" s="2089"/>
      <c r="R324" s="2089"/>
      <c r="S324" s="2089"/>
    </row>
    <row r="325" spans="1:19">
      <c r="A325" s="2075"/>
      <c r="B325" s="2068" t="s">
        <v>2061</v>
      </c>
      <c r="C325" s="2068" t="s">
        <v>2973</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3685</v>
      </c>
      <c r="B326" s="2067"/>
      <c r="C326" s="2067"/>
      <c r="D326" s="2067"/>
      <c r="E326" s="2067"/>
      <c r="F326" s="2084" t="s">
        <v>2597</v>
      </c>
      <c r="G326" s="2129" t="s">
        <v>3746</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2974</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3045</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3017</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2975</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3725</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3726</v>
      </c>
      <c r="E332" s="2067"/>
      <c r="F332" s="2150" t="str">
        <f>'Part II-Development Team'!F128</f>
        <v>Yes</v>
      </c>
      <c r="G332" s="2151" t="str">
        <f>'Part II-Development Team'!G128</f>
        <v>The Federal and State Syndicator and the Contractor are related parties.</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2976</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216.75">
      <c r="A334" s="2070"/>
      <c r="B334" s="2134"/>
      <c r="C334" s="2149" t="s">
        <v>522</v>
      </c>
      <c r="D334" s="2067" t="s">
        <v>1659</v>
      </c>
      <c r="E334" s="2067"/>
      <c r="F334" s="2150" t="str">
        <f>'Part II-Development Team'!F130</f>
        <v>Yes</v>
      </c>
      <c r="G334" s="2151" t="str">
        <f>'Part II-Development Team'!G130</f>
        <v xml:space="preserve">There is an identity of interest bewteen the Lessor and Lessee of the Long-Term Ground Lease; however, the Ground Lease is for nominal consideration and there is no opportunity for inflated land costs to the Owner. </v>
      </c>
      <c r="H334" s="2151"/>
      <c r="I334" s="2151"/>
      <c r="J334" s="2151"/>
      <c r="K334" s="2151"/>
      <c r="L334" s="2151"/>
      <c r="M334" s="2151"/>
      <c r="N334" s="2151"/>
      <c r="O334" s="2151"/>
      <c r="P334" s="2151"/>
      <c r="Q334" s="2151"/>
      <c r="R334" s="2151"/>
      <c r="S334" s="2151"/>
    </row>
    <row r="335" spans="1:19">
      <c r="A335" s="2068" t="s">
        <v>1858</v>
      </c>
      <c r="B335" s="2068" t="s">
        <v>4398</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2977</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3691</v>
      </c>
      <c r="F338" s="2152"/>
      <c r="G338" s="2152"/>
      <c r="H338" s="2152"/>
      <c r="I338" s="2152"/>
      <c r="J338" s="2067" t="s">
        <v>3692</v>
      </c>
      <c r="K338" s="2152" t="s">
        <v>4399</v>
      </c>
      <c r="L338" s="2152" t="s">
        <v>4400</v>
      </c>
      <c r="M338" s="2152" t="s">
        <v>4401</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3724</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3063</v>
      </c>
      <c r="O342" s="2100"/>
      <c r="P342" s="2100"/>
      <c r="Q342" s="2100"/>
      <c r="R342" s="2100"/>
      <c r="S342" s="2100"/>
    </row>
    <row r="343" spans="1:19" ht="12.75" customHeight="1">
      <c r="A343" s="2067" t="s">
        <v>3686</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3687</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3688</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3689</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t="str">
        <f>'Part II-Development Team'!N142</f>
        <v>The Federal and State Syndicator and the Construction Company are related parties.</v>
      </c>
      <c r="O346" s="2151"/>
      <c r="P346" s="2151"/>
      <c r="Q346" s="2151"/>
      <c r="R346" s="2151"/>
      <c r="S346" s="2151"/>
    </row>
    <row r="347" spans="1:19" ht="12.75" customHeight="1">
      <c r="A347" s="2067" t="s">
        <v>3690</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t="str">
        <f>'Part II-Development Team'!N143</f>
        <v>The Federal and State Syndicator and the Construction Company are related parties.</v>
      </c>
      <c r="O347" s="2151"/>
      <c r="P347" s="2151"/>
      <c r="Q347" s="2151"/>
      <c r="R347" s="2151"/>
      <c r="S347" s="2151"/>
    </row>
    <row r="348" spans="1:19" ht="12.75" customHeight="1">
      <c r="A348" s="2067" t="s">
        <v>3038</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3039</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3040</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3042</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3041</v>
      </c>
      <c r="B353" s="2067"/>
      <c r="C353" s="2067"/>
      <c r="D353" s="2067"/>
      <c r="E353" s="2151">
        <f>'Part II-Development Team'!E149</f>
        <v>0</v>
      </c>
      <c r="F353" s="2151"/>
      <c r="G353" s="2151"/>
      <c r="H353" s="2151"/>
      <c r="I353" s="2150" t="str">
        <f>'Part II-Development Team'!I149</f>
        <v>No</v>
      </c>
      <c r="J353" s="2150" t="str">
        <f>'Part II-Development Team'!J149</f>
        <v>No</v>
      </c>
      <c r="K353" s="2155" t="str">
        <f>'Part II-Development Team'!K149</f>
        <v>For Profit</v>
      </c>
      <c r="L353" s="2156">
        <f>'Part II-Development Team'!L149</f>
        <v>0</v>
      </c>
      <c r="M353" s="2150" t="str">
        <f>'Part II-Development Team'!M149</f>
        <v>No</v>
      </c>
      <c r="N353" s="2151">
        <f>'Part II-Development Team'!N149</f>
        <v>0</v>
      </c>
      <c r="O353" s="2151"/>
      <c r="P353" s="2151"/>
      <c r="Q353" s="2151"/>
      <c r="R353" s="2151"/>
      <c r="S353" s="2151"/>
    </row>
    <row r="354" spans="1:19" ht="102">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t="str">
        <f>'Part II-Development Team'!N150</f>
        <v>The Federal and State Syndicator and the Construction Company are related parties.</v>
      </c>
      <c r="O354" s="2151"/>
      <c r="P354" s="2151"/>
      <c r="Q354" s="2151"/>
      <c r="R354" s="2151"/>
      <c r="S354" s="2151"/>
    </row>
    <row r="355" spans="1:19" ht="12.75" customHeight="1">
      <c r="A355" s="2067" t="s">
        <v>3043</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108">
      <c r="A358" s="2143" t="str">
        <f>'Part II-Development Team'!A154</f>
        <v>The Federal and State syndicator and the Construction Company are related parties.</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2016-028 The Village on Park, Hahira, Lowndes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4127</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4099</v>
      </c>
      <c r="D370" s="2083"/>
      <c r="E370" s="2128">
        <f>'Part III-Sources of Funds'!E7</f>
        <v>0</v>
      </c>
      <c r="F370" s="2128"/>
      <c r="G370" s="2083"/>
      <c r="H370" s="2073" t="str">
        <f>'Part III-Sources of Funds'!H7</f>
        <v>No</v>
      </c>
      <c r="I370" s="2076" t="s">
        <v>4126</v>
      </c>
      <c r="J370" s="2083"/>
      <c r="K370" s="2083"/>
      <c r="L370" s="2073" t="str">
        <f>'Part III-Sources of Funds'!L7</f>
        <v>No</v>
      </c>
      <c r="M370" s="2076" t="s">
        <v>4134</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Yes</v>
      </c>
      <c r="M372" s="2100" t="s">
        <v>2690</v>
      </c>
      <c r="N372" s="2083"/>
      <c r="O372" s="2083"/>
      <c r="P372" s="2070"/>
      <c r="Q372" s="2070"/>
    </row>
    <row r="373" spans="1:17" ht="13.5" customHeight="1">
      <c r="A373" s="2069"/>
      <c r="B373" s="2073" t="str">
        <f>'Part III-Sources of Funds'!B10</f>
        <v>No</v>
      </c>
      <c r="C373" s="2076" t="s">
        <v>4402</v>
      </c>
      <c r="D373" s="2070"/>
      <c r="E373" s="2128">
        <f>'Part III-Sources of Funds'!E10</f>
        <v>0</v>
      </c>
      <c r="F373" s="2128"/>
      <c r="G373" s="2158"/>
      <c r="H373" s="2073" t="str">
        <f>'Part III-Sources of Funds'!H10</f>
        <v>No</v>
      </c>
      <c r="I373" s="2067" t="s">
        <v>2914</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4132</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4133</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4135</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4137</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Sterling Bank</v>
      </c>
      <c r="I382" s="2070"/>
      <c r="J382" s="2070"/>
      <c r="K382" s="2070"/>
      <c r="L382" s="2098">
        <f>'Part III-Sources of Funds'!L19</f>
        <v>6278532</v>
      </c>
      <c r="M382" s="2098"/>
      <c r="N382" s="2159">
        <f>'Part III-Sources of Funds'!N19</f>
        <v>0.05</v>
      </c>
      <c r="O382" s="2159"/>
      <c r="P382" s="2160">
        <f>'Part III-Sources of Funds'!P19</f>
        <v>18</v>
      </c>
      <c r="Q382" s="2160"/>
    </row>
    <row r="383" spans="1:17">
      <c r="A383" s="2070"/>
      <c r="B383" s="2070" t="s">
        <v>1649</v>
      </c>
      <c r="C383" s="2070"/>
      <c r="D383" s="2070"/>
      <c r="E383" s="2070"/>
      <c r="F383" s="2070"/>
      <c r="G383" s="2070"/>
      <c r="H383" s="2070" t="str">
        <f>'Part III-Sources of Funds'!H20</f>
        <v>USDA RD 538</v>
      </c>
      <c r="I383" s="2070"/>
      <c r="J383" s="2070"/>
      <c r="K383" s="2070"/>
      <c r="L383" s="2098">
        <f>'Part III-Sources of Funds'!L20</f>
        <v>1060000</v>
      </c>
      <c r="M383" s="2098"/>
      <c r="N383" s="2159">
        <f>'Part III-Sources of Funds'!N20</f>
        <v>5.3999999999999999E-2</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Affordable Equity Partners, Inc</v>
      </c>
      <c r="I388" s="2070"/>
      <c r="J388" s="2070"/>
      <c r="K388" s="2070"/>
      <c r="L388" s="2098">
        <f>'Part III-Sources of Funds'!L25</f>
        <v>1388667</v>
      </c>
      <c r="M388" s="2098"/>
      <c r="N388" s="2070"/>
      <c r="O388" s="2070"/>
      <c r="P388" s="2070"/>
      <c r="Q388" s="2070"/>
    </row>
    <row r="389" spans="1:17" ht="13.5">
      <c r="A389" s="2070"/>
      <c r="B389" s="2070" t="s">
        <v>835</v>
      </c>
      <c r="C389" s="2070"/>
      <c r="D389" s="2070"/>
      <c r="E389" s="2070"/>
      <c r="F389" s="2083"/>
      <c r="G389" s="2083"/>
      <c r="H389" s="2070" t="str">
        <f>'Part III-Sources of Funds'!H26</f>
        <v>Affordable Equity Partners, Inc</v>
      </c>
      <c r="I389" s="2070"/>
      <c r="J389" s="2070"/>
      <c r="K389" s="2070"/>
      <c r="L389" s="2098">
        <f>'Part III-Sources of Funds'!L26</f>
        <v>506303</v>
      </c>
      <c r="M389" s="2098"/>
      <c r="N389" s="2070"/>
      <c r="O389" s="2083"/>
      <c r="P389" s="2083"/>
      <c r="Q389" s="2070"/>
    </row>
    <row r="390" spans="1:17" ht="13.5">
      <c r="A390" s="2070"/>
      <c r="B390" s="2070" t="s">
        <v>253</v>
      </c>
      <c r="C390" s="2070"/>
      <c r="D390" s="2070" t="str">
        <f>'Part III-Sources of Funds'!D27</f>
        <v>GP &amp; LP Equity</v>
      </c>
      <c r="E390" s="2070"/>
      <c r="F390" s="2070"/>
      <c r="G390" s="2070"/>
      <c r="H390" s="2070">
        <f>'Part III-Sources of Funds'!H27</f>
        <v>0</v>
      </c>
      <c r="I390" s="2070"/>
      <c r="J390" s="2070"/>
      <c r="K390" s="2070"/>
      <c r="L390" s="2098">
        <f>'Part III-Sources of Funds'!L27</f>
        <v>110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9233612</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9233612</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USDA RD 538</v>
      </c>
      <c r="F400" s="2070"/>
      <c r="G400" s="2070"/>
      <c r="H400" s="2070"/>
      <c r="I400" s="2105">
        <f>'Part III-Sources of Funds'!I37</f>
        <v>1060000</v>
      </c>
      <c r="J400" s="2070"/>
      <c r="K400" s="2164">
        <f>'Part III-Sources of Funds'!K37</f>
        <v>5.3999999999999999E-2</v>
      </c>
      <c r="L400" s="2073">
        <f>'Part III-Sources of Funds'!L37</f>
        <v>40</v>
      </c>
      <c r="M400" s="2073">
        <f>'Part III-Sources of Funds'!M37</f>
        <v>40</v>
      </c>
      <c r="N400" s="2165">
        <f>'Part III-Sources of Funds'!N37</f>
        <v>64742.72941449302</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1.1383767993779837E-2</v>
      </c>
      <c r="E405" s="2070" t="str">
        <f>'Part III-Sources of Funds'!E42</f>
        <v>Alga Development, LLC</v>
      </c>
      <c r="F405" s="2070"/>
      <c r="G405" s="2070"/>
      <c r="H405" s="2070"/>
      <c r="I405" s="2105">
        <f>'Part III-Sources of Funds'!I42</f>
        <v>15666</v>
      </c>
      <c r="J405" s="2070"/>
      <c r="K405" s="2164">
        <f>'Part III-Sources of Funds'!K42</f>
        <v>0</v>
      </c>
      <c r="L405" s="2073">
        <f>'Part III-Sources of Funds'!L42</f>
        <v>0</v>
      </c>
      <c r="M405" s="2073">
        <f>'Part III-Sources of Funds'!M42</f>
        <v>0</v>
      </c>
      <c r="N405" s="2165" t="str">
        <f>'Part III-Sources of Funds'!N42</f>
        <v/>
      </c>
      <c r="O405" s="2165"/>
      <c r="P405" s="2070">
        <f>'Part III-Sources of Funds'!P42</f>
        <v>0</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Affordable Equity Partners, Inc</v>
      </c>
      <c r="F408" s="2070"/>
      <c r="G408" s="2070"/>
      <c r="H408" s="2070"/>
      <c r="I408" s="2105">
        <f>'Part III-Sources of Funds'!I45</f>
        <v>6943335</v>
      </c>
      <c r="J408" s="2070"/>
      <c r="K408" s="2083"/>
      <c r="L408" s="2169">
        <f>'Part IV-Uses of Funds'!$J$174*10*'Part IV-Uses of Funds'!$N$167</f>
        <v>6973859</v>
      </c>
      <c r="M408" s="2169"/>
      <c r="N408" s="2170">
        <f>I408-L408</f>
        <v>-30524</v>
      </c>
      <c r="O408" s="2170"/>
      <c r="P408" s="2171" t="s">
        <v>2648</v>
      </c>
      <c r="Q408" s="2070"/>
    </row>
    <row r="409" spans="1:17" ht="13.5">
      <c r="A409" s="2070"/>
      <c r="B409" s="2070" t="s">
        <v>835</v>
      </c>
      <c r="C409" s="2070"/>
      <c r="D409" s="2070"/>
      <c r="E409" s="2070" t="str">
        <f>'Part III-Sources of Funds'!E46</f>
        <v>Affordable Equity Partners, Inc</v>
      </c>
      <c r="F409" s="2070"/>
      <c r="G409" s="2070"/>
      <c r="H409" s="2070"/>
      <c r="I409" s="2105">
        <f>'Part III-Sources of Funds'!I46</f>
        <v>2531513</v>
      </c>
      <c r="J409" s="2070"/>
      <c r="K409" s="2083"/>
      <c r="L409" s="2169">
        <f>'Part IV-Uses of Funds'!$J$174*10*'Part IV-Uses of Funds'!$Q$167</f>
        <v>2461362</v>
      </c>
      <c r="M409" s="2169"/>
      <c r="N409" s="2170">
        <f>I409-L409</f>
        <v>70151</v>
      </c>
      <c r="O409" s="2170"/>
      <c r="P409" s="2172">
        <f>I408/I418</f>
        <v>0.65809709454151721</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0.23993964717157962</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0.89803674171309678</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t="str">
        <f>'Part III-Sources of Funds'!C51</f>
        <v>GP &amp; LP Equity</v>
      </c>
      <c r="D414" s="2070"/>
      <c r="E414" s="2070">
        <f>'Part III-Sources of Funds'!E51</f>
        <v>0</v>
      </c>
      <c r="F414" s="2070"/>
      <c r="G414" s="2070"/>
      <c r="H414" s="2070"/>
      <c r="I414" s="2105">
        <f>'Part III-Sources of Funds'!I51</f>
        <v>110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10550624</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10550624</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3727</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All commitment letters, USDA RD 538 and Equity, are provided in tab 01.</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2016-028 The Village on Park,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2016-028 The Village on Park,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6000</v>
      </c>
      <c r="H437" s="2098"/>
      <c r="I437" s="2070"/>
      <c r="J437" s="2098">
        <f>'Part IV-Uses of Funds'!J8</f>
        <v>6000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7000</v>
      </c>
      <c r="H438" s="2098"/>
      <c r="I438" s="2070"/>
      <c r="J438" s="2098">
        <f>'Part IV-Uses of Funds'!J9</f>
        <v>7000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7500</v>
      </c>
      <c r="H439" s="2098"/>
      <c r="I439" s="2070"/>
      <c r="J439" s="2098">
        <f>'Part IV-Uses of Funds'!J10</f>
        <v>7500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6500</v>
      </c>
      <c r="H440" s="2098"/>
      <c r="I440" s="2070"/>
      <c r="J440" s="2098">
        <f>'Part IV-Uses of Funds'!J11</f>
        <v>6500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5400</v>
      </c>
      <c r="H441" s="2098"/>
      <c r="I441" s="2070"/>
      <c r="J441" s="2098">
        <f>'Part IV-Uses of Funds'!J12</f>
        <v>5400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32400</v>
      </c>
      <c r="H446" s="2098"/>
      <c r="I446" s="2070"/>
      <c r="J446" s="2098">
        <f>SUM(J437:K445)</f>
        <v>32400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1100000</v>
      </c>
      <c r="H454" s="2098"/>
      <c r="I454" s="2070"/>
      <c r="J454" s="2098">
        <f>'Part IV-Uses of Funds'!J25</f>
        <v>1045000</v>
      </c>
      <c r="K454" s="2098"/>
      <c r="L454" s="2099"/>
      <c r="M454" s="2098">
        <f>'Part IV-Uses of Funds'!M25</f>
        <v>0</v>
      </c>
      <c r="N454" s="2098"/>
      <c r="O454" s="2070"/>
      <c r="P454" s="2098">
        <f>'Part IV-Uses of Funds'!P25</f>
        <v>0</v>
      </c>
      <c r="Q454" s="2098"/>
      <c r="R454" s="2070"/>
      <c r="S454" s="2098">
        <f>'Part IV-Uses of Funds'!S25</f>
        <v>55000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54459</v>
      </c>
      <c r="H455" s="2098"/>
      <c r="I455" s="2070"/>
      <c r="J455" s="2098">
        <f>'Part IV-Uses of Funds'!J26</f>
        <v>0</v>
      </c>
      <c r="K455" s="2098"/>
      <c r="L455" s="2185"/>
      <c r="M455" s="2098"/>
      <c r="N455" s="2098"/>
      <c r="O455" s="2070"/>
      <c r="P455" s="2098"/>
      <c r="Q455" s="2098"/>
      <c r="R455" s="2070"/>
      <c r="S455" s="2098">
        <f>'Part IV-Uses of Funds'!S26</f>
        <v>54459</v>
      </c>
      <c r="T455" s="2098"/>
      <c r="U455" s="2070"/>
      <c r="V455" s="2128">
        <f>'Part IV-Uses of Funds'!V26</f>
        <v>0</v>
      </c>
      <c r="W455" s="2181"/>
      <c r="X455" s="2181"/>
    </row>
    <row r="456" spans="1:24">
      <c r="A456" s="2070"/>
      <c r="B456" s="2070"/>
      <c r="C456" s="2070"/>
      <c r="D456" s="2070"/>
      <c r="E456" s="2070"/>
      <c r="F456" s="2183" t="s">
        <v>197</v>
      </c>
      <c r="G456" s="2098">
        <f>SUM(G454:H455)</f>
        <v>1154459</v>
      </c>
      <c r="H456" s="2098"/>
      <c r="I456" s="2070"/>
      <c r="J456" s="2098">
        <f>SUM(J454:K455)</f>
        <v>1045000</v>
      </c>
      <c r="K456" s="2098"/>
      <c r="L456" s="2099"/>
      <c r="M456" s="2098">
        <f>M454</f>
        <v>0</v>
      </c>
      <c r="N456" s="2098"/>
      <c r="O456" s="2070"/>
      <c r="P456" s="2098">
        <f>P454</f>
        <v>0</v>
      </c>
      <c r="Q456" s="2098"/>
      <c r="R456" s="2070"/>
      <c r="S456" s="2098">
        <f>SUM(S454:T455)</f>
        <v>109459</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4981730</v>
      </c>
      <c r="H458" s="2098"/>
      <c r="I458" s="2070"/>
      <c r="J458" s="2098">
        <f>'Part IV-Uses of Funds'!J29</f>
        <v>4981730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250000</v>
      </c>
      <c r="H460" s="2098"/>
      <c r="I460" s="2070"/>
      <c r="J460" s="2098">
        <f>'Part IV-Uses of Funds'!J31</f>
        <v>250000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5231730</v>
      </c>
      <c r="H462" s="2098"/>
      <c r="I462" s="2070"/>
      <c r="J462" s="2098">
        <f>SUM(J458:K461)</f>
        <v>5231730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383171.33999999997</v>
      </c>
      <c r="G464" s="2098">
        <f>'Part IV-Uses of Funds'!G35</f>
        <v>383171</v>
      </c>
      <c r="H464" s="2098"/>
      <c r="I464" s="2075"/>
      <c r="J464" s="2098">
        <f>'Part IV-Uses of Funds'!J35</f>
        <v>383171</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127723.78</v>
      </c>
      <c r="G465" s="2098">
        <f>'Part IV-Uses of Funds'!G36</f>
        <v>127723</v>
      </c>
      <c r="H465" s="2098"/>
      <c r="I465" s="2075"/>
      <c r="J465" s="2098">
        <f>'Part IV-Uses of Funds'!J36</f>
        <v>127723</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383171.33999999997</v>
      </c>
      <c r="G466" s="2098">
        <f>'Part IV-Uses of Funds'!G37</f>
        <v>383171</v>
      </c>
      <c r="H466" s="2098"/>
      <c r="I466" s="2075"/>
      <c r="J466" s="2098">
        <f>'Part IV-Uses of Funds'!J37</f>
        <v>383171</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894065</v>
      </c>
      <c r="H467" s="2098"/>
      <c r="I467" s="2070"/>
      <c r="J467" s="2098">
        <f>SUM(J464:K466)</f>
        <v>894065</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4403</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4404</v>
      </c>
      <c r="C472" s="2193"/>
      <c r="D472" s="2070"/>
      <c r="E472" s="2178" t="s">
        <v>2859</v>
      </c>
      <c r="F472" s="2194">
        <f>B473/'Part VI-Revenues &amp; Expenses'!$O$60</f>
        <v>113753.96875</v>
      </c>
      <c r="G472" s="2195" t="s">
        <v>4405</v>
      </c>
      <c r="H472" s="2070"/>
      <c r="I472" s="2070"/>
      <c r="J472" s="2196">
        <f>B473/'Part VI-Revenues &amp; Expenses'!$O$62</f>
        <v>113753.96875</v>
      </c>
      <c r="K472" s="2196"/>
      <c r="L472" s="2070"/>
      <c r="M472" s="2197" t="s">
        <v>1454</v>
      </c>
      <c r="N472" s="2197"/>
      <c r="O472" s="2070"/>
      <c r="P472" s="2196">
        <f>B473/'Part I-Project Information'!$P$60</f>
        <v>104.5998477033376</v>
      </c>
      <c r="Q472" s="2196"/>
      <c r="R472" s="2070"/>
      <c r="S472" s="2193" t="s">
        <v>2895</v>
      </c>
      <c r="T472" s="2193"/>
      <c r="U472" s="2070"/>
      <c r="V472" s="2070"/>
      <c r="W472" s="2181"/>
      <c r="X472" s="2181"/>
    </row>
    <row r="473" spans="1:24">
      <c r="A473" s="2070"/>
      <c r="B473" s="2198">
        <f>G456+G462+G467+G470</f>
        <v>7280254</v>
      </c>
      <c r="C473" s="2198"/>
      <c r="D473" s="2070"/>
      <c r="E473" s="2178"/>
      <c r="F473" s="2194">
        <f>B473/'Part VI-Revenues &amp; Expenses'!$O$117</f>
        <v>109.37881610576923</v>
      </c>
      <c r="G473" s="2108" t="s">
        <v>4406</v>
      </c>
      <c r="H473" s="2070"/>
      <c r="I473" s="2070"/>
      <c r="J473" s="2196">
        <f>B473/'Part VI-Revenues &amp; Expenses'!$O$119</f>
        <v>109.37881610576923</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4.9999903849508545E-2</v>
      </c>
      <c r="G476" s="2098">
        <f>'Part IV-Uses of Funds'!G47</f>
        <v>364012</v>
      </c>
      <c r="H476" s="2098"/>
      <c r="I476" s="2070"/>
      <c r="J476" s="2098">
        <f>'Part IV-Uses of Funds'!J47</f>
        <v>364012</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4407</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10600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10600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73385</v>
      </c>
      <c r="H483" s="2098"/>
      <c r="I483" s="2070"/>
      <c r="J483" s="2098">
        <f>'Part IV-Uses of Funds'!J54</f>
        <v>73385</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265450</v>
      </c>
      <c r="H484" s="2098"/>
      <c r="I484" s="2070"/>
      <c r="J484" s="2098">
        <f>'Part IV-Uses of Funds'!J55</f>
        <v>231970</v>
      </c>
      <c r="K484" s="2098"/>
      <c r="L484" s="2099"/>
      <c r="M484" s="2098">
        <f>'Part IV-Uses of Funds'!M55</f>
        <v>0</v>
      </c>
      <c r="N484" s="2098"/>
      <c r="O484" s="2070"/>
      <c r="P484" s="2098">
        <f>'Part IV-Uses of Funds'!P55</f>
        <v>0</v>
      </c>
      <c r="Q484" s="2098"/>
      <c r="R484" s="2070"/>
      <c r="S484" s="2098">
        <f>'Part IV-Uses of Funds'!S55</f>
        <v>33479</v>
      </c>
      <c r="T484" s="2098"/>
      <c r="U484" s="2070"/>
      <c r="V484" s="2128">
        <f>'Part IV-Uses of Funds'!V55</f>
        <v>0</v>
      </c>
      <c r="W484" s="2181"/>
      <c r="X484" s="2181"/>
    </row>
    <row r="485" spans="1:24">
      <c r="A485" s="2070"/>
      <c r="B485" s="2070" t="s">
        <v>2429</v>
      </c>
      <c r="C485" s="2070"/>
      <c r="D485" s="2070"/>
      <c r="E485" s="2070"/>
      <c r="F485" s="2070"/>
      <c r="G485" s="2098">
        <f>'Part IV-Uses of Funds'!G56</f>
        <v>0</v>
      </c>
      <c r="H485" s="2098"/>
      <c r="I485" s="2070"/>
      <c r="J485" s="2098">
        <f>'Part IV-Uses of Funds'!J56</f>
        <v>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9000</v>
      </c>
      <c r="H486" s="2098"/>
      <c r="I486" s="2070"/>
      <c r="J486" s="2098">
        <f>'Part IV-Uses of Funds'!J57</f>
        <v>9000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5500</v>
      </c>
      <c r="H487" s="2098"/>
      <c r="I487" s="2070"/>
      <c r="J487" s="2098">
        <f>'Part IV-Uses of Funds'!J58</f>
        <v>5500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18000</v>
      </c>
      <c r="H488" s="2098"/>
      <c r="I488" s="2070"/>
      <c r="J488" s="2098">
        <f>'Part IV-Uses of Funds'!J59</f>
        <v>18000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25000</v>
      </c>
      <c r="H489" s="2098"/>
      <c r="I489" s="2070"/>
      <c r="J489" s="2098">
        <f>'Part IV-Uses of Funds'!J60</f>
        <v>25000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406935</v>
      </c>
      <c r="H493" s="2098"/>
      <c r="I493" s="2070"/>
      <c r="J493" s="2098">
        <f>SUM(J482:K492)</f>
        <v>362855</v>
      </c>
      <c r="K493" s="2098"/>
      <c r="L493" s="2099"/>
      <c r="M493" s="2098">
        <f>SUM(M482:N492)</f>
        <v>0</v>
      </c>
      <c r="N493" s="2098"/>
      <c r="O493" s="2070"/>
      <c r="P493" s="2098">
        <f>SUM(P482:Q492)</f>
        <v>0</v>
      </c>
      <c r="Q493" s="2098"/>
      <c r="R493" s="2070"/>
      <c r="S493" s="2098">
        <f>SUM(S482:T492)</f>
        <v>44079</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138240</v>
      </c>
      <c r="H495" s="2098"/>
      <c r="I495" s="2070"/>
      <c r="J495" s="2098">
        <f>'Part IV-Uses of Funds'!J66</f>
        <v>138240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28160</v>
      </c>
      <c r="H496" s="2098"/>
      <c r="I496" s="2070"/>
      <c r="J496" s="2098">
        <f>'Part IV-Uses of Funds'!J67</f>
        <v>28160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18630</v>
      </c>
      <c r="H498" s="2098"/>
      <c r="I498" s="2070"/>
      <c r="J498" s="2098">
        <f>'Part IV-Uses of Funds'!J69</f>
        <v>18630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18500</v>
      </c>
      <c r="H499" s="2098"/>
      <c r="I499" s="2070"/>
      <c r="J499" s="2098">
        <f>'Part IV-Uses of Funds'!J70</f>
        <v>18500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25000</v>
      </c>
      <c r="H500" s="2098"/>
      <c r="I500" s="2070"/>
      <c r="J500" s="2098">
        <f>'Part IV-Uses of Funds'!J71</f>
        <v>25000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70000</v>
      </c>
      <c r="H501" s="2098"/>
      <c r="I501" s="2070"/>
      <c r="J501" s="2098">
        <f>'Part IV-Uses of Funds'!J72</f>
        <v>70000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75000</v>
      </c>
      <c r="H502" s="2098"/>
      <c r="I502" s="2070"/>
      <c r="J502" s="2098">
        <f>'Part IV-Uses of Funds'!J73</f>
        <v>75000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15000</v>
      </c>
      <c r="H503" s="2098"/>
      <c r="I503" s="2070"/>
      <c r="J503" s="2098">
        <f>'Part IV-Uses of Funds'!J74</f>
        <v>15000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3400</v>
      </c>
      <c r="H504" s="2098"/>
      <c r="I504" s="2070"/>
      <c r="J504" s="2098">
        <f>'Part IV-Uses of Funds'!J75</f>
        <v>3400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411930</v>
      </c>
      <c r="H506" s="2098"/>
      <c r="I506" s="2070"/>
      <c r="J506" s="2098">
        <f>SUM(J495:K505)</f>
        <v>411930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40000</v>
      </c>
      <c r="H508" s="2098"/>
      <c r="I508" s="2070"/>
      <c r="J508" s="2098">
        <f>'Part IV-Uses of Funds'!J79</f>
        <v>40000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97500</v>
      </c>
      <c r="H510" s="2098"/>
      <c r="I510" s="2075"/>
      <c r="J510" s="2098">
        <f>'Part IV-Uses of Funds'!J81</f>
        <v>97500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97500</v>
      </c>
      <c r="H511" s="2098"/>
      <c r="I511" s="2075"/>
      <c r="J511" s="2098">
        <f>'Part IV-Uses of Funds'!J82</f>
        <v>97500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235000</v>
      </c>
      <c r="H512" s="2098"/>
      <c r="I512" s="2070"/>
      <c r="J512" s="2098">
        <f>SUM(J508:K511)</f>
        <v>235000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10600</v>
      </c>
      <c r="H514" s="2098"/>
      <c r="I514" s="2070"/>
      <c r="J514" s="2098"/>
      <c r="K514" s="2098"/>
      <c r="L514" s="2099"/>
      <c r="M514" s="2098"/>
      <c r="N514" s="2098"/>
      <c r="O514" s="2070"/>
      <c r="P514" s="2098"/>
      <c r="Q514" s="2098"/>
      <c r="R514" s="2070"/>
      <c r="S514" s="2098">
        <f>'Part IV-Uses of Funds'!S85</f>
        <v>10600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25000</v>
      </c>
      <c r="H515" s="2098"/>
      <c r="I515" s="2070"/>
      <c r="J515" s="2098"/>
      <c r="K515" s="2098"/>
      <c r="L515" s="2099"/>
      <c r="M515" s="2098"/>
      <c r="N515" s="2098"/>
      <c r="O515" s="2070"/>
      <c r="P515" s="2098"/>
      <c r="Q515" s="2098"/>
      <c r="R515" s="2070"/>
      <c r="S515" s="2098">
        <f>'Part IV-Uses of Funds'!S86</f>
        <v>25000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35600</v>
      </c>
      <c r="H520" s="2098"/>
      <c r="I520" s="2070"/>
      <c r="J520" s="2098"/>
      <c r="K520" s="2098"/>
      <c r="L520" s="2099"/>
      <c r="M520" s="2098"/>
      <c r="N520" s="2098"/>
      <c r="O520" s="2070"/>
      <c r="P520" s="2098"/>
      <c r="Q520" s="2098"/>
      <c r="R520" s="2070"/>
      <c r="S520" s="2098">
        <f>SUM(S514:T519)</f>
        <v>35600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4408</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65636.320000000007</v>
      </c>
      <c r="F528" s="2202"/>
      <c r="G528" s="2098">
        <f>'Part IV-Uses of Funds'!G99</f>
        <v>65636</v>
      </c>
      <c r="H528" s="2098"/>
      <c r="I528" s="2070"/>
      <c r="J528" s="2099"/>
      <c r="K528" s="2099"/>
      <c r="L528" s="2099"/>
      <c r="M528" s="2099"/>
      <c r="N528" s="2099"/>
      <c r="O528" s="2070"/>
      <c r="P528" s="2099"/>
      <c r="Q528" s="2099"/>
      <c r="R528" s="2070"/>
      <c r="S528" s="2098">
        <f>'Part IV-Uses of Funds'!S99</f>
        <v>65636</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529" s="2202"/>
      <c r="G529" s="2098">
        <f>'Part IV-Uses of Funds'!G100</f>
        <v>51200</v>
      </c>
      <c r="H529" s="2098"/>
      <c r="I529" s="2070"/>
      <c r="J529" s="2075"/>
      <c r="K529" s="2075"/>
      <c r="L529" s="2075"/>
      <c r="M529" s="2075"/>
      <c r="N529" s="2075"/>
      <c r="O529" s="2075"/>
      <c r="P529" s="2075"/>
      <c r="Q529" s="2075"/>
      <c r="R529" s="2070"/>
      <c r="S529" s="2098">
        <f>'Part IV-Uses of Funds'!S100</f>
        <v>51200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126336</v>
      </c>
      <c r="H534" s="2098"/>
      <c r="I534" s="2070"/>
      <c r="J534" s="2099"/>
      <c r="K534" s="2099"/>
      <c r="L534" s="2099"/>
      <c r="M534" s="2099"/>
      <c r="N534" s="2099"/>
      <c r="O534" s="2070"/>
      <c r="P534" s="2099"/>
      <c r="Q534" s="2099"/>
      <c r="R534" s="2070"/>
      <c r="S534" s="2098">
        <f>SUM(S525:T533)</f>
        <v>126336</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1500</v>
      </c>
      <c r="H536" s="2098"/>
      <c r="I536" s="2070"/>
      <c r="J536" s="2098"/>
      <c r="K536" s="2098"/>
      <c r="L536" s="2099"/>
      <c r="M536" s="2098"/>
      <c r="N536" s="2098"/>
      <c r="O536" s="2070"/>
      <c r="P536" s="2098"/>
      <c r="Q536" s="2098"/>
      <c r="R536" s="2070"/>
      <c r="S536" s="2098">
        <f>'Part IV-Uses of Funds'!S107</f>
        <v>1500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1500</v>
      </c>
      <c r="H540" s="2098"/>
      <c r="I540" s="2070"/>
      <c r="J540" s="2098"/>
      <c r="K540" s="2098"/>
      <c r="L540" s="2099"/>
      <c r="M540" s="2098"/>
      <c r="N540" s="2098"/>
      <c r="O540" s="2070"/>
      <c r="P540" s="2098"/>
      <c r="Q540" s="2098"/>
      <c r="R540" s="2070"/>
      <c r="S540" s="2098">
        <f>SUM(S536:T539)</f>
        <v>1500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713749</v>
      </c>
      <c r="H542" s="2098"/>
      <c r="I542" s="2070"/>
      <c r="J542" s="2098">
        <f>'Part IV-Uses of Funds'!J113</f>
        <v>713749</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68808</v>
      </c>
      <c r="H543" s="2098"/>
      <c r="I543" s="2070"/>
      <c r="J543" s="2098">
        <f>'Part IV-Uses of Funds'!J114</f>
        <v>68808</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4044</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593613</v>
      </c>
      <c r="H545" s="2098"/>
      <c r="I545" s="2070"/>
      <c r="J545" s="2098">
        <f>'Part IV-Uses of Funds'!J116</f>
        <v>593613</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1376170</v>
      </c>
      <c r="H546" s="2098"/>
      <c r="I546" s="2070"/>
      <c r="J546" s="2098">
        <f>SUM(J542:K545)</f>
        <v>1376170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20000</v>
      </c>
      <c r="H548" s="2098"/>
      <c r="I548" s="2070"/>
      <c r="J548" s="2201"/>
      <c r="K548" s="2201"/>
      <c r="L548" s="2201"/>
      <c r="M548" s="2201"/>
      <c r="N548" s="2201"/>
      <c r="O548" s="2070"/>
      <c r="P548" s="2201"/>
      <c r="Q548" s="2201"/>
      <c r="R548" s="2070"/>
      <c r="S548" s="2098">
        <f>'Part IV-Uses of Funds'!S119</f>
        <v>20000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59372</v>
      </c>
      <c r="G549" s="2098">
        <f>'Part IV-Uses of Funds'!G120</f>
        <v>59372</v>
      </c>
      <c r="H549" s="2098"/>
      <c r="I549" s="2070"/>
      <c r="J549" s="2098"/>
      <c r="K549" s="2098"/>
      <c r="L549" s="2099"/>
      <c r="M549" s="2098"/>
      <c r="N549" s="2098"/>
      <c r="O549" s="2070"/>
      <c r="P549" s="2098"/>
      <c r="Q549" s="2098"/>
      <c r="R549" s="2070"/>
      <c r="S549" s="2098">
        <f>'Part IV-Uses of Funds'!S120</f>
        <v>59372</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151115.36470724651</v>
      </c>
      <c r="G550" s="2098">
        <f>'Part IV-Uses of Funds'!G121</f>
        <v>151115</v>
      </c>
      <c r="H550" s="2098"/>
      <c r="I550" s="2070"/>
      <c r="J550" s="2201"/>
      <c r="K550" s="2201"/>
      <c r="L550" s="2201"/>
      <c r="M550" s="2201"/>
      <c r="N550" s="2201"/>
      <c r="O550" s="2070"/>
      <c r="P550" s="2201"/>
      <c r="Q550" s="2201"/>
      <c r="R550" s="2070"/>
      <c r="S550" s="2098">
        <f>'Part IV-Uses of Funds'!S121</f>
        <v>151115</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3852</v>
      </c>
      <c r="F552" s="2205">
        <f>IF('Part VI-Revenues &amp; Expenses'!$O$62=0,0,G552/'Part VI-Revenues &amp; Expenses'!$O$62)</f>
        <v>781.25</v>
      </c>
      <c r="G552" s="2098">
        <f>'Part IV-Uses of Funds'!G123</f>
        <v>50000</v>
      </c>
      <c r="H552" s="2098"/>
      <c r="I552" s="2070"/>
      <c r="J552" s="2098">
        <f>'Part IV-Uses of Funds'!J123</f>
        <v>50000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280487</v>
      </c>
      <c r="H554" s="2098"/>
      <c r="I554" s="2070"/>
      <c r="J554" s="2098">
        <f>SUM(J552:K553)</f>
        <v>50000</v>
      </c>
      <c r="K554" s="2098"/>
      <c r="L554" s="2099"/>
      <c r="M554" s="2098">
        <f>SUM(M552:N553)</f>
        <v>0</v>
      </c>
      <c r="N554" s="2098"/>
      <c r="O554" s="2070"/>
      <c r="P554" s="2098">
        <f>SUM(P552:Q553)</f>
        <v>0</v>
      </c>
      <c r="Q554" s="2098"/>
      <c r="R554" s="2070"/>
      <c r="S554" s="2098">
        <f>SUM(S548:T553)</f>
        <v>230487</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4409</v>
      </c>
      <c r="C560" s="2070"/>
      <c r="D560" s="2070"/>
      <c r="E560" s="2070"/>
      <c r="F560" s="2070"/>
      <c r="G560" s="2208">
        <f>G446+G452+G456+G462+G467+G470+G476+G493+G506+G512+G520+G534+G540+G546+G554+G558</f>
        <v>10550624</v>
      </c>
      <c r="H560" s="2208"/>
      <c r="I560" s="2070"/>
      <c r="J560" s="2208">
        <f>J446+J452+J456+J462+J467+J470+J476+J493+J506+J512+J520+J534+J540+J546+J554+J558</f>
        <v>10003162</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547461</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4410</v>
      </c>
      <c r="C562" s="2193"/>
      <c r="D562" s="2210">
        <f>IF('Part VI-Revenues &amp; Expenses'!$O$62=0,0,G560/'Part VI-Revenues &amp; Expenses'!$O$62)</f>
        <v>164853.5</v>
      </c>
      <c r="E562" s="2210"/>
      <c r="F562" s="2200" t="s">
        <v>2879</v>
      </c>
      <c r="G562" s="2210">
        <f>IF('Part I-Project Information'!$P$60=0,0,G560/'Part I-Project Information'!$P$60)</f>
        <v>151.58724730966509</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10003162</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10003162</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State Boost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13004110.6</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0.70102163461538458</v>
      </c>
      <c r="K582" s="2216"/>
      <c r="L582" s="2070"/>
      <c r="M582" s="2216">
        <f>MIN('Part VI-Revenues &amp; Expenses'!$O$58/'Part VI-Revenues &amp; Expenses'!$O$60,'Part VI-Revenues &amp; Expenses'!$O$115/'Part VI-Revenues &amp; Expenses'!$O$117)</f>
        <v>0.70102163461538458</v>
      </c>
      <c r="N582" s="2216"/>
      <c r="O582" s="2070"/>
      <c r="P582" s="2216">
        <f>MIN('Part VI-Revenues &amp; Expenses'!$O$58/'Part VI-Revenues &amp; Expenses'!$O$60,'Part VI-Revenues &amp; Expenses'!$O$115/'Part VI-Revenues &amp; Expenses'!$O$117)</f>
        <v>0.70102163461538458</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9116162.8695312496</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820454.65825781238</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820454.65825781238</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4411</v>
      </c>
      <c r="C590" s="2070"/>
      <c r="D590" s="2070"/>
      <c r="E590" s="2070"/>
      <c r="F590" s="2070"/>
      <c r="G590" s="2219" t="str">
        <f>IF(J591&gt;J590,"TDC exceeds QAP PUCL!","")</f>
        <v/>
      </c>
      <c r="H590" s="2219"/>
      <c r="I590" s="2219"/>
      <c r="J590" s="2160">
        <f>'Part VIII-Threshold Criteria'!$P$65</f>
        <v>10550704</v>
      </c>
      <c r="K590" s="2160"/>
      <c r="L590" s="2160"/>
      <c r="M590" s="2220" t="s">
        <v>2861</v>
      </c>
      <c r="N590" s="2220"/>
      <c r="O590" s="2220"/>
      <c r="P590" s="2220"/>
      <c r="Q590" s="2220"/>
      <c r="R590" s="2220"/>
      <c r="S590" s="2220" t="s">
        <v>4112</v>
      </c>
      <c r="T590" s="2220"/>
      <c r="U590" s="2070"/>
      <c r="V590" s="2128">
        <f>'Part IV-Uses of Funds'!V161</f>
        <v>0</v>
      </c>
      <c r="W590" s="2176">
        <f>'Part IV-Uses of Funds'!W161</f>
        <v>0</v>
      </c>
      <c r="X590" s="2176"/>
    </row>
    <row r="591" spans="1:24">
      <c r="A591" s="2070"/>
      <c r="B591" s="2070" t="s">
        <v>4412</v>
      </c>
      <c r="C591" s="2070"/>
      <c r="D591" s="2070"/>
      <c r="E591" s="2070"/>
      <c r="F591" s="2070"/>
      <c r="G591" s="2070"/>
      <c r="H591" s="2070"/>
      <c r="I591" s="2070"/>
      <c r="J591" s="2105">
        <f>'Part IV-Uses of Funds'!J162</f>
        <v>10550624</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1060110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9490514</v>
      </c>
      <c r="K593" s="2105"/>
      <c r="L593" s="2105"/>
      <c r="M593" s="2083" t="s">
        <v>2862</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949051.4</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4413</v>
      </c>
      <c r="C596" s="2070"/>
      <c r="D596" s="2070"/>
      <c r="E596" s="2070"/>
      <c r="F596" s="2070"/>
      <c r="G596" s="2070"/>
      <c r="H596" s="2070"/>
      <c r="I596" s="2070"/>
      <c r="J596" s="2224">
        <f>N596+Q596</f>
        <v>1.1499999999999999</v>
      </c>
      <c r="K596" s="2224"/>
      <c r="L596" s="2224"/>
      <c r="M596" s="2073" t="s">
        <v>1338</v>
      </c>
      <c r="N596" s="2225">
        <f>'Part IV-Uses of Funds'!N167</f>
        <v>0.85</v>
      </c>
      <c r="O596" s="2225"/>
      <c r="P596" s="2073" t="s">
        <v>636</v>
      </c>
      <c r="Q596" s="2225">
        <f>'Part IV-Uses of Funds'!Q167</f>
        <v>0.3</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825262.08695652185</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4414</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820454.65825781238</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4415</v>
      </c>
      <c r="C601" s="2070"/>
      <c r="D601" s="2070"/>
      <c r="E601" s="2070"/>
      <c r="F601" s="2070"/>
      <c r="G601" s="2070"/>
      <c r="H601" s="2070"/>
      <c r="I601" s="2070"/>
      <c r="J601" s="2162">
        <f>'Part IV-Uses of Funds'!$J$172</f>
        <v>820454</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4416</v>
      </c>
      <c r="C603" s="2070"/>
      <c r="D603" s="2075"/>
      <c r="E603" s="2075"/>
      <c r="F603" s="2076"/>
      <c r="G603" s="2070"/>
      <c r="H603" s="2070"/>
      <c r="I603" s="2070"/>
      <c r="J603" s="2162">
        <f>'Part IV-Uses of Funds'!$J$174</f>
        <v>820454</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Please see Tab 1 for a schedule of values provided by Fairway Construction Co, Inc.
Per the QAP, a third party front-end analysis of the construction costs is required based on the IOI between the Federal and State Limited Partners and General Contractor. This is accounted for in the Accessibility Inspections and Plan Review line item.</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2016-028 - The Village on Park  -  Hahira  -  Lowndes,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4184</v>
      </c>
      <c r="B612" s="2231"/>
      <c r="C612" s="2231"/>
      <c r="D612" s="2231"/>
      <c r="E612" s="2231"/>
      <c r="F612" s="2231"/>
      <c r="G612" s="2231"/>
      <c r="H612" s="2231"/>
    </row>
    <row r="613" spans="1:14" s="2230" customFormat="1" ht="6" customHeight="1"/>
    <row r="614" spans="1:14" s="2230" customFormat="1" ht="27" customHeight="1">
      <c r="A614" s="2232" t="s">
        <v>4417</v>
      </c>
      <c r="B614" s="2232"/>
      <c r="C614" s="2232"/>
      <c r="D614" s="2232"/>
      <c r="F614" s="2233" t="s">
        <v>4186</v>
      </c>
      <c r="G614" s="2234"/>
      <c r="H614" s="2233" t="s">
        <v>4187</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4190</v>
      </c>
      <c r="B621" s="2241">
        <f>'Part IV-Uses of Funds'!$G$14</f>
        <v>0</v>
      </c>
      <c r="C621" s="2240" t="s">
        <v>1856</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4190</v>
      </c>
      <c r="B626" s="2241">
        <f>'Part IV-Uses of Funds'!$G$15</f>
        <v>0</v>
      </c>
      <c r="C626" s="2240" t="s">
        <v>1856</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4190</v>
      </c>
      <c r="B631" s="2241">
        <f>'Part IV-Uses of Funds'!$G$16</f>
        <v>0</v>
      </c>
      <c r="C631" s="2240" t="s">
        <v>1856</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4189</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4190</v>
      </c>
      <c r="B637" s="2241">
        <f>'Part IV-Uses of Funds'!$G$41</f>
        <v>0</v>
      </c>
      <c r="C637" s="2240" t="s">
        <v>1856</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4190</v>
      </c>
      <c r="B643" s="2241">
        <f>'Part IV-Uses of Funds'!$G$62</f>
        <v>0</v>
      </c>
      <c r="C643" s="2240" t="s">
        <v>1856</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4190</v>
      </c>
      <c r="B648" s="2241">
        <f>'Part IV-Uses of Funds'!$G$63</f>
        <v>0</v>
      </c>
      <c r="C648" s="2240" t="s">
        <v>1856</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4190</v>
      </c>
      <c r="B654" s="2241">
        <f>'Part IV-Uses of Funds'!$G$76</f>
        <v>0</v>
      </c>
      <c r="C654" s="2240" t="s">
        <v>1856</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4190</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4418</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4190</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4419</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4188</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4420</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4188</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2016-028 The Village on Park, ,  County</v>
      </c>
      <c r="B695" s="2078"/>
      <c r="C695" s="2078"/>
      <c r="D695" s="2078"/>
      <c r="E695" s="2078"/>
      <c r="F695" s="2078"/>
      <c r="G695" s="2078"/>
      <c r="H695" s="2078"/>
      <c r="I695" s="2078"/>
      <c r="J695" s="2078"/>
      <c r="K695" s="2078"/>
      <c r="L695" s="2078"/>
      <c r="M695" s="2078"/>
    </row>
    <row r="697" spans="1:13">
      <c r="F697" s="2078" t="s">
        <v>534</v>
      </c>
      <c r="I697" s="2248" t="str">
        <f>VLOOKUP('Part I-Project Information'!$J$29,'DCA Underwriting Assumptions'!$G$141:$H$300,2)</f>
        <v>South</v>
      </c>
    </row>
    <row r="699" spans="1:13">
      <c r="A699" s="2249" t="s">
        <v>640</v>
      </c>
      <c r="B699" s="2249" t="s">
        <v>2306</v>
      </c>
      <c r="F699" s="877" t="s">
        <v>2606</v>
      </c>
      <c r="I699" s="2250" t="str">
        <f>'Part V-Utility Allowances'!I5</f>
        <v>DCA Utility Allowances - Southern Region</v>
      </c>
      <c r="J699" s="2250"/>
      <c r="K699" s="2250"/>
      <c r="L699" s="2250"/>
      <c r="M699" s="2250"/>
    </row>
    <row r="700" spans="1:13">
      <c r="A700" s="2249"/>
      <c r="F700" s="877" t="s">
        <v>660</v>
      </c>
      <c r="I700" s="2251">
        <f>'Part V-Utility Allowances'!I6</f>
        <v>42552</v>
      </c>
      <c r="J700" s="2251"/>
      <c r="K700" s="2252" t="s">
        <v>559</v>
      </c>
      <c r="L700" s="2250" t="str">
        <f>'Part V-Utility Allowances'!L6</f>
        <v>2-Story Walkup</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1920</v>
      </c>
      <c r="H703" s="2249"/>
      <c r="I703" s="2254" t="s">
        <v>587</v>
      </c>
      <c r="J703" s="2254">
        <v>1</v>
      </c>
      <c r="K703" s="2254">
        <v>2</v>
      </c>
      <c r="L703" s="2254">
        <v>3</v>
      </c>
      <c r="M703" s="2254">
        <v>4</v>
      </c>
    </row>
    <row r="704" spans="1:13">
      <c r="B704" s="877" t="s">
        <v>1922</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2</v>
      </c>
      <c r="K704" s="2252">
        <f>'Part V-Utility Allowances'!K10</f>
        <v>2</v>
      </c>
      <c r="L704" s="2252">
        <f>'Part V-Utility Allowances'!L10</f>
        <v>3</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38</v>
      </c>
      <c r="K705" s="2252">
        <f>'Part V-Utility Allowances'!K11</f>
        <v>49</v>
      </c>
      <c r="L705" s="2252">
        <f>'Part V-Utility Allowances'!L11</f>
        <v>60</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10</v>
      </c>
      <c r="K706" s="2252">
        <f>'Part V-Utility Allowances'!K12</f>
        <v>13</v>
      </c>
      <c r="L706" s="2252">
        <f>'Part V-Utility Allowances'!L12</f>
        <v>15</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30</v>
      </c>
      <c r="K707" s="2252">
        <f>'Part V-Utility Allowances'!K13</f>
        <v>39</v>
      </c>
      <c r="L707" s="2252">
        <f>'Part V-Utility Allowances'!L13</f>
        <v>48</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28</v>
      </c>
      <c r="K708" s="2252">
        <f>'Part V-Utility Allowances'!K14</f>
        <v>36</v>
      </c>
      <c r="L708" s="2252">
        <f>'Part V-Utility Allowances'!L14</f>
        <v>44</v>
      </c>
      <c r="M708" s="2252">
        <f>'Part V-Utility Allowances'!M14</f>
        <v>0</v>
      </c>
    </row>
    <row r="709" spans="1:13">
      <c r="B709" s="877" t="s">
        <v>1420</v>
      </c>
      <c r="D709" s="877" t="s">
        <v>4162</v>
      </c>
      <c r="E709" s="2252" t="str">
        <f>'Part V-Utility Allowances'!E15</f>
        <v>Yes</v>
      </c>
      <c r="F709" s="2255" t="str">
        <f>'Part V-Utility Allowances'!F15</f>
        <v>X</v>
      </c>
      <c r="G709" s="2255">
        <f>'Part V-Utility Allowances'!G15</f>
        <v>0</v>
      </c>
      <c r="I709" s="2252">
        <f>'Part V-Utility Allowances'!I15</f>
        <v>0</v>
      </c>
      <c r="J709" s="2252">
        <f>'Part V-Utility Allowances'!J15</f>
        <v>41</v>
      </c>
      <c r="K709" s="2252">
        <f>'Part V-Utility Allowances'!K15</f>
        <v>53</v>
      </c>
      <c r="L709" s="2252">
        <f>'Part V-Utility Allowances'!L15</f>
        <v>64</v>
      </c>
      <c r="M709" s="2252">
        <f>'Part V-Utility Allowances'!M15</f>
        <v>0</v>
      </c>
    </row>
    <row r="710" spans="1:13">
      <c r="B710" s="877" t="s">
        <v>1921</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149</v>
      </c>
      <c r="K711" s="2254">
        <f>IF(SUM(K704:K710)=0,0,IF(OR($D704="&lt;&lt;Select Fuel &gt;&gt;",$D706="&lt;&lt;Select Fuel &gt;&gt;",$D707="&lt;&lt;Select Fuel &gt;&gt;"),"Select Fuel",IF($E709="&lt;Select&gt;","Submeter?",SUM(K704:K710))))</f>
        <v>192</v>
      </c>
      <c r="L711" s="2254">
        <f>IF(SUM(L704:L710)=0,0,IF(OR($D704="&lt;&lt;Select Fuel &gt;&gt;",$D706="&lt;&lt;Select Fuel &gt;&gt;",$D707="&lt;&lt;Select Fuel &gt;&gt;"),"Select Fuel",IF($E709="&lt;Select&gt;","Submeter?",SUM(L704:L710))))</f>
        <v>234</v>
      </c>
      <c r="M711" s="2254">
        <f>IF(SUM(M704:M710)=0,0,IF(OR($D704="&lt;&lt;Select Fuel &gt;&gt;",$D706="&lt;&lt;Select Fuel &gt;&gt;",$D707="&lt;&lt;Select Fuel &gt;&gt;"),"Select Fuel",IF($E709="&lt;Select&gt;","Submeter?",SUM(M704:M710))))</f>
        <v>0</v>
      </c>
    </row>
    <row r="712" spans="1:13">
      <c r="B712" s="504" t="s">
        <v>4163</v>
      </c>
      <c r="F712" s="2252"/>
      <c r="G712" s="2252"/>
      <c r="I712" s="2254"/>
      <c r="J712" s="2254"/>
      <c r="K712" s="2254"/>
      <c r="L712" s="2254"/>
      <c r="M712" s="2254"/>
    </row>
    <row r="714" spans="1:13">
      <c r="A714" s="2249" t="s">
        <v>770</v>
      </c>
      <c r="B714" s="2249" t="s">
        <v>2307</v>
      </c>
      <c r="F714" s="877" t="s">
        <v>2606</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1920</v>
      </c>
      <c r="H718" s="2249"/>
      <c r="I718" s="2254" t="s">
        <v>587</v>
      </c>
      <c r="J718" s="2254">
        <v>1</v>
      </c>
      <c r="K718" s="2254">
        <v>2</v>
      </c>
      <c r="L718" s="2254">
        <v>3</v>
      </c>
      <c r="M718" s="2254">
        <v>4</v>
      </c>
    </row>
    <row r="719" spans="1:13">
      <c r="B719" s="877" t="s">
        <v>1922</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4162</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1921</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4163</v>
      </c>
      <c r="F727" s="2252"/>
      <c r="G727" s="2252"/>
      <c r="I727" s="2254"/>
      <c r="J727" s="2254"/>
      <c r="K727" s="2254"/>
      <c r="L727" s="2254"/>
      <c r="M727" s="2254"/>
    </row>
    <row r="729" spans="1:13">
      <c r="B729" s="2256" t="s">
        <v>1873</v>
      </c>
    </row>
    <row r="731" spans="1:13">
      <c r="A731" s="2249"/>
      <c r="B731" s="2249" t="s">
        <v>593</v>
      </c>
    </row>
    <row r="732" spans="1:13" ht="72">
      <c r="B732" s="2181" t="str">
        <f>'Part V-Utility Allowances'!B38</f>
        <v>The DCA Southern Region was used for this application.</v>
      </c>
      <c r="C732" s="2181"/>
      <c r="D732" s="2181"/>
      <c r="E732" s="2181"/>
      <c r="F732" s="2181"/>
      <c r="G732" s="2181"/>
      <c r="H732" s="2181"/>
      <c r="I732" s="2181"/>
      <c r="J732" s="2181"/>
      <c r="K732" s="2181"/>
      <c r="L732" s="2181"/>
      <c r="M732" s="2181"/>
    </row>
    <row r="734" spans="1:13">
      <c r="A734" s="2249"/>
      <c r="B734" s="2249"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2016-028 The Village on Park,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2016-028 The Village on Park,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640</v>
      </c>
      <c r="B746" s="2078" t="s">
        <v>2449</v>
      </c>
      <c r="D746" s="2074" t="s">
        <v>3856</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2525</v>
      </c>
      <c r="FD746" s="2259" t="s">
        <v>2526</v>
      </c>
      <c r="FE746" s="2259" t="s">
        <v>2527</v>
      </c>
      <c r="FF746" s="2259" t="s">
        <v>2528</v>
      </c>
      <c r="FG746" s="2259" t="s">
        <v>503</v>
      </c>
      <c r="FH746" s="2259" t="s">
        <v>2525</v>
      </c>
      <c r="FI746" s="2259" t="s">
        <v>2526</v>
      </c>
      <c r="FJ746" s="2259" t="s">
        <v>2527</v>
      </c>
      <c r="FK746" s="2259" t="s">
        <v>2528</v>
      </c>
      <c r="FL746" s="2261"/>
      <c r="FM746" s="2261"/>
      <c r="FN746" s="2261"/>
      <c r="FO746" s="2261"/>
      <c r="FP746" s="2261"/>
      <c r="FQ746" s="2261"/>
      <c r="FR746" s="2261"/>
      <c r="FS746" s="2261"/>
      <c r="FT746" s="2261"/>
      <c r="FU746" s="2261"/>
      <c r="FV746" s="2259" t="s">
        <v>503</v>
      </c>
      <c r="FW746" s="2259" t="s">
        <v>2525</v>
      </c>
      <c r="FX746" s="2259" t="s">
        <v>2526</v>
      </c>
      <c r="FY746" s="2259" t="s">
        <v>2527</v>
      </c>
      <c r="FZ746" s="2259" t="s">
        <v>2528</v>
      </c>
      <c r="GA746" s="2259" t="s">
        <v>503</v>
      </c>
      <c r="GB746" s="2259" t="s">
        <v>2525</v>
      </c>
      <c r="GC746" s="2259" t="s">
        <v>2526</v>
      </c>
      <c r="GD746" s="2259" t="s">
        <v>2527</v>
      </c>
      <c r="GE746" s="2259" t="s">
        <v>2528</v>
      </c>
      <c r="GF746" s="2259" t="s">
        <v>503</v>
      </c>
      <c r="GG746" s="2259" t="s">
        <v>2525</v>
      </c>
      <c r="GH746" s="2259" t="s">
        <v>2526</v>
      </c>
      <c r="GI746" s="2259" t="s">
        <v>2527</v>
      </c>
      <c r="GJ746" s="2259" t="s">
        <v>2528</v>
      </c>
      <c r="GK746" s="2259" t="s">
        <v>503</v>
      </c>
      <c r="GL746" s="2259" t="s">
        <v>2525</v>
      </c>
      <c r="GM746" s="2259" t="s">
        <v>2526</v>
      </c>
      <c r="GN746" s="2259" t="s">
        <v>2527</v>
      </c>
      <c r="GO746" s="2259" t="s">
        <v>2528</v>
      </c>
      <c r="GP746" s="2259" t="s">
        <v>503</v>
      </c>
      <c r="GQ746" s="2259" t="s">
        <v>2525</v>
      </c>
      <c r="GR746" s="2259" t="s">
        <v>2526</v>
      </c>
      <c r="GS746" s="2259" t="s">
        <v>2527</v>
      </c>
      <c r="GT746" s="2259" t="s">
        <v>2528</v>
      </c>
      <c r="GU746" s="2259" t="s">
        <v>503</v>
      </c>
      <c r="GV746" s="2259" t="s">
        <v>2525</v>
      </c>
      <c r="GW746" s="2259" t="s">
        <v>2526</v>
      </c>
      <c r="GX746" s="2259" t="s">
        <v>2527</v>
      </c>
      <c r="GY746" s="2259" t="s">
        <v>2528</v>
      </c>
      <c r="GZ746" s="2259" t="s">
        <v>503</v>
      </c>
      <c r="HA746" s="2259" t="s">
        <v>2525</v>
      </c>
      <c r="HB746" s="2259" t="s">
        <v>2526</v>
      </c>
      <c r="HC746" s="2259" t="s">
        <v>2527</v>
      </c>
      <c r="HD746" s="2259" t="s">
        <v>2528</v>
      </c>
      <c r="HE746" s="2259" t="s">
        <v>503</v>
      </c>
      <c r="HF746" s="2259" t="s">
        <v>2525</v>
      </c>
      <c r="HG746" s="2259" t="s">
        <v>2526</v>
      </c>
      <c r="HH746" s="2259" t="s">
        <v>2527</v>
      </c>
      <c r="HI746" s="2259" t="s">
        <v>2528</v>
      </c>
      <c r="HJ746" s="2259" t="s">
        <v>503</v>
      </c>
      <c r="HK746" s="2259" t="s">
        <v>2525</v>
      </c>
      <c r="HL746" s="2259" t="s">
        <v>2526</v>
      </c>
      <c r="HM746" s="2259" t="s">
        <v>2527</v>
      </c>
      <c r="HN746" s="2259" t="s">
        <v>2528</v>
      </c>
      <c r="HO746" s="2259" t="s">
        <v>503</v>
      </c>
      <c r="HP746" s="2259" t="s">
        <v>2525</v>
      </c>
      <c r="HQ746" s="2259" t="s">
        <v>2526</v>
      </c>
      <c r="HR746" s="2259" t="s">
        <v>2527</v>
      </c>
      <c r="HS746" s="2259" t="s">
        <v>2528</v>
      </c>
      <c r="HT746" s="2259" t="s">
        <v>503</v>
      </c>
      <c r="HU746" s="2259" t="s">
        <v>2525</v>
      </c>
      <c r="HV746" s="2259" t="s">
        <v>2526</v>
      </c>
      <c r="HW746" s="2259" t="s">
        <v>2527</v>
      </c>
      <c r="HX746" s="2259" t="s">
        <v>2528</v>
      </c>
      <c r="HY746" s="2259" t="s">
        <v>503</v>
      </c>
      <c r="HZ746" s="2259" t="s">
        <v>2525</v>
      </c>
      <c r="IA746" s="2259" t="s">
        <v>2526</v>
      </c>
      <c r="IB746" s="2259" t="s">
        <v>2527</v>
      </c>
      <c r="IC746" s="2259" t="s">
        <v>2528</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3663</v>
      </c>
      <c r="JD746" s="2262" t="s">
        <v>3664</v>
      </c>
      <c r="JE746" s="2262" t="s">
        <v>3665</v>
      </c>
      <c r="JF746" s="2262" t="s">
        <v>3666</v>
      </c>
      <c r="JG746" s="2262" t="s">
        <v>3667</v>
      </c>
    </row>
    <row r="747" spans="1:277" s="2079" customFormat="1" ht="3" customHeight="1">
      <c r="B747" s="2078"/>
      <c r="D747" s="2078"/>
      <c r="P747" s="2263" t="s">
        <v>4421</v>
      </c>
      <c r="Q747" s="2264"/>
      <c r="R747" s="2265"/>
      <c r="S747" s="2265"/>
      <c r="T747" s="2265"/>
      <c r="U747" s="2265"/>
      <c r="W747" s="2266" t="s">
        <v>952</v>
      </c>
      <c r="X747" s="2266" t="s">
        <v>786</v>
      </c>
      <c r="Y747" s="2266" t="s">
        <v>787</v>
      </c>
      <c r="Z747" s="2266" t="s">
        <v>788</v>
      </c>
      <c r="AA747" s="2266" t="s">
        <v>789</v>
      </c>
      <c r="AB747" s="2266" t="s">
        <v>953</v>
      </c>
      <c r="AC747" s="2266" t="s">
        <v>2390</v>
      </c>
      <c r="AD747" s="2266" t="s">
        <v>2391</v>
      </c>
      <c r="AE747" s="2266" t="s">
        <v>2392</v>
      </c>
      <c r="AF747" s="2266" t="s">
        <v>2393</v>
      </c>
      <c r="AG747" s="2266" t="s">
        <v>954</v>
      </c>
      <c r="AH747" s="2266" t="s">
        <v>2394</v>
      </c>
      <c r="AI747" s="2266" t="s">
        <v>2395</v>
      </c>
      <c r="AJ747" s="2266" t="s">
        <v>2396</v>
      </c>
      <c r="AK747" s="2266" t="s">
        <v>2397</v>
      </c>
      <c r="AL747" s="2266" t="s">
        <v>131</v>
      </c>
      <c r="AM747" s="2266" t="s">
        <v>2398</v>
      </c>
      <c r="AN747" s="2266" t="s">
        <v>2399</v>
      </c>
      <c r="AO747" s="2266" t="s">
        <v>2400</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2515</v>
      </c>
      <c r="BV747" s="2266" t="s">
        <v>2516</v>
      </c>
      <c r="BW747" s="2266" t="s">
        <v>2517</v>
      </c>
      <c r="BX747" s="2266" t="s">
        <v>2518</v>
      </c>
      <c r="BY747" s="2266" t="s">
        <v>2519</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2514</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2287</v>
      </c>
      <c r="EN747" s="2262" t="s">
        <v>2288</v>
      </c>
      <c r="EO747" s="2262" t="s">
        <v>2289</v>
      </c>
      <c r="EP747" s="2262" t="s">
        <v>1536</v>
      </c>
      <c r="EQ747" s="2262" t="s">
        <v>1537</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1683</v>
      </c>
      <c r="IE747" s="2262" t="s">
        <v>2611</v>
      </c>
      <c r="IF747" s="2262" t="s">
        <v>2612</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1916</v>
      </c>
      <c r="E748" s="2078"/>
      <c r="H748" s="2080">
        <f>'Part VI-Revenues &amp; Expenses'!G5</f>
        <v>0</v>
      </c>
      <c r="J748" s="2268" t="s">
        <v>3850</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3658</v>
      </c>
      <c r="JI748" s="2265" t="s">
        <v>3659</v>
      </c>
      <c r="JJ748" s="2265" t="s">
        <v>3660</v>
      </c>
      <c r="JK748" s="2265" t="s">
        <v>3661</v>
      </c>
      <c r="JL748" s="2265" t="s">
        <v>3662</v>
      </c>
      <c r="JM748" s="2262" t="s">
        <v>3672</v>
      </c>
      <c r="JN748" s="2262" t="s">
        <v>3674</v>
      </c>
      <c r="JO748" s="2262" t="s">
        <v>3675</v>
      </c>
      <c r="JP748" s="2262" t="s">
        <v>3676</v>
      </c>
      <c r="JQ748" s="2262" t="s">
        <v>3677</v>
      </c>
    </row>
    <row r="749" spans="1:277" s="2079" customFormat="1" ht="13.15" customHeight="1">
      <c r="A749" s="2267"/>
      <c r="B749" s="2269" t="s">
        <v>1872</v>
      </c>
      <c r="E749" s="2078"/>
      <c r="F749" s="2252" t="str">
        <f>'Part VI-Revenues &amp; Expenses'!F6</f>
        <v>No</v>
      </c>
      <c r="G749" s="2268" t="s">
        <v>4100</v>
      </c>
      <c r="H749" s="2270" t="s">
        <v>4103</v>
      </c>
      <c r="J749" s="2268" t="s">
        <v>4105</v>
      </c>
      <c r="M749" s="2271" t="str">
        <f>'Part I-Project Information'!$O$30</f>
        <v>Valdosta</v>
      </c>
      <c r="N749" s="2271"/>
      <c r="O749" s="2272">
        <f>VLOOKUP('Part I-Project Information'!$O$30,'DCA Underwriting Assumptions'!$C$141:$D$251,2)</f>
        <v>50400</v>
      </c>
      <c r="P749" s="2263"/>
      <c r="Q749" s="2264"/>
      <c r="S749" s="2078" t="s">
        <v>2801</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4101</v>
      </c>
      <c r="H750" s="2270"/>
      <c r="J750" s="2268" t="s">
        <v>4106</v>
      </c>
      <c r="P750" s="2263"/>
      <c r="Q750" s="2264"/>
      <c r="R750" s="2265"/>
      <c r="S750" s="2273"/>
      <c r="T750" s="2274" t="s">
        <v>2798</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4101</v>
      </c>
      <c r="I751" s="2268" t="s">
        <v>830</v>
      </c>
      <c r="J751" s="2268" t="s">
        <v>4422</v>
      </c>
      <c r="K751" s="2276" t="s">
        <v>147</v>
      </c>
      <c r="L751" s="2276"/>
      <c r="M751" s="2268" t="s">
        <v>2450</v>
      </c>
      <c r="N751" s="2268" t="s">
        <v>551</v>
      </c>
      <c r="O751" s="2268" t="s">
        <v>397</v>
      </c>
      <c r="P751" s="2263"/>
      <c r="Q751" s="2276" t="s">
        <v>3861</v>
      </c>
      <c r="R751" s="2276"/>
      <c r="S751" s="2268" t="s">
        <v>2797</v>
      </c>
      <c r="T751" s="2268" t="s">
        <v>2799</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2525</v>
      </c>
      <c r="EY751" s="2252" t="s">
        <v>2526</v>
      </c>
      <c r="EZ751" s="2252" t="s">
        <v>2527</v>
      </c>
      <c r="FA751" s="2252" t="s">
        <v>2528</v>
      </c>
      <c r="FB751" s="2262" t="s">
        <v>2583</v>
      </c>
      <c r="FC751" s="2262" t="s">
        <v>2583</v>
      </c>
      <c r="FD751" s="2262" t="s">
        <v>2583</v>
      </c>
      <c r="FE751" s="2262" t="s">
        <v>2583</v>
      </c>
      <c r="FF751" s="2262" t="s">
        <v>2583</v>
      </c>
      <c r="FG751" s="2262" t="s">
        <v>3554</v>
      </c>
      <c r="FH751" s="2262" t="s">
        <v>3554</v>
      </c>
      <c r="FI751" s="2262" t="s">
        <v>3554</v>
      </c>
      <c r="FJ751" s="2262" t="s">
        <v>3554</v>
      </c>
      <c r="FK751" s="2262" t="s">
        <v>3554</v>
      </c>
      <c r="FL751" s="2252" t="s">
        <v>587</v>
      </c>
      <c r="FM751" s="2252" t="s">
        <v>2525</v>
      </c>
      <c r="FN751" s="2252" t="s">
        <v>2526</v>
      </c>
      <c r="FO751" s="2252" t="s">
        <v>2527</v>
      </c>
      <c r="FP751" s="2252" t="s">
        <v>2528</v>
      </c>
      <c r="FQ751" s="2252" t="s">
        <v>587</v>
      </c>
      <c r="FR751" s="2252" t="s">
        <v>2525</v>
      </c>
      <c r="FS751" s="2252" t="s">
        <v>2526</v>
      </c>
      <c r="FT751" s="2252" t="s">
        <v>2527</v>
      </c>
      <c r="FU751" s="2252" t="s">
        <v>2528</v>
      </c>
      <c r="FV751" s="2262" t="s">
        <v>2585</v>
      </c>
      <c r="FW751" s="2262" t="s">
        <v>2585</v>
      </c>
      <c r="FX751" s="2262" t="s">
        <v>2585</v>
      </c>
      <c r="FY751" s="2262" t="s">
        <v>2585</v>
      </c>
      <c r="FZ751" s="2262" t="s">
        <v>2585</v>
      </c>
      <c r="GA751" s="2262" t="s">
        <v>3550</v>
      </c>
      <c r="GB751" s="2262" t="s">
        <v>3550</v>
      </c>
      <c r="GC751" s="2262" t="s">
        <v>3550</v>
      </c>
      <c r="GD751" s="2262" t="s">
        <v>3550</v>
      </c>
      <c r="GE751" s="2262" t="s">
        <v>3550</v>
      </c>
      <c r="GF751" s="2262" t="s">
        <v>372</v>
      </c>
      <c r="GG751" s="2262" t="s">
        <v>372</v>
      </c>
      <c r="GH751" s="2262" t="s">
        <v>372</v>
      </c>
      <c r="GI751" s="2262" t="s">
        <v>372</v>
      </c>
      <c r="GJ751" s="2262" t="s">
        <v>372</v>
      </c>
      <c r="GK751" s="2262" t="s">
        <v>3549</v>
      </c>
      <c r="GL751" s="2262" t="s">
        <v>3549</v>
      </c>
      <c r="GM751" s="2262" t="s">
        <v>3549</v>
      </c>
      <c r="GN751" s="2262" t="s">
        <v>3549</v>
      </c>
      <c r="GO751" s="2262" t="s">
        <v>3549</v>
      </c>
      <c r="GP751" s="2262" t="s">
        <v>373</v>
      </c>
      <c r="GQ751" s="2262" t="s">
        <v>373</v>
      </c>
      <c r="GR751" s="2262" t="s">
        <v>373</v>
      </c>
      <c r="GS751" s="2262" t="s">
        <v>373</v>
      </c>
      <c r="GT751" s="2262" t="s">
        <v>373</v>
      </c>
      <c r="GU751" s="2262" t="s">
        <v>3548</v>
      </c>
      <c r="GV751" s="2262" t="s">
        <v>3548</v>
      </c>
      <c r="GW751" s="2262" t="s">
        <v>3548</v>
      </c>
      <c r="GX751" s="2262" t="s">
        <v>3548</v>
      </c>
      <c r="GY751" s="2262" t="s">
        <v>3548</v>
      </c>
      <c r="GZ751" s="2262" t="s">
        <v>374</v>
      </c>
      <c r="HA751" s="2262" t="s">
        <v>374</v>
      </c>
      <c r="HB751" s="2262" t="s">
        <v>374</v>
      </c>
      <c r="HC751" s="2262" t="s">
        <v>374</v>
      </c>
      <c r="HD751" s="2262" t="s">
        <v>374</v>
      </c>
      <c r="HE751" s="2262" t="s">
        <v>3551</v>
      </c>
      <c r="HF751" s="2262" t="s">
        <v>3551</v>
      </c>
      <c r="HG751" s="2262" t="s">
        <v>3551</v>
      </c>
      <c r="HH751" s="2262" t="s">
        <v>3551</v>
      </c>
      <c r="HI751" s="2262" t="s">
        <v>3551</v>
      </c>
      <c r="HJ751" s="2262" t="s">
        <v>375</v>
      </c>
      <c r="HK751" s="2262" t="s">
        <v>375</v>
      </c>
      <c r="HL751" s="2262" t="s">
        <v>375</v>
      </c>
      <c r="HM751" s="2262" t="s">
        <v>375</v>
      </c>
      <c r="HN751" s="2262" t="s">
        <v>375</v>
      </c>
      <c r="HO751" s="2262" t="s">
        <v>3552</v>
      </c>
      <c r="HP751" s="2262" t="s">
        <v>3552</v>
      </c>
      <c r="HQ751" s="2262" t="s">
        <v>3552</v>
      </c>
      <c r="HR751" s="2262" t="s">
        <v>3552</v>
      </c>
      <c r="HS751" s="2262" t="s">
        <v>3552</v>
      </c>
      <c r="HT751" s="2262" t="s">
        <v>1517</v>
      </c>
      <c r="HU751" s="2262" t="s">
        <v>1517</v>
      </c>
      <c r="HV751" s="2262" t="s">
        <v>1517</v>
      </c>
      <c r="HW751" s="2262" t="s">
        <v>1517</v>
      </c>
      <c r="HX751" s="2262" t="s">
        <v>1517</v>
      </c>
      <c r="HY751" s="2262" t="s">
        <v>3553</v>
      </c>
      <c r="HZ751" s="2262" t="s">
        <v>3553</v>
      </c>
      <c r="IA751" s="2262" t="s">
        <v>3553</v>
      </c>
      <c r="IB751" s="2262" t="s">
        <v>3553</v>
      </c>
      <c r="IC751" s="2262" t="s">
        <v>3553</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4102</v>
      </c>
      <c r="H752" s="2268" t="s">
        <v>1535</v>
      </c>
      <c r="I752" s="2268" t="s">
        <v>831</v>
      </c>
      <c r="J752" s="2277" t="s">
        <v>363</v>
      </c>
      <c r="K752" s="2268" t="s">
        <v>1587</v>
      </c>
      <c r="L752" s="2268" t="s">
        <v>558</v>
      </c>
      <c r="M752" s="2268" t="s">
        <v>1533</v>
      </c>
      <c r="N752" s="2268" t="s">
        <v>3498</v>
      </c>
      <c r="O752" s="2268" t="s">
        <v>398</v>
      </c>
      <c r="P752" s="2263"/>
      <c r="Q752" s="2268" t="s">
        <v>3862</v>
      </c>
      <c r="R752" s="2268" t="s">
        <v>1077</v>
      </c>
      <c r="S752" s="2268" t="s">
        <v>1535</v>
      </c>
      <c r="T752" s="2268" t="s">
        <v>2800</v>
      </c>
      <c r="U752" s="2253" t="s">
        <v>1915</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2582</v>
      </c>
      <c r="EY752" s="2252" t="s">
        <v>2582</v>
      </c>
      <c r="EZ752" s="2252" t="s">
        <v>2582</v>
      </c>
      <c r="FA752" s="2252" t="s">
        <v>2582</v>
      </c>
      <c r="FB752" s="2262"/>
      <c r="FC752" s="2262"/>
      <c r="FD752" s="2262"/>
      <c r="FE752" s="2262"/>
      <c r="FF752" s="2262"/>
      <c r="FG752" s="2262"/>
      <c r="FH752" s="2262"/>
      <c r="FI752" s="2262"/>
      <c r="FJ752" s="2262"/>
      <c r="FK752" s="2262"/>
      <c r="FL752" s="2252" t="s">
        <v>2584</v>
      </c>
      <c r="FM752" s="2252" t="s">
        <v>2584</v>
      </c>
      <c r="FN752" s="2252" t="s">
        <v>2584</v>
      </c>
      <c r="FO752" s="2252" t="s">
        <v>2584</v>
      </c>
      <c r="FP752" s="2252" t="s">
        <v>2584</v>
      </c>
      <c r="FQ752" s="2252" t="s">
        <v>3555</v>
      </c>
      <c r="FR752" s="2252" t="s">
        <v>3555</v>
      </c>
      <c r="FS752" s="2252" t="s">
        <v>3555</v>
      </c>
      <c r="FT752" s="2252" t="s">
        <v>3555</v>
      </c>
      <c r="FU752" s="2252" t="s">
        <v>3555</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2</v>
      </c>
      <c r="F753" s="2281">
        <f>'Part VI-Revenues &amp; Expenses'!F10</f>
        <v>750</v>
      </c>
      <c r="G753" s="2281">
        <f>'Part VI-Revenues &amp; Expenses'!G10</f>
        <v>456</v>
      </c>
      <c r="H753" s="2281">
        <f>'Part VI-Revenues &amp; Expenses'!H10</f>
        <v>456</v>
      </c>
      <c r="I753" s="2281">
        <f>'Part VI-Revenues &amp; Expenses'!I10</f>
        <v>149</v>
      </c>
      <c r="J753" s="2282">
        <f>'Part VI-Revenues &amp; Expenses'!J10</f>
        <v>0</v>
      </c>
      <c r="K753" s="2283">
        <f t="shared" ref="K753:K790" si="2">MAX(0,H753-I753)</f>
        <v>307</v>
      </c>
      <c r="L753" s="2283">
        <f t="shared" ref="L753:L790" si="3">MAX(0,E753*K753)</f>
        <v>614</v>
      </c>
      <c r="M753" s="2284" t="str">
        <f>'Part VI-Revenues &amp; Expenses'!M10</f>
        <v>No</v>
      </c>
      <c r="N753" s="2284" t="str">
        <f>'Part VI-Revenues &amp; Expenses'!N10</f>
        <v>2-Story Walkup</v>
      </c>
      <c r="O753" s="2284" t="str">
        <f>'Part VI-Revenues &amp; Expenses'!O10</f>
        <v>New Construction</v>
      </c>
      <c r="P753" s="2261" t="str">
        <f>'Part VI-Revenues &amp; Expenses'!P10</f>
        <v>No</v>
      </c>
      <c r="Q753" s="2285">
        <f>'Part VI-Revenues &amp; Expenses'!Q10</f>
        <v>18240</v>
      </c>
      <c r="R753" s="2286">
        <f>'Part VI-Revenues &amp; Expenses'!R10</f>
        <v>0.48253968253968255</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2</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1500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2</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2</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f t="shared" ref="HK753:HK790" si="200">IF(AND($C753=1, $N753="2-Story Walkup",NOT($P753="Yes")),$E753,"")</f>
        <v>2</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2</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60% AMI</v>
      </c>
      <c r="C754" s="2279">
        <f>'Part VI-Revenues &amp; Expenses'!C11</f>
        <v>1</v>
      </c>
      <c r="D754" s="2280">
        <f>'Part VI-Revenues &amp; Expenses'!D11</f>
        <v>1</v>
      </c>
      <c r="E754" s="2281">
        <f>'Part VI-Revenues &amp; Expenses'!E11</f>
        <v>4</v>
      </c>
      <c r="F754" s="2281">
        <f>'Part VI-Revenues &amp; Expenses'!F11</f>
        <v>750</v>
      </c>
      <c r="G754" s="2281">
        <f>'Part VI-Revenues &amp; Expenses'!G11</f>
        <v>548</v>
      </c>
      <c r="H754" s="2281">
        <f>'Part VI-Revenues &amp; Expenses'!H11</f>
        <v>548</v>
      </c>
      <c r="I754" s="2281">
        <f>'Part VI-Revenues &amp; Expenses'!I11</f>
        <v>149</v>
      </c>
      <c r="J754" s="2282">
        <f>'Part VI-Revenues &amp; Expenses'!J11</f>
        <v>0</v>
      </c>
      <c r="K754" s="2283">
        <f t="shared" si="2"/>
        <v>399</v>
      </c>
      <c r="L754" s="2283">
        <f t="shared" si="3"/>
        <v>1596</v>
      </c>
      <c r="M754" s="2284" t="str">
        <f>'Part VI-Revenues &amp; Expenses'!M11</f>
        <v>No</v>
      </c>
      <c r="N754" s="2284" t="str">
        <f>'Part VI-Revenues &amp; Expenses'!N11</f>
        <v>2-Story Walkup</v>
      </c>
      <c r="O754" s="2284" t="str">
        <f>'Part VI-Revenues &amp; Expenses'!O11</f>
        <v>New Construction</v>
      </c>
      <c r="P754" s="2261" t="str">
        <f>'Part VI-Revenues &amp; Expenses'!P11</f>
        <v>No</v>
      </c>
      <c r="Q754" s="2285">
        <f>'Part VI-Revenues &amp; Expenses'!Q11</f>
        <v>21920</v>
      </c>
      <c r="R754" s="2286">
        <f>'Part VI-Revenues &amp; Expenses'!R11</f>
        <v>0.57989417989417991</v>
      </c>
      <c r="S754" s="2285">
        <f>'Part VI-Revenues &amp; Expenses'!S11</f>
        <v>0</v>
      </c>
      <c r="T754" s="2286">
        <f>'Part VI-Revenues &amp; Expenses'!T11</f>
        <v>0</v>
      </c>
      <c r="U754" s="2176"/>
      <c r="V754" s="2176"/>
      <c r="W754" s="877" t="str">
        <f t="shared" si="4"/>
        <v/>
      </c>
      <c r="X754" s="877">
        <f t="shared" si="5"/>
        <v>4</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3000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4</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f t="shared" si="135"/>
        <v>4</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f t="shared" si="200"/>
        <v>4</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4</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Unrestricted</v>
      </c>
      <c r="C755" s="2279">
        <f>'Part VI-Revenues &amp; Expenses'!C12</f>
        <v>1</v>
      </c>
      <c r="D755" s="2280">
        <f>'Part VI-Revenues &amp; Expenses'!D12</f>
        <v>1</v>
      </c>
      <c r="E755" s="2281">
        <f>'Part VI-Revenues &amp; Expenses'!E12</f>
        <v>2</v>
      </c>
      <c r="F755" s="2281">
        <f>'Part VI-Revenues &amp; Expenses'!F12</f>
        <v>750</v>
      </c>
      <c r="G755" s="2281">
        <f>'Part VI-Revenues &amp; Expenses'!G12</f>
        <v>0</v>
      </c>
      <c r="H755" s="2281">
        <f>'Part VI-Revenues &amp; Expenses'!H12</f>
        <v>480</v>
      </c>
      <c r="I755" s="2281">
        <f>'Part VI-Revenues &amp; Expenses'!I12</f>
        <v>0</v>
      </c>
      <c r="J755" s="2282">
        <f>'Part VI-Revenues &amp; Expenses'!J12</f>
        <v>0</v>
      </c>
      <c r="K755" s="2283">
        <f t="shared" si="2"/>
        <v>480</v>
      </c>
      <c r="L755" s="2283">
        <f t="shared" si="3"/>
        <v>960</v>
      </c>
      <c r="M755" s="2284" t="str">
        <f>'Part VI-Revenues &amp; Expenses'!M12</f>
        <v>No</v>
      </c>
      <c r="N755" s="2284" t="str">
        <f>'Part VI-Revenues &amp; Expenses'!N12</f>
        <v>2-Story Walkup</v>
      </c>
      <c r="O755" s="2284" t="str">
        <f>'Part VI-Revenues &amp; Expenses'!O12</f>
        <v>New Construction</v>
      </c>
      <c r="P755" s="2261" t="str">
        <f>'Part VI-Revenues &amp; Expenses'!P12</f>
        <v>No</v>
      </c>
      <c r="Q755" s="2285">
        <f>'Part VI-Revenues &amp; Expenses'!Q12</f>
        <v>19200</v>
      </c>
      <c r="R755" s="2286">
        <f>'Part VI-Revenues &amp; Expenses'!R12</f>
        <v>0.50793650793650791</v>
      </c>
      <c r="S755" s="2285">
        <f>'Part VI-Revenues &amp; Expenses'!S12</f>
        <v>0</v>
      </c>
      <c r="T755" s="2286">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f t="shared" si="20"/>
        <v>2</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f t="shared" si="75"/>
        <v>1500</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f t="shared" si="95"/>
        <v>2</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f t="shared" si="135"/>
        <v>2</v>
      </c>
      <c r="EY755" s="2287" t="str">
        <f t="shared" si="136"/>
        <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f t="shared" si="200"/>
        <v>2</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2</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50% AMI</v>
      </c>
      <c r="C756" s="2279">
        <f>'Part VI-Revenues &amp; Expenses'!C13</f>
        <v>2</v>
      </c>
      <c r="D756" s="2280">
        <f>'Part VI-Revenues &amp; Expenses'!D13</f>
        <v>2</v>
      </c>
      <c r="E756" s="2281">
        <f>'Part VI-Revenues &amp; Expenses'!E13</f>
        <v>8</v>
      </c>
      <c r="F756" s="2281">
        <f>'Part VI-Revenues &amp; Expenses'!F13</f>
        <v>1050</v>
      </c>
      <c r="G756" s="2281">
        <f>'Part VI-Revenues &amp; Expenses'!G13</f>
        <v>548</v>
      </c>
      <c r="H756" s="2281">
        <f>'Part VI-Revenues &amp; Expenses'!H13</f>
        <v>548</v>
      </c>
      <c r="I756" s="2281">
        <f>'Part VI-Revenues &amp; Expenses'!I13</f>
        <v>192</v>
      </c>
      <c r="J756" s="2282">
        <f>'Part VI-Revenues &amp; Expenses'!J13</f>
        <v>0</v>
      </c>
      <c r="K756" s="2283">
        <f t="shared" si="2"/>
        <v>356</v>
      </c>
      <c r="L756" s="2283">
        <f t="shared" si="3"/>
        <v>2848</v>
      </c>
      <c r="M756" s="2284" t="str">
        <f>'Part VI-Revenues &amp; Expenses'!M13</f>
        <v>No</v>
      </c>
      <c r="N756" s="2284" t="str">
        <f>'Part VI-Revenues &amp; Expenses'!N13</f>
        <v>2-Story Walkup</v>
      </c>
      <c r="O756" s="2284" t="str">
        <f>'Part VI-Revenues &amp; Expenses'!O13</f>
        <v>New Construction</v>
      </c>
      <c r="P756" s="2261" t="str">
        <f>'Part VI-Revenues &amp; Expenses'!P13</f>
        <v>No</v>
      </c>
      <c r="Q756" s="2285">
        <f>'Part VI-Revenues &amp; Expenses'!Q13</f>
        <v>21920</v>
      </c>
      <c r="R756" s="2286">
        <f>'Part VI-Revenues &amp; Expenses'!R13</f>
        <v>0.48324514991181655</v>
      </c>
      <c r="S756" s="2285">
        <f>'Part VI-Revenues &amp; Expenses'!S13</f>
        <v>0</v>
      </c>
      <c r="T756" s="2286">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t="str">
        <f t="shared" si="10"/>
        <v/>
      </c>
      <c r="AD756" s="877">
        <f t="shared" si="11"/>
        <v>8</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f t="shared" si="66"/>
        <v>8400</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8</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8</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f t="shared" si="201"/>
        <v>8</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8</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60% AMI</v>
      </c>
      <c r="C757" s="2279">
        <f>'Part VI-Revenues &amp; Expenses'!C14</f>
        <v>2</v>
      </c>
      <c r="D757" s="2280">
        <f>'Part VI-Revenues &amp; Expenses'!D14</f>
        <v>2</v>
      </c>
      <c r="E757" s="2281">
        <f>'Part VI-Revenues &amp; Expenses'!E14</f>
        <v>20</v>
      </c>
      <c r="F757" s="2281">
        <f>'Part VI-Revenues &amp; Expenses'!F14</f>
        <v>1050</v>
      </c>
      <c r="G757" s="2281">
        <f>'Part VI-Revenues &amp; Expenses'!G14</f>
        <v>658</v>
      </c>
      <c r="H757" s="2281">
        <f>'Part VI-Revenues &amp; Expenses'!H14</f>
        <v>658</v>
      </c>
      <c r="I757" s="2281">
        <f>'Part VI-Revenues &amp; Expenses'!I14</f>
        <v>192</v>
      </c>
      <c r="J757" s="2282">
        <f>'Part VI-Revenues &amp; Expenses'!J14</f>
        <v>0</v>
      </c>
      <c r="K757" s="2283">
        <f t="shared" si="2"/>
        <v>466</v>
      </c>
      <c r="L757" s="2283">
        <f t="shared" si="3"/>
        <v>9320</v>
      </c>
      <c r="M757" s="2284" t="str">
        <f>'Part VI-Revenues &amp; Expenses'!M14</f>
        <v>No</v>
      </c>
      <c r="N757" s="2284" t="str">
        <f>'Part VI-Revenues &amp; Expenses'!N14</f>
        <v>2-Story Walkup</v>
      </c>
      <c r="O757" s="2284" t="str">
        <f>'Part VI-Revenues &amp; Expenses'!O14</f>
        <v>New Construction</v>
      </c>
      <c r="P757" s="2261" t="str">
        <f>'Part VI-Revenues &amp; Expenses'!P14</f>
        <v>No</v>
      </c>
      <c r="Q757" s="2285">
        <f>'Part VI-Revenues &amp; Expenses'!Q14</f>
        <v>26320</v>
      </c>
      <c r="R757" s="2286">
        <f>'Part VI-Revenues &amp; Expenses'!R14</f>
        <v>0.58024691358024694</v>
      </c>
      <c r="S757" s="2285">
        <f>'Part VI-Revenues &amp; Expenses'!S14</f>
        <v>0</v>
      </c>
      <c r="T757" s="2286">
        <f>'Part VI-Revenues &amp; Expenses'!T14</f>
        <v>0</v>
      </c>
      <c r="U757" s="2176"/>
      <c r="V757" s="2176"/>
      <c r="W757" s="877" t="str">
        <f t="shared" si="4"/>
        <v/>
      </c>
      <c r="X757" s="877" t="str">
        <f t="shared" si="5"/>
        <v/>
      </c>
      <c r="Y757" s="877">
        <f t="shared" si="6"/>
        <v>20</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21000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20</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f t="shared" si="136"/>
        <v>20</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f t="shared" si="201"/>
        <v>20</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20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Unrestricted</v>
      </c>
      <c r="C758" s="2279">
        <f>'Part VI-Revenues &amp; Expenses'!C15</f>
        <v>2</v>
      </c>
      <c r="D758" s="2280">
        <f>'Part VI-Revenues &amp; Expenses'!D15</f>
        <v>2</v>
      </c>
      <c r="E758" s="2281">
        <f>'Part VI-Revenues &amp; Expenses'!E15</f>
        <v>12</v>
      </c>
      <c r="F758" s="2281">
        <f>'Part VI-Revenues &amp; Expenses'!F15</f>
        <v>1050</v>
      </c>
      <c r="G758" s="2281">
        <f>'Part VI-Revenues &amp; Expenses'!G15</f>
        <v>0</v>
      </c>
      <c r="H758" s="2281">
        <f>'Part VI-Revenues &amp; Expenses'!H15</f>
        <v>560</v>
      </c>
      <c r="I758" s="2281">
        <f>'Part VI-Revenues &amp; Expenses'!I15</f>
        <v>0</v>
      </c>
      <c r="J758" s="2282">
        <f>'Part VI-Revenues &amp; Expenses'!J15</f>
        <v>0</v>
      </c>
      <c r="K758" s="2283">
        <f t="shared" si="2"/>
        <v>560</v>
      </c>
      <c r="L758" s="2283">
        <f t="shared" si="3"/>
        <v>6720</v>
      </c>
      <c r="M758" s="2284" t="str">
        <f>'Part VI-Revenues &amp; Expenses'!M15</f>
        <v>No</v>
      </c>
      <c r="N758" s="2284" t="str">
        <f>'Part VI-Revenues &amp; Expenses'!N15</f>
        <v>2-Story Walkup</v>
      </c>
      <c r="O758" s="2284" t="str">
        <f>'Part VI-Revenues &amp; Expenses'!O15</f>
        <v>New Construction</v>
      </c>
      <c r="P758" s="2261" t="str">
        <f>'Part VI-Revenues &amp; Expenses'!P15</f>
        <v>No</v>
      </c>
      <c r="Q758" s="2285">
        <f>'Part VI-Revenues &amp; Expenses'!Q15</f>
        <v>22400</v>
      </c>
      <c r="R758" s="2286">
        <f>'Part VI-Revenues &amp; Expenses'!R15</f>
        <v>0.49382716049382713</v>
      </c>
      <c r="S758" s="2285">
        <f>'Part VI-Revenues &amp; Expenses'!S15</f>
        <v>0</v>
      </c>
      <c r="T758" s="2286">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f t="shared" si="21"/>
        <v>12</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f t="shared" si="76"/>
        <v>12600</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f t="shared" si="96"/>
        <v>12</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f t="shared" si="136"/>
        <v>12</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f t="shared" si="201"/>
        <v>12</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12</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50% AMI</v>
      </c>
      <c r="C759" s="2279">
        <f>'Part VI-Revenues &amp; Expenses'!C16</f>
        <v>3</v>
      </c>
      <c r="D759" s="2280">
        <f>'Part VI-Revenues &amp; Expenses'!D16</f>
        <v>2</v>
      </c>
      <c r="E759" s="2281">
        <f>'Part VI-Revenues &amp; Expenses'!E16</f>
        <v>4</v>
      </c>
      <c r="F759" s="2281">
        <f>'Part VI-Revenues &amp; Expenses'!F16</f>
        <v>1160</v>
      </c>
      <c r="G759" s="2281">
        <f>'Part VI-Revenues &amp; Expenses'!G16</f>
        <v>633</v>
      </c>
      <c r="H759" s="2281">
        <f>'Part VI-Revenues &amp; Expenses'!H16</f>
        <v>633</v>
      </c>
      <c r="I759" s="2281">
        <f>'Part VI-Revenues &amp; Expenses'!I16</f>
        <v>234</v>
      </c>
      <c r="J759" s="2282">
        <f>'Part VI-Revenues &amp; Expenses'!J16</f>
        <v>0</v>
      </c>
      <c r="K759" s="2283">
        <f t="shared" si="2"/>
        <v>399</v>
      </c>
      <c r="L759" s="2283">
        <f t="shared" si="3"/>
        <v>1596</v>
      </c>
      <c r="M759" s="2284" t="str">
        <f>'Part VI-Revenues &amp; Expenses'!M16</f>
        <v>No</v>
      </c>
      <c r="N759" s="2284" t="str">
        <f>'Part VI-Revenues &amp; Expenses'!N16</f>
        <v>2-Story Walkup</v>
      </c>
      <c r="O759" s="2284" t="str">
        <f>'Part VI-Revenues &amp; Expenses'!O16</f>
        <v>New Construction</v>
      </c>
      <c r="P759" s="2261" t="str">
        <f>'Part VI-Revenues &amp; Expenses'!P16</f>
        <v>No</v>
      </c>
      <c r="Q759" s="2285">
        <f>'Part VI-Revenues &amp; Expenses'!Q16</f>
        <v>25320</v>
      </c>
      <c r="R759" s="2286">
        <f>'Part VI-Revenues &amp; Expenses'!R16</f>
        <v>0.48305860805860806</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f t="shared" si="12"/>
        <v>4</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f t="shared" si="67"/>
        <v>4640</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f t="shared" si="92"/>
        <v>4</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f t="shared" si="137"/>
        <v>4</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f t="shared" si="202"/>
        <v>4</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4</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60% AMI</v>
      </c>
      <c r="C760" s="2279">
        <f>'Part VI-Revenues &amp; Expenses'!C17</f>
        <v>3</v>
      </c>
      <c r="D760" s="2280">
        <f>'Part VI-Revenues &amp; Expenses'!D17</f>
        <v>2</v>
      </c>
      <c r="E760" s="2281">
        <f>'Part VI-Revenues &amp; Expenses'!E17</f>
        <v>7</v>
      </c>
      <c r="F760" s="2281">
        <f>'Part VI-Revenues &amp; Expenses'!F17</f>
        <v>1160</v>
      </c>
      <c r="G760" s="2281">
        <f>'Part VI-Revenues &amp; Expenses'!G17</f>
        <v>759</v>
      </c>
      <c r="H760" s="2281">
        <f>'Part VI-Revenues &amp; Expenses'!H17</f>
        <v>759</v>
      </c>
      <c r="I760" s="2281">
        <f>'Part VI-Revenues &amp; Expenses'!I17</f>
        <v>234</v>
      </c>
      <c r="J760" s="2282">
        <f>'Part VI-Revenues &amp; Expenses'!J17</f>
        <v>0</v>
      </c>
      <c r="K760" s="2283">
        <f t="shared" si="2"/>
        <v>525</v>
      </c>
      <c r="L760" s="2283">
        <f t="shared" si="3"/>
        <v>3675</v>
      </c>
      <c r="M760" s="2284" t="str">
        <f>'Part VI-Revenues &amp; Expenses'!M17</f>
        <v>No</v>
      </c>
      <c r="N760" s="2284" t="str">
        <f>'Part VI-Revenues &amp; Expenses'!N17</f>
        <v>2-Story Walkup</v>
      </c>
      <c r="O760" s="2284" t="str">
        <f>'Part VI-Revenues &amp; Expenses'!O17</f>
        <v>New Construction</v>
      </c>
      <c r="P760" s="2261" t="str">
        <f>'Part VI-Revenues &amp; Expenses'!P17</f>
        <v>No</v>
      </c>
      <c r="Q760" s="2285">
        <f>'Part VI-Revenues &amp; Expenses'!Q17</f>
        <v>30360</v>
      </c>
      <c r="R760" s="2286">
        <f>'Part VI-Revenues &amp; Expenses'!R17</f>
        <v>0.57921245421245426</v>
      </c>
      <c r="S760" s="2285">
        <f>'Part VI-Revenues &amp; Expenses'!S17</f>
        <v>0</v>
      </c>
      <c r="T760" s="2286">
        <f>'Part VI-Revenues &amp; Expenses'!T17</f>
        <v>0</v>
      </c>
      <c r="U760" s="2176"/>
      <c r="V760" s="2176"/>
      <c r="W760" s="877" t="str">
        <f t="shared" si="4"/>
        <v/>
      </c>
      <c r="X760" s="877" t="str">
        <f t="shared" si="5"/>
        <v/>
      </c>
      <c r="Y760" s="877" t="str">
        <f t="shared" si="6"/>
        <v/>
      </c>
      <c r="Z760" s="877">
        <f t="shared" si="7"/>
        <v>7</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f t="shared" si="62"/>
        <v>8120</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f t="shared" si="92"/>
        <v>7</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f t="shared" si="137"/>
        <v>7</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f t="shared" si="202"/>
        <v>7</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7</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Unrestricted</v>
      </c>
      <c r="C761" s="2279">
        <f>'Part VI-Revenues &amp; Expenses'!C18</f>
        <v>3</v>
      </c>
      <c r="D761" s="2280">
        <f>'Part VI-Revenues &amp; Expenses'!D18</f>
        <v>2</v>
      </c>
      <c r="E761" s="2281">
        <f>'Part VI-Revenues &amp; Expenses'!E18</f>
        <v>5</v>
      </c>
      <c r="F761" s="2281">
        <f>'Part VI-Revenues &amp; Expenses'!F18</f>
        <v>1160</v>
      </c>
      <c r="G761" s="2281">
        <f>'Part VI-Revenues &amp; Expenses'!G18</f>
        <v>0</v>
      </c>
      <c r="H761" s="2281">
        <f>'Part VI-Revenues &amp; Expenses'!H18</f>
        <v>630</v>
      </c>
      <c r="I761" s="2281">
        <f>'Part VI-Revenues &amp; Expenses'!I18</f>
        <v>0</v>
      </c>
      <c r="J761" s="2282">
        <f>'Part VI-Revenues &amp; Expenses'!J18</f>
        <v>0</v>
      </c>
      <c r="K761" s="2283">
        <f t="shared" si="2"/>
        <v>630</v>
      </c>
      <c r="L761" s="2283">
        <f t="shared" si="3"/>
        <v>3150</v>
      </c>
      <c r="M761" s="2284" t="str">
        <f>'Part VI-Revenues &amp; Expenses'!M18</f>
        <v>No</v>
      </c>
      <c r="N761" s="2284" t="str">
        <f>'Part VI-Revenues &amp; Expenses'!N18</f>
        <v>2-Story Walkup</v>
      </c>
      <c r="O761" s="2284" t="str">
        <f>'Part VI-Revenues &amp; Expenses'!O18</f>
        <v>New Construction</v>
      </c>
      <c r="P761" s="2261" t="str">
        <f>'Part VI-Revenues &amp; Expenses'!P18</f>
        <v>No</v>
      </c>
      <c r="Q761" s="2285">
        <f>'Part VI-Revenues &amp; Expenses'!Q18</f>
        <v>25200</v>
      </c>
      <c r="R761" s="2286">
        <f>'Part VI-Revenues &amp; Expenses'!R18</f>
        <v>0.48076923076923078</v>
      </c>
      <c r="S761" s="2285">
        <f>'Part VI-Revenues &amp; Expenses'!S18</f>
        <v>0</v>
      </c>
      <c r="T761" s="2286">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f t="shared" si="22"/>
        <v>5</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f t="shared" si="77"/>
        <v>5800</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f t="shared" si="97"/>
        <v>5</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f t="shared" si="137"/>
        <v>5</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f t="shared" si="202"/>
        <v>5</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5</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1055</v>
      </c>
      <c r="E791" s="2289">
        <f>SUM(E753:E790)</f>
        <v>64</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66560</v>
      </c>
      <c r="G791" s="520"/>
      <c r="H791" s="520"/>
      <c r="I791" s="520"/>
      <c r="J791" s="520"/>
      <c r="K791" s="2291" t="s">
        <v>1351</v>
      </c>
      <c r="L791" s="2289">
        <f>SUM(L753:L790)</f>
        <v>30479</v>
      </c>
      <c r="M791" s="2079"/>
      <c r="N791" s="2079"/>
      <c r="O791" s="2079"/>
      <c r="P791" s="2079"/>
      <c r="Q791" s="2079"/>
      <c r="R791" s="2079"/>
      <c r="S791" s="2079"/>
      <c r="T791" s="2079"/>
      <c r="U791" s="2268"/>
      <c r="V791" s="2292"/>
      <c r="W791" s="2292">
        <f t="shared" ref="W791:CH791" si="259">SUM(W753:W790)</f>
        <v>0</v>
      </c>
      <c r="X791" s="2292">
        <f t="shared" si="259"/>
        <v>4</v>
      </c>
      <c r="Y791" s="2292">
        <f t="shared" si="259"/>
        <v>20</v>
      </c>
      <c r="Z791" s="2292">
        <f t="shared" si="259"/>
        <v>7</v>
      </c>
      <c r="AA791" s="2292">
        <f t="shared" si="259"/>
        <v>0</v>
      </c>
      <c r="AB791" s="2292">
        <f t="shared" si="259"/>
        <v>0</v>
      </c>
      <c r="AC791" s="2292">
        <f t="shared" si="259"/>
        <v>2</v>
      </c>
      <c r="AD791" s="2292">
        <f t="shared" si="259"/>
        <v>8</v>
      </c>
      <c r="AE791" s="2292">
        <f t="shared" si="259"/>
        <v>4</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2</v>
      </c>
      <c r="AN791" s="2292">
        <f t="shared" si="259"/>
        <v>12</v>
      </c>
      <c r="AO791" s="2292">
        <f t="shared" si="259"/>
        <v>5</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3000</v>
      </c>
      <c r="CB791" s="2292">
        <f t="shared" si="259"/>
        <v>21000</v>
      </c>
      <c r="CC791" s="2292">
        <f t="shared" si="259"/>
        <v>8120</v>
      </c>
      <c r="CD791" s="2292">
        <f t="shared" si="259"/>
        <v>0</v>
      </c>
      <c r="CE791" s="2292">
        <f t="shared" si="259"/>
        <v>0</v>
      </c>
      <c r="CF791" s="2292">
        <f t="shared" si="259"/>
        <v>1500</v>
      </c>
      <c r="CG791" s="2292">
        <f t="shared" si="259"/>
        <v>8400</v>
      </c>
      <c r="CH791" s="2292">
        <f t="shared" si="259"/>
        <v>4640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1500</v>
      </c>
      <c r="CQ791" s="2292">
        <f t="shared" si="260"/>
        <v>12600</v>
      </c>
      <c r="CR791" s="2292">
        <f t="shared" si="260"/>
        <v>5800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6</v>
      </c>
      <c r="DF791" s="2292">
        <f t="shared" si="260"/>
        <v>28</v>
      </c>
      <c r="DG791" s="2292">
        <f t="shared" si="260"/>
        <v>11</v>
      </c>
      <c r="DH791" s="2292">
        <f t="shared" si="260"/>
        <v>0</v>
      </c>
      <c r="DI791" s="2292">
        <f t="shared" si="260"/>
        <v>0</v>
      </c>
      <c r="DJ791" s="2292">
        <f t="shared" si="260"/>
        <v>2</v>
      </c>
      <c r="DK791" s="2292">
        <f t="shared" si="260"/>
        <v>12</v>
      </c>
      <c r="DL791" s="2292">
        <f t="shared" si="260"/>
        <v>5</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8</v>
      </c>
      <c r="EY791" s="2292">
        <f t="shared" si="261"/>
        <v>40</v>
      </c>
      <c r="EZ791" s="2292">
        <f t="shared" si="261"/>
        <v>16</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8</v>
      </c>
      <c r="HL791" s="2292">
        <f t="shared" si="262"/>
        <v>40</v>
      </c>
      <c r="HM791" s="2292">
        <f t="shared" si="262"/>
        <v>16</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0</v>
      </c>
      <c r="HV791" s="2292">
        <f t="shared" si="262"/>
        <v>0</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8</v>
      </c>
      <c r="JJ791" s="2292">
        <f t="shared" si="262"/>
        <v>40</v>
      </c>
      <c r="JK791" s="2292">
        <f t="shared" si="262"/>
        <v>16</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846</v>
      </c>
      <c r="L792" s="2289">
        <f>L791*12</f>
        <v>365748</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4423</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8" t="str">
        <f>B796</f>
        <v>UNIT SUMMARY</v>
      </c>
      <c r="V796" s="2249" t="s">
        <v>553</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1915</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1179</v>
      </c>
      <c r="D799" s="2079"/>
      <c r="E799" s="2079"/>
      <c r="F799" s="2079"/>
      <c r="H799" s="519" t="s">
        <v>1191</v>
      </c>
      <c r="J799" s="2301">
        <f>W791</f>
        <v>0</v>
      </c>
      <c r="K799" s="2301">
        <f>X791</f>
        <v>4</v>
      </c>
      <c r="L799" s="2301">
        <f>Y791</f>
        <v>20</v>
      </c>
      <c r="M799" s="2301">
        <f>Z791</f>
        <v>7</v>
      </c>
      <c r="N799" s="2301">
        <f>AA791</f>
        <v>0</v>
      </c>
      <c r="O799" s="2301">
        <f t="shared" ref="O799:O805" si="263">SUM(J799:N799)</f>
        <v>31</v>
      </c>
      <c r="P799" s="2220" t="s">
        <v>4107</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9" t="s">
        <v>120</v>
      </c>
      <c r="J800" s="2301">
        <f>AB791</f>
        <v>0</v>
      </c>
      <c r="K800" s="2301">
        <f>AC791</f>
        <v>2</v>
      </c>
      <c r="L800" s="2301">
        <f>AD791</f>
        <v>8</v>
      </c>
      <c r="M800" s="2301">
        <f>AE791</f>
        <v>4</v>
      </c>
      <c r="N800" s="2301">
        <f>AF791</f>
        <v>0</v>
      </c>
      <c r="O800" s="2301">
        <f t="shared" si="263"/>
        <v>14</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558</v>
      </c>
      <c r="J801" s="2301">
        <f>SUM(J799:J800)</f>
        <v>0</v>
      </c>
      <c r="K801" s="2301">
        <f>SUM(K799:K800)</f>
        <v>6</v>
      </c>
      <c r="L801" s="2301">
        <f>SUM(L799:L800)</f>
        <v>28</v>
      </c>
      <c r="M801" s="2301">
        <f>SUM(M799:M800)</f>
        <v>11</v>
      </c>
      <c r="N801" s="2301">
        <f>SUM(N799:N800)</f>
        <v>0</v>
      </c>
      <c r="O801" s="2301">
        <f t="shared" si="263"/>
        <v>45</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9"/>
      <c r="J802" s="2301">
        <f>AL791</f>
        <v>0</v>
      </c>
      <c r="K802" s="2301">
        <f>AM791</f>
        <v>2</v>
      </c>
      <c r="L802" s="2301">
        <f>AN791</f>
        <v>12</v>
      </c>
      <c r="M802" s="2301">
        <f>AO791</f>
        <v>5</v>
      </c>
      <c r="N802" s="2301">
        <f>AP791</f>
        <v>0</v>
      </c>
      <c r="O802" s="2301">
        <f t="shared" si="263"/>
        <v>19</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1180</v>
      </c>
      <c r="D803" s="2079"/>
      <c r="E803" s="2079"/>
      <c r="F803" s="2079"/>
      <c r="H803" s="519"/>
      <c r="J803" s="2301">
        <f>SUM(J801:J802)</f>
        <v>0</v>
      </c>
      <c r="K803" s="2301">
        <f>SUM(K801:K802)</f>
        <v>8</v>
      </c>
      <c r="L803" s="2301">
        <f>SUM(L801:L802)</f>
        <v>40</v>
      </c>
      <c r="M803" s="2301">
        <f>SUM(M801:M802)</f>
        <v>16</v>
      </c>
      <c r="N803" s="2301">
        <f>SUM(N801:N802)</f>
        <v>0</v>
      </c>
      <c r="O803" s="2301">
        <f t="shared" si="263"/>
        <v>64</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2598</v>
      </c>
      <c r="D804" s="2079"/>
      <c r="E804" s="2079"/>
      <c r="F804" s="2079"/>
      <c r="H804" s="519"/>
      <c r="J804" s="2301">
        <f>BU791</f>
        <v>0</v>
      </c>
      <c r="K804" s="2301">
        <f>BV791</f>
        <v>0</v>
      </c>
      <c r="L804" s="2301">
        <f>BW791</f>
        <v>0</v>
      </c>
      <c r="M804" s="2301">
        <f>BX791</f>
        <v>0</v>
      </c>
      <c r="N804" s="2301">
        <f>BY791</f>
        <v>0</v>
      </c>
      <c r="O804" s="2301">
        <f t="shared" si="263"/>
        <v>0</v>
      </c>
      <c r="P804" s="2074" t="s">
        <v>4108</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558</v>
      </c>
      <c r="D805" s="2079"/>
      <c r="E805" s="2079"/>
      <c r="F805" s="2079"/>
      <c r="H805" s="519"/>
      <c r="J805" s="2301">
        <f>SUM(J803:J804)</f>
        <v>0</v>
      </c>
      <c r="K805" s="2301">
        <f>SUM(K803:K804)</f>
        <v>8</v>
      </c>
      <c r="L805" s="2301">
        <f>SUM(L803:L804)</f>
        <v>40</v>
      </c>
      <c r="M805" s="2301">
        <f>SUM(M803:M804)</f>
        <v>16</v>
      </c>
      <c r="N805" s="2301">
        <f>SUM(N803:N804)</f>
        <v>0</v>
      </c>
      <c r="O805" s="2301">
        <f t="shared" si="263"/>
        <v>64</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967</v>
      </c>
      <c r="D807" s="2079"/>
      <c r="E807" s="2260"/>
      <c r="F807" s="2079"/>
      <c r="H807" s="519" t="s">
        <v>1191</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2599</v>
      </c>
      <c r="D808" s="2079"/>
      <c r="E808" s="2260"/>
      <c r="F808" s="2079"/>
      <c r="H808" s="519" t="s">
        <v>120</v>
      </c>
      <c r="J808" s="2301">
        <f>AV791</f>
        <v>0</v>
      </c>
      <c r="K808" s="2301">
        <f>AW791</f>
        <v>0</v>
      </c>
      <c r="L808" s="2301">
        <f>AX791</f>
        <v>0</v>
      </c>
      <c r="M808" s="2301">
        <f>AY791</f>
        <v>0</v>
      </c>
      <c r="N808" s="2301">
        <f>AZ791</f>
        <v>0</v>
      </c>
      <c r="O808" s="2301">
        <f>SUM(J808:N808)</f>
        <v>0</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558</v>
      </c>
      <c r="J809" s="2301">
        <f>SUM(J807:J808)</f>
        <v>0</v>
      </c>
      <c r="K809" s="2301">
        <f>SUM(K807:K808)</f>
        <v>0</v>
      </c>
      <c r="L809" s="2301">
        <f>SUM(L807:L808)</f>
        <v>0</v>
      </c>
      <c r="M809" s="2301">
        <f>SUM(M807:M808)</f>
        <v>0</v>
      </c>
      <c r="N809" s="2301">
        <f>SUM(N807:N808)</f>
        <v>0</v>
      </c>
      <c r="O809" s="2301">
        <f>SUM(J809:N809)</f>
        <v>0</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9"/>
      <c r="H811" s="519" t="s">
        <v>1191</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2599</v>
      </c>
      <c r="D813" s="2079"/>
      <c r="E813" s="2260"/>
      <c r="F813" s="2079"/>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2375</v>
      </c>
      <c r="F815" s="2079"/>
      <c r="H815" s="519" t="s">
        <v>1486</v>
      </c>
      <c r="J815" s="2301">
        <f>DD791</f>
        <v>0</v>
      </c>
      <c r="K815" s="2301">
        <f>DE791</f>
        <v>6</v>
      </c>
      <c r="L815" s="2301">
        <f>DF791</f>
        <v>28</v>
      </c>
      <c r="M815" s="2301">
        <f>DG791</f>
        <v>11</v>
      </c>
      <c r="N815" s="2301">
        <f>DH791</f>
        <v>0</v>
      </c>
      <c r="O815" s="2301">
        <f t="shared" ref="O815:O825" si="264">SUM(J815:N815)</f>
        <v>45</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316</v>
      </c>
      <c r="J816" s="2301">
        <f>DI791</f>
        <v>0</v>
      </c>
      <c r="K816" s="2301">
        <f>DJ791</f>
        <v>2</v>
      </c>
      <c r="L816" s="2301">
        <f>DK791</f>
        <v>12</v>
      </c>
      <c r="M816" s="2301">
        <f>DL791</f>
        <v>5</v>
      </c>
      <c r="N816" s="2301">
        <f>DM791</f>
        <v>0</v>
      </c>
      <c r="O816" s="2301">
        <f t="shared" si="264"/>
        <v>19</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8</v>
      </c>
      <c r="L817" s="2301">
        <f>SUM(L815:L816)+DP791</f>
        <v>40</v>
      </c>
      <c r="M817" s="2301">
        <f>SUM(M815:M816)+DQ791</f>
        <v>16</v>
      </c>
      <c r="N817" s="2301">
        <f>SUM(N815:N816)+DR791</f>
        <v>0</v>
      </c>
      <c r="O817" s="2301">
        <f t="shared" si="264"/>
        <v>64</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2215</v>
      </c>
      <c r="F818" s="2079"/>
      <c r="H818" s="519" t="s">
        <v>1486</v>
      </c>
      <c r="J818" s="2301">
        <f>DS791</f>
        <v>0</v>
      </c>
      <c r="K818" s="2301">
        <f>DT791</f>
        <v>0</v>
      </c>
      <c r="L818" s="2301">
        <f>DU791</f>
        <v>0</v>
      </c>
      <c r="M818" s="2301">
        <f>DV791</f>
        <v>0</v>
      </c>
      <c r="N818" s="2301">
        <f>DW791</f>
        <v>0</v>
      </c>
      <c r="O818" s="2301">
        <f t="shared" si="264"/>
        <v>0</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316</v>
      </c>
      <c r="J819" s="2301">
        <f>DX791</f>
        <v>0</v>
      </c>
      <c r="K819" s="2301">
        <f>DY791</f>
        <v>0</v>
      </c>
      <c r="L819" s="2301">
        <f>DZ791</f>
        <v>0</v>
      </c>
      <c r="M819" s="2301">
        <f>EA791</f>
        <v>0</v>
      </c>
      <c r="N819" s="2301">
        <f>EB791</f>
        <v>0</v>
      </c>
      <c r="O819" s="2301">
        <f t="shared" si="264"/>
        <v>0</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1473</v>
      </c>
      <c r="F821" s="2181"/>
      <c r="H821" s="519" t="s">
        <v>1486</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316</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4164</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3544</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4424</v>
      </c>
      <c r="D829" s="2176"/>
      <c r="E829" s="2260" t="s">
        <v>41</v>
      </c>
      <c r="F829" s="2079"/>
      <c r="G829" s="2074"/>
      <c r="J829" s="2301">
        <f t="shared" ref="J829:O829" si="265">SUM(J830:J837)</f>
        <v>0</v>
      </c>
      <c r="K829" s="2301">
        <f t="shared" si="265"/>
        <v>8</v>
      </c>
      <c r="L829" s="2301">
        <f t="shared" si="265"/>
        <v>40</v>
      </c>
      <c r="M829" s="2301">
        <f t="shared" si="265"/>
        <v>16</v>
      </c>
      <c r="N829" s="2301">
        <f t="shared" si="265"/>
        <v>0</v>
      </c>
      <c r="O829" s="2301">
        <f t="shared" si="265"/>
        <v>64</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2692</v>
      </c>
      <c r="J830" s="2301">
        <f>GP791</f>
        <v>0</v>
      </c>
      <c r="K830" s="2301">
        <f>GQ791</f>
        <v>0</v>
      </c>
      <c r="L830" s="2301">
        <f>GR791</f>
        <v>0</v>
      </c>
      <c r="M830" s="2301">
        <f>GS791</f>
        <v>0</v>
      </c>
      <c r="N830" s="2301">
        <f>GT791</f>
        <v>0</v>
      </c>
      <c r="O830" s="2301">
        <f t="shared" ref="O830:O845" si="266">SUM(J830:N830)</f>
        <v>0</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3544</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2693</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3544</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2695</v>
      </c>
      <c r="J834" s="2301">
        <f>HJ791</f>
        <v>0</v>
      </c>
      <c r="K834" s="2301">
        <f>HK791</f>
        <v>8</v>
      </c>
      <c r="L834" s="2301">
        <f>HL791</f>
        <v>40</v>
      </c>
      <c r="M834" s="2301">
        <f>HM791</f>
        <v>16</v>
      </c>
      <c r="N834" s="2301">
        <f>HN791</f>
        <v>0</v>
      </c>
      <c r="O834" s="2301">
        <f t="shared" si="266"/>
        <v>64</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3544</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2694</v>
      </c>
      <c r="J836" s="2301">
        <f>HT791</f>
        <v>0</v>
      </c>
      <c r="K836" s="2301">
        <f>HU791</f>
        <v>0</v>
      </c>
      <c r="L836" s="2301">
        <f>HV791</f>
        <v>0</v>
      </c>
      <c r="M836" s="2301">
        <f>HW791</f>
        <v>0</v>
      </c>
      <c r="N836" s="2301">
        <f>HX791</f>
        <v>0</v>
      </c>
      <c r="O836" s="2301">
        <f t="shared" si="266"/>
        <v>0</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3544</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3544</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6"/>
        <v>0</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3544</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584</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3544</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585</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3544</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4425</v>
      </c>
      <c r="D847" s="2176"/>
      <c r="E847" s="2260" t="s">
        <v>3539</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3544</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3540</v>
      </c>
      <c r="F849" s="2074"/>
      <c r="H849" s="2074"/>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3544</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3541</v>
      </c>
      <c r="F851" s="2074"/>
      <c r="H851" s="2307"/>
      <c r="J851" s="2301">
        <f>J834</f>
        <v>0</v>
      </c>
      <c r="K851" s="2301">
        <f t="shared" ref="K851:N852" si="270">K834</f>
        <v>8</v>
      </c>
      <c r="L851" s="2301">
        <f t="shared" si="270"/>
        <v>40</v>
      </c>
      <c r="M851" s="2301">
        <f t="shared" si="270"/>
        <v>16</v>
      </c>
      <c r="N851" s="2301">
        <f t="shared" si="270"/>
        <v>0</v>
      </c>
      <c r="O851" s="2301">
        <f t="shared" si="268"/>
        <v>64</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3544</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3542</v>
      </c>
      <c r="F853" s="2074"/>
      <c r="H853" s="2307"/>
      <c r="J853" s="2301">
        <f>J832+J836</f>
        <v>0</v>
      </c>
      <c r="K853" s="2301">
        <f t="shared" ref="K853:N854" si="271">K832+K836</f>
        <v>0</v>
      </c>
      <c r="L853" s="2301">
        <f t="shared" si="271"/>
        <v>0</v>
      </c>
      <c r="M853" s="2301">
        <f t="shared" si="271"/>
        <v>0</v>
      </c>
      <c r="N853" s="2301">
        <f t="shared" si="271"/>
        <v>0</v>
      </c>
      <c r="O853" s="2301">
        <f t="shared" si="268"/>
        <v>0</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3544</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2243</v>
      </c>
      <c r="C855" s="2079"/>
      <c r="D855" s="2079"/>
      <c r="E855" s="2079"/>
      <c r="F855" s="2079"/>
      <c r="H855" s="2307"/>
      <c r="J855" s="2312"/>
      <c r="K855" s="2312"/>
      <c r="L855" s="2312"/>
      <c r="M855" s="2312"/>
      <c r="N855" s="2312"/>
      <c r="O855" s="2312"/>
      <c r="R855" s="2303"/>
      <c r="S855" s="2303"/>
      <c r="T855" s="2303"/>
      <c r="U855" s="2075" t="str">
        <f>B855</f>
        <v>Unit Square Footage:</v>
      </c>
      <c r="V855" s="2249" t="s">
        <v>1178</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2214</v>
      </c>
      <c r="D856" s="2079"/>
      <c r="E856" s="2079"/>
      <c r="F856" s="2079"/>
      <c r="H856" s="2307" t="s">
        <v>1191</v>
      </c>
      <c r="J856" s="2313">
        <f>BZ791</f>
        <v>0</v>
      </c>
      <c r="K856" s="2313">
        <f>CA791</f>
        <v>3000</v>
      </c>
      <c r="L856" s="2313">
        <f>CB791</f>
        <v>21000</v>
      </c>
      <c r="M856" s="2313">
        <f>CC791</f>
        <v>8120</v>
      </c>
      <c r="N856" s="2313">
        <f>CD791</f>
        <v>0</v>
      </c>
      <c r="O856" s="2313">
        <f t="shared" ref="O856:O862" si="272">SUM(J856:N856)</f>
        <v>32120</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1500</v>
      </c>
      <c r="L857" s="2313">
        <f>CG791</f>
        <v>8400</v>
      </c>
      <c r="M857" s="2313">
        <f>CH791</f>
        <v>4640</v>
      </c>
      <c r="N857" s="2313">
        <f>CI791</f>
        <v>0</v>
      </c>
      <c r="O857" s="2313">
        <f t="shared" si="272"/>
        <v>14540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558</v>
      </c>
      <c r="J858" s="2313">
        <f>SUM(J856:J857)</f>
        <v>0</v>
      </c>
      <c r="K858" s="2313">
        <f>SUM(K856:K857)</f>
        <v>4500</v>
      </c>
      <c r="L858" s="2313">
        <f>SUM(L856:L857)</f>
        <v>29400</v>
      </c>
      <c r="M858" s="2313">
        <f>SUM(M856:M857)</f>
        <v>12760</v>
      </c>
      <c r="N858" s="2313">
        <f>SUM(N856:N857)</f>
        <v>0</v>
      </c>
      <c r="O858" s="2313">
        <f t="shared" si="272"/>
        <v>46660</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1500</v>
      </c>
      <c r="L859" s="2313">
        <f>CQ791</f>
        <v>12600</v>
      </c>
      <c r="M859" s="2313">
        <f>CR791</f>
        <v>5800</v>
      </c>
      <c r="N859" s="2313">
        <f>CS791</f>
        <v>0</v>
      </c>
      <c r="O859" s="2313">
        <f t="shared" si="272"/>
        <v>19900</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1180</v>
      </c>
      <c r="D860" s="2079"/>
      <c r="E860" s="2079"/>
      <c r="F860" s="2079"/>
      <c r="G860" s="2079"/>
      <c r="J860" s="2313">
        <f>SUM(J858:J859)</f>
        <v>0</v>
      </c>
      <c r="K860" s="2313">
        <f>SUM(K858:K859)</f>
        <v>6000</v>
      </c>
      <c r="L860" s="2313">
        <f>SUM(L858:L859)</f>
        <v>42000</v>
      </c>
      <c r="M860" s="2313">
        <f>SUM(M858:M859)</f>
        <v>18560</v>
      </c>
      <c r="N860" s="2313">
        <f>SUM(N858:N859)</f>
        <v>0</v>
      </c>
      <c r="O860" s="2313">
        <f t="shared" si="272"/>
        <v>66560</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2598</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558</v>
      </c>
      <c r="D862" s="2079"/>
      <c r="E862" s="2079"/>
      <c r="F862" s="2079"/>
      <c r="G862" s="2079"/>
      <c r="J862" s="2313">
        <f>SUM(J860:J861)</f>
        <v>0</v>
      </c>
      <c r="K862" s="2313">
        <f>SUM(K860:K861)</f>
        <v>6000</v>
      </c>
      <c r="L862" s="2313">
        <f>SUM(L860:L861)</f>
        <v>42000</v>
      </c>
      <c r="M862" s="2313">
        <f>SUM(M860:M861)</f>
        <v>18560</v>
      </c>
      <c r="N862" s="2313">
        <f>SUM(N860:N861)</f>
        <v>0</v>
      </c>
      <c r="O862" s="2313">
        <f t="shared" si="272"/>
        <v>66560</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4426</v>
      </c>
      <c r="R863" s="2079"/>
      <c r="S863" s="2079"/>
      <c r="T863" s="2079"/>
      <c r="U863" s="2249" t="s">
        <v>1915</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7314.96</v>
      </c>
      <c r="I865" s="2315"/>
      <c r="J865" s="2258"/>
      <c r="K865" s="2316" t="s">
        <v>4427</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2366</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4428</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4429</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2710</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2366</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4428</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4429</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2711</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2366</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4428</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4429</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2711</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2366</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4428</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4429</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1858</v>
      </c>
      <c r="B904" s="2248" t="s">
        <v>1056</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1915</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3">
        <f>'Part VI-Revenues &amp; Expenses'!F164</f>
        <v>29975</v>
      </c>
      <c r="G907" s="2313"/>
      <c r="I907" s="2079" t="s">
        <v>1428</v>
      </c>
      <c r="K907" s="2313">
        <f>'Part VI-Revenues &amp; Expenses'!K164</f>
        <v>0</v>
      </c>
      <c r="L907" s="2313"/>
      <c r="N907" s="2079" t="s">
        <v>962</v>
      </c>
      <c r="P907" s="2325">
        <f>'Part VI-Revenues &amp; Expenses'!P164</f>
        <v>78400</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3">
        <f>'Part VI-Revenues &amp; Expenses'!F165</f>
        <v>15000</v>
      </c>
      <c r="G908" s="2313"/>
      <c r="I908" s="2079" t="s">
        <v>1429</v>
      </c>
      <c r="K908" s="2313">
        <f>'Part VI-Revenues &amp; Expenses'!K165</f>
        <v>600</v>
      </c>
      <c r="L908" s="2313"/>
      <c r="N908" s="2079" t="s">
        <v>152</v>
      </c>
      <c r="P908" s="2325">
        <f>'Part VI-Revenues &amp; Expenses'!P165</f>
        <v>17677</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3">
        <f>'Part VI-Revenues &amp; Expenses'!F166</f>
        <v>0</v>
      </c>
      <c r="G909" s="2313"/>
      <c r="J909" s="2330" t="s">
        <v>197</v>
      </c>
      <c r="K909" s="2313">
        <f>SUM(K907:L908)</f>
        <v>600</v>
      </c>
      <c r="L909" s="2313"/>
      <c r="N909" s="2331">
        <f>'Part VI-Revenues &amp; Expenses'!N166</f>
        <v>0</v>
      </c>
      <c r="O909" s="2331"/>
      <c r="P909" s="2325">
        <f>'Part VI-Revenues &amp; Expenses'!P166</f>
        <v>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Misc Administrative</v>
      </c>
      <c r="C910" s="519"/>
      <c r="D910" s="519"/>
      <c r="E910" s="519"/>
      <c r="F910" s="2313">
        <f>'Part VI-Revenues &amp; Expenses'!F167</f>
        <v>6440</v>
      </c>
      <c r="G910" s="2313"/>
      <c r="N910" s="2330" t="s">
        <v>197</v>
      </c>
      <c r="P910" s="2325">
        <f>SUM(P907:P909)</f>
        <v>96077</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51415</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2"/>
      <c r="I913" s="2078" t="s">
        <v>1341</v>
      </c>
      <c r="N913" s="2078" t="s">
        <v>1430</v>
      </c>
      <c r="P913" s="2333">
        <f>IF(OR('Part VII-Pro Forma'!$B$20 = "Choose Mgt Fee",'Part VII-Pro Forma'!$B$20 = "Choose One!"), 0,- 'Part VII-Pro Forma'!$B$20)</f>
        <v>24286</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2"/>
      <c r="F914" s="2313">
        <f>'Part VI-Revenues &amp; Expenses'!F171</f>
        <v>1750</v>
      </c>
      <c r="G914" s="2313"/>
      <c r="I914" s="2079" t="s">
        <v>1660</v>
      </c>
      <c r="K914" s="2313">
        <f>'Part VI-Revenues &amp; Expenses'!K171</f>
        <v>1000</v>
      </c>
      <c r="L914" s="2313"/>
      <c r="N914" s="2334">
        <f>+P913/(O805*0.93)</f>
        <v>408.0309139784946</v>
      </c>
      <c r="O914" s="2335"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2"/>
      <c r="F915" s="2313">
        <f>'Part VI-Revenues &amp; Expenses'!F172</f>
        <v>8000</v>
      </c>
      <c r="G915" s="2313"/>
      <c r="I915" s="2079" t="s">
        <v>2127</v>
      </c>
      <c r="K915" s="2313">
        <f>'Part VI-Revenues &amp; Expenses'!K172</f>
        <v>7000</v>
      </c>
      <c r="L915" s="2313"/>
      <c r="N915" s="2334">
        <f>+P913/(O805*0.93)/12</f>
        <v>34.002576164874547</v>
      </c>
      <c r="O915" s="2335"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2"/>
      <c r="F916" s="2313">
        <f>'Part VI-Revenues &amp; Expenses'!F173</f>
        <v>0</v>
      </c>
      <c r="G916" s="2313"/>
      <c r="I916" s="2079" t="s">
        <v>1661</v>
      </c>
      <c r="K916" s="2313">
        <f>'Part VI-Revenues &amp; Expenses'!K173</f>
        <v>500</v>
      </c>
      <c r="L916" s="2313"/>
      <c r="N916" s="2336" t="s">
        <v>2546</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2"/>
      <c r="F917" s="2313">
        <f>'Part VI-Revenues &amp; Expenses'!F174</f>
        <v>0</v>
      </c>
      <c r="G917" s="2313"/>
      <c r="I917" s="2331" t="str">
        <f>'Part VI-Revenues &amp; Expenses'!I174</f>
        <v>Land Lease</v>
      </c>
      <c r="J917" s="2331"/>
      <c r="K917" s="2313">
        <f>'Part VI-Revenues &amp; Expenses'!K174</f>
        <v>10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2"/>
      <c r="F918" s="2313">
        <f>'Part VI-Revenues &amp; Expenses'!F175</f>
        <v>0</v>
      </c>
      <c r="G918" s="2313"/>
      <c r="I918" s="2078"/>
      <c r="J918" s="2330" t="s">
        <v>197</v>
      </c>
      <c r="K918" s="2325">
        <f>SUM(K914:K917)</f>
        <v>8510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3">
        <f>'Part VI-Revenues &amp; Expenses'!F176</f>
        <v>0</v>
      </c>
      <c r="G919" s="2313"/>
      <c r="J919" s="2301"/>
      <c r="N919" s="2078" t="s">
        <v>2265</v>
      </c>
      <c r="P919" s="2325">
        <f>F911+F920+F931+K909+K918+K928+P910+P913</f>
        <v>237488</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9750</v>
      </c>
      <c r="G920" s="2313"/>
      <c r="J920" s="2301"/>
      <c r="N920" s="2334">
        <f>+P919/O805</f>
        <v>3710.75</v>
      </c>
      <c r="O920" s="2335"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2"/>
      <c r="I922" s="2078" t="s">
        <v>1425</v>
      </c>
      <c r="J922" s="2073" t="s">
        <v>2870</v>
      </c>
      <c r="N922" s="2078" t="s">
        <v>3751</v>
      </c>
      <c r="O922" s="2078"/>
      <c r="P922" s="2333">
        <f>P923*O805</f>
        <v>16000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2"/>
      <c r="F923" s="2313">
        <f>'Part VI-Revenues &amp; Expenses'!F180</f>
        <v>4750</v>
      </c>
      <c r="G923" s="2313"/>
      <c r="I923" s="2079" t="s">
        <v>1418</v>
      </c>
      <c r="J923" s="2205">
        <f>K923/12/O805</f>
        <v>9.375</v>
      </c>
      <c r="K923" s="2313">
        <f>'Part VI-Revenues &amp; Expenses'!K180</f>
        <v>7200</v>
      </c>
      <c r="L923" s="2313"/>
      <c r="N923" s="2260" t="s">
        <v>3752</v>
      </c>
      <c r="P923" s="2337">
        <f>'Part VI-Revenues &amp; Expenses'!P180</f>
        <v>250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2"/>
      <c r="F924" s="2313">
        <f>'Part VI-Revenues &amp; Expenses'!F181</f>
        <v>5000</v>
      </c>
      <c r="G924" s="2313"/>
      <c r="I924" s="2079" t="s">
        <v>1419</v>
      </c>
      <c r="J924" s="2205">
        <f>K924/12/O805</f>
        <v>0</v>
      </c>
      <c r="K924" s="2313">
        <f>'Part VI-Revenues &amp; Expenses'!K181</f>
        <v>0</v>
      </c>
      <c r="L924" s="2313"/>
      <c r="N924" s="2339">
        <f>ROUND(P931/O805,0)</f>
        <v>250</v>
      </c>
      <c r="O924" s="2335" t="s">
        <v>2873</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2"/>
      <c r="F925" s="2313">
        <f>'Part VI-Revenues &amp; Expenses'!F182</f>
        <v>10000</v>
      </c>
      <c r="G925" s="2313"/>
      <c r="I925" s="2079" t="s">
        <v>2434</v>
      </c>
      <c r="J925" s="2205">
        <f>K925/12/O805</f>
        <v>10.286458333333334</v>
      </c>
      <c r="K925" s="2313">
        <f>'Part VI-Revenues &amp; Expenses'!K182</f>
        <v>7900</v>
      </c>
      <c r="L925" s="2313"/>
      <c r="N925" s="2340" t="s">
        <v>2820</v>
      </c>
      <c r="O925" s="2341" t="s">
        <v>3678</v>
      </c>
      <c r="P925" s="2341" t="s">
        <v>3679</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2"/>
      <c r="F926" s="2313">
        <f>'Part VI-Revenues &amp; Expenses'!F183</f>
        <v>5500</v>
      </c>
      <c r="G926" s="2313"/>
      <c r="I926" s="2079" t="s">
        <v>1421</v>
      </c>
      <c r="K926" s="2313">
        <f>'Part VI-Revenues &amp; Expenses'!K183</f>
        <v>3900</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2"/>
      <c r="F927" s="2313">
        <f>'Part VI-Revenues &amp; Expenses'!F184</f>
        <v>900</v>
      </c>
      <c r="G927" s="2313"/>
      <c r="I927" s="2331" t="str">
        <f>'Part VI-Revenues &amp; Expenses'!I184</f>
        <v>Cable TV &amp; Internet</v>
      </c>
      <c r="J927" s="2331"/>
      <c r="K927" s="2313">
        <f>'Part VI-Revenues &amp; Expenses'!K184</f>
        <v>1200</v>
      </c>
      <c r="L927" s="2313"/>
      <c r="N927" s="2074" t="s">
        <v>3670</v>
      </c>
      <c r="O927" s="2343" t="str">
        <f>CONCATENATE(SUM(JC791:JG791)," units x $",'DCA Underwriting Assumptions'!$Q$62," =")</f>
        <v>0 units x $350 =</v>
      </c>
      <c r="P927" s="2343">
        <f>SUM(JC791:JG791)*'DCA Underwriting Assumptions'!$Q$62</f>
        <v>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2"/>
      <c r="F928" s="2313">
        <f>'Part VI-Revenues &amp; Expenses'!F185</f>
        <v>0</v>
      </c>
      <c r="G928" s="2313"/>
      <c r="J928" s="2330" t="s">
        <v>197</v>
      </c>
      <c r="K928" s="2325">
        <f>SUM(K923:K927)</f>
        <v>20200</v>
      </c>
      <c r="L928" s="2325"/>
      <c r="N928" s="2074" t="s">
        <v>3669</v>
      </c>
      <c r="O928" s="2343" t="str">
        <f>CONCATENATE(SUM(JH791:JL791)," units x $",'DCA Underwriting Assumptions'!$Q$63," =")</f>
        <v>64 units x $250 =</v>
      </c>
      <c r="P928" s="2343">
        <f>SUM(JH791:JL791)*'DCA Underwriting Assumptions'!$Q$63</f>
        <v>16000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2"/>
      <c r="F929" s="2313">
        <f>'Part VI-Revenues &amp; Expenses'!F186</f>
        <v>500</v>
      </c>
      <c r="G929" s="2313"/>
      <c r="J929" s="2301"/>
      <c r="N929" s="2219" t="s">
        <v>3673</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3">
        <f>'Part VI-Revenues &amp; Expenses'!F187</f>
        <v>0</v>
      </c>
      <c r="G930" s="2313"/>
      <c r="J930" s="2301"/>
      <c r="N930" s="2219" t="s">
        <v>3668</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26650</v>
      </c>
      <c r="G931" s="2313"/>
      <c r="J931" s="2301"/>
      <c r="N931" s="2344" t="s">
        <v>2823</v>
      </c>
      <c r="O931" s="2343">
        <f>SUM(JC791:JG791)+SUM(JH791:JL791)+SUM(JM791:JQ791)+O827</f>
        <v>64</v>
      </c>
      <c r="P931" s="2343">
        <f>SUM(P927:P930)</f>
        <v>16000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2266</v>
      </c>
      <c r="P933" s="2325">
        <f>P919+P922</f>
        <v>253488</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1860</v>
      </c>
      <c r="B934" s="2249" t="s">
        <v>593</v>
      </c>
      <c r="K934" s="2249" t="s">
        <v>549</v>
      </c>
      <c r="L934" s="2249" t="s">
        <v>1915</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Please see Tab 1, Item number 6 for real estate and insurance support documents.
*Building Design: Three-Story Walk-up. The applicant selected 2-story walk-up as the building design type to establish the correct cost limits for the proposed project.</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2796</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2016-028 The Village on Park, ,  County</v>
      </c>
      <c r="B942" s="2250"/>
      <c r="C942" s="2250"/>
      <c r="D942" s="2250"/>
      <c r="E942" s="2250"/>
      <c r="F942" s="2250"/>
      <c r="G942" s="2250"/>
      <c r="H942" s="2250"/>
      <c r="I942" s="2250"/>
      <c r="J942" s="2250"/>
      <c r="K942" s="2250"/>
      <c r="L942" s="2078"/>
      <c r="M942" s="2078" t="str">
        <f>A942</f>
        <v>DRAFT PART SEVEN - OPERATING PRO FORMA  -  2016-028 The Village on Park, ,  County</v>
      </c>
      <c r="N942" s="2078"/>
    </row>
    <row r="943" spans="1:262">
      <c r="A943" s="2253"/>
      <c r="B943" s="2253"/>
      <c r="C943" s="2253"/>
      <c r="D943" s="2253"/>
      <c r="E943" s="2253"/>
      <c r="F943" s="2253"/>
      <c r="G943" s="2253"/>
      <c r="H943" s="2253"/>
      <c r="I943" s="2253"/>
      <c r="J943" s="2253"/>
      <c r="K943" s="2253"/>
      <c r="M943" s="2253" t="s">
        <v>1915</v>
      </c>
      <c r="N943" s="2253"/>
    </row>
    <row r="944" spans="1:262" ht="13.5">
      <c r="A944" s="2249" t="s">
        <v>92</v>
      </c>
      <c r="D944" s="2249" t="s">
        <v>82</v>
      </c>
      <c r="E944" s="2257"/>
      <c r="F944" s="2072" t="s">
        <v>4430</v>
      </c>
      <c r="M944" s="2249" t="str">
        <f>A944</f>
        <v>I.  OPERATING ASSUMPTIONS</v>
      </c>
      <c r="N944" s="2253"/>
    </row>
    <row r="946" spans="1:14" ht="12.75" customHeight="1">
      <c r="A946" s="877" t="s">
        <v>2267</v>
      </c>
      <c r="B946" s="2346">
        <v>0.02</v>
      </c>
      <c r="D946" s="2176" t="s">
        <v>4431</v>
      </c>
      <c r="E946" s="2176"/>
      <c r="F946" s="2176"/>
      <c r="G946" s="2347">
        <f>'Part VII-Pro Forma'!G5</f>
        <v>5000</v>
      </c>
      <c r="H946" s="2309" t="s">
        <v>1981</v>
      </c>
      <c r="K946" s="2348" t="str">
        <f>IF(($B$14+$B$15+$B$16+$B$17)=0,"",B969/($B$14+$B$15+$B$16+$B$17))</f>
        <v/>
      </c>
      <c r="M946" s="2176">
        <f>'Part VII-Pro Forma'!M5</f>
        <v>0</v>
      </c>
      <c r="N946" s="2176"/>
    </row>
    <row r="947" spans="1:14">
      <c r="A947" s="877" t="s">
        <v>2268</v>
      </c>
      <c r="B947" s="2346">
        <v>0.03</v>
      </c>
      <c r="D947" s="2176"/>
      <c r="E947" s="2176"/>
      <c r="F947" s="2176"/>
      <c r="M947" s="2176"/>
      <c r="N947" s="2176"/>
    </row>
    <row r="948" spans="1:14">
      <c r="A948" s="877" t="s">
        <v>2270</v>
      </c>
      <c r="B948" s="2346">
        <v>0.03</v>
      </c>
      <c r="D948" s="2079" t="s">
        <v>282</v>
      </c>
      <c r="G948" s="2349"/>
      <c r="H948" s="2309" t="s">
        <v>2459</v>
      </c>
      <c r="K948" s="2348" t="str">
        <f>IF(($B$14+$B$15+$B$16+$B$17)=0,"",-B961/($B$14+$B$15+$B$16+$B$17))</f>
        <v/>
      </c>
      <c r="M948" s="2176"/>
      <c r="N948" s="2176"/>
    </row>
    <row r="949" spans="1:14">
      <c r="A949" s="877" t="s">
        <v>2269</v>
      </c>
      <c r="B949" s="2346">
        <f>'Part VII-Pro Forma'!B8</f>
        <v>7.0000000000000007E-2</v>
      </c>
      <c r="D949" s="2079" t="s">
        <v>2595</v>
      </c>
      <c r="G949" s="2350" t="str">
        <f>'Part VII-Pro Forma'!G8</f>
        <v>No</v>
      </c>
      <c r="H949" s="2351" t="s">
        <v>1500</v>
      </c>
      <c r="K949" s="2352">
        <f>'Part VII-Pro Forma'!K8</f>
        <v>0</v>
      </c>
      <c r="M949" s="2176"/>
      <c r="N949" s="2176"/>
    </row>
    <row r="950" spans="1:14">
      <c r="A950" s="877" t="s">
        <v>1472</v>
      </c>
      <c r="B950" s="2346">
        <v>0.02</v>
      </c>
      <c r="D950" s="2079" t="s">
        <v>1784</v>
      </c>
      <c r="G950" s="2350" t="str">
        <f>'Part VII-Pro Forma'!G9</f>
        <v>Yes</v>
      </c>
      <c r="H950" s="2351" t="s">
        <v>2439</v>
      </c>
      <c r="K950" s="2353">
        <f>'Part VII-Pro Forma'!K9</f>
        <v>7.0000000000000007E-2</v>
      </c>
      <c r="M950" s="2176"/>
      <c r="N950" s="2176"/>
    </row>
    <row r="952" spans="1:14">
      <c r="A952" s="2249" t="s">
        <v>93</v>
      </c>
      <c r="M952" s="2249" t="str">
        <f>A952</f>
        <v>II.  OPERATING PRO FORMA</v>
      </c>
    </row>
    <row r="954" spans="1:14">
      <c r="A954" s="2249" t="s">
        <v>2566</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2712</v>
      </c>
      <c r="N954" s="2253"/>
    </row>
    <row r="955" spans="1:14">
      <c r="A955" s="877" t="s">
        <v>2489</v>
      </c>
      <c r="B955" s="2354">
        <f>'Part VII-Pro Forma'!B14</f>
        <v>365748</v>
      </c>
      <c r="C955" s="2354">
        <f>'Part VII-Pro Forma'!C14</f>
        <v>373062.96</v>
      </c>
      <c r="D955" s="2354">
        <f>'Part VII-Pro Forma'!D14</f>
        <v>380524.21919999999</v>
      </c>
      <c r="E955" s="2354">
        <f>'Part VII-Pro Forma'!E14</f>
        <v>388134.703584</v>
      </c>
      <c r="F955" s="2354">
        <f>'Part VII-Pro Forma'!F14</f>
        <v>395897.39765568002</v>
      </c>
      <c r="G955" s="2354">
        <f>'Part VII-Pro Forma'!G14</f>
        <v>403815.34560879361</v>
      </c>
      <c r="H955" s="2354">
        <f>'Part VII-Pro Forma'!H14</f>
        <v>411891.65252096951</v>
      </c>
      <c r="I955" s="2354">
        <f>'Part VII-Pro Forma'!I14</f>
        <v>420129.4855713888</v>
      </c>
      <c r="J955" s="2354">
        <f>'Part VII-Pro Forma'!J14</f>
        <v>428532.0752828166</v>
      </c>
      <c r="K955" s="2354">
        <f>'Part VII-Pro Forma'!K14</f>
        <v>437102.71678847296</v>
      </c>
      <c r="M955" s="2176">
        <f>'Part VII-Pro Forma'!M14</f>
        <v>0</v>
      </c>
      <c r="N955" s="2176"/>
    </row>
    <row r="956" spans="1:14">
      <c r="A956" s="877" t="s">
        <v>1053</v>
      </c>
      <c r="B956" s="2354">
        <f>'Part VII-Pro Forma'!B15</f>
        <v>7314.96</v>
      </c>
      <c r="C956" s="2354">
        <f>'Part VII-Pro Forma'!C15</f>
        <v>7461.2592000000004</v>
      </c>
      <c r="D956" s="2354">
        <f>'Part VII-Pro Forma'!D15</f>
        <v>7610.4843840000003</v>
      </c>
      <c r="E956" s="2354">
        <f>'Part VII-Pro Forma'!E15</f>
        <v>7762.6940716799991</v>
      </c>
      <c r="F956" s="2354">
        <f>'Part VII-Pro Forma'!F15</f>
        <v>7917.9479531136003</v>
      </c>
      <c r="G956" s="2354">
        <f>'Part VII-Pro Forma'!G15</f>
        <v>8076.3069121758717</v>
      </c>
      <c r="H956" s="2354">
        <f>'Part VII-Pro Forma'!H15</f>
        <v>8237.8330504193891</v>
      </c>
      <c r="I956" s="2354">
        <f>'Part VII-Pro Forma'!I15</f>
        <v>8402.5897114277759</v>
      </c>
      <c r="J956" s="2354">
        <f>'Part VII-Pro Forma'!J15</f>
        <v>8570.6415056563328</v>
      </c>
      <c r="K956" s="2354">
        <f>'Part VII-Pro Forma'!K15</f>
        <v>8742.0543357694587</v>
      </c>
      <c r="M956" s="2176"/>
      <c r="N956" s="2176"/>
    </row>
    <row r="957" spans="1:14">
      <c r="A957" s="877" t="s">
        <v>2490</v>
      </c>
      <c r="B957" s="2354">
        <f>'Part VII-Pro Forma'!B16</f>
        <v>-26114.407200000005</v>
      </c>
      <c r="C957" s="2354">
        <f>'Part VII-Pro Forma'!C16</f>
        <v>-26636.695344000007</v>
      </c>
      <c r="D957" s="2354">
        <f>'Part VII-Pro Forma'!D16</f>
        <v>-27169.429250880003</v>
      </c>
      <c r="E957" s="2354">
        <f>'Part VII-Pro Forma'!E16</f>
        <v>-27712.817835897604</v>
      </c>
      <c r="F957" s="2354">
        <f>'Part VII-Pro Forma'!F16</f>
        <v>-28267.074192615553</v>
      </c>
      <c r="G957" s="2354">
        <f>'Part VII-Pro Forma'!G16</f>
        <v>-28832.415676467863</v>
      </c>
      <c r="H957" s="2354">
        <f>'Part VII-Pro Forma'!H16</f>
        <v>-29409.063989997227</v>
      </c>
      <c r="I957" s="2354">
        <f>'Part VII-Pro Forma'!I16</f>
        <v>-29997.24526979716</v>
      </c>
      <c r="J957" s="2354">
        <f>'Part VII-Pro Forma'!J16</f>
        <v>-30597.190175193111</v>
      </c>
      <c r="K957" s="2354">
        <f>'Part VII-Pro Forma'!K16</f>
        <v>-31209.133978696969</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638</v>
      </c>
      <c r="B960" s="2354">
        <f>'Part VII-Pro Forma'!B19</f>
        <v>-213202</v>
      </c>
      <c r="C960" s="2354">
        <f>'Part VII-Pro Forma'!C19</f>
        <v>-219598.06</v>
      </c>
      <c r="D960" s="2354">
        <f>'Part VII-Pro Forma'!D19</f>
        <v>-226186.0018</v>
      </c>
      <c r="E960" s="2354">
        <f>'Part VII-Pro Forma'!E19</f>
        <v>-232971.58185399999</v>
      </c>
      <c r="F960" s="2354">
        <f>'Part VII-Pro Forma'!F19</f>
        <v>-239960.72930961999</v>
      </c>
      <c r="G960" s="2354">
        <f>'Part VII-Pro Forma'!G19</f>
        <v>-247159.55118890858</v>
      </c>
      <c r="H960" s="2354">
        <f>'Part VII-Pro Forma'!H19</f>
        <v>-254574.33772457583</v>
      </c>
      <c r="I960" s="2354">
        <f>'Part VII-Pro Forma'!I19</f>
        <v>-262211.56785631314</v>
      </c>
      <c r="J960" s="2354">
        <f>'Part VII-Pro Forma'!J19</f>
        <v>-270077.91489200247</v>
      </c>
      <c r="K960" s="2354">
        <f>'Part VII-Pro Forma'!K19</f>
        <v>-278180.25233876257</v>
      </c>
      <c r="M960" s="2176"/>
      <c r="N960" s="2176"/>
    </row>
    <row r="961" spans="1:14">
      <c r="A961" s="877" t="s">
        <v>1153</v>
      </c>
      <c r="B961" s="2354">
        <f>'Part VII-Pro Forma'!B20</f>
        <v>-24286</v>
      </c>
      <c r="C961" s="2354">
        <f>'Part VII-Pro Forma'!C20</f>
        <v>-24772</v>
      </c>
      <c r="D961" s="2354">
        <f>'Part VII-Pro Forma'!D20</f>
        <v>-25268</v>
      </c>
      <c r="E961" s="2354">
        <f>'Part VII-Pro Forma'!E20</f>
        <v>-25773</v>
      </c>
      <c r="F961" s="2354">
        <f>'Part VII-Pro Forma'!F20</f>
        <v>-26288</v>
      </c>
      <c r="G961" s="2354">
        <f>'Part VII-Pro Forma'!G20</f>
        <v>-26814</v>
      </c>
      <c r="H961" s="2354">
        <f>'Part VII-Pro Forma'!H20</f>
        <v>-27350</v>
      </c>
      <c r="I961" s="2354">
        <f>'Part VII-Pro Forma'!I20</f>
        <v>-27897</v>
      </c>
      <c r="J961" s="2354">
        <f>'Part VII-Pro Forma'!J20</f>
        <v>-28455</v>
      </c>
      <c r="K961" s="2354">
        <f>'Part VII-Pro Forma'!K20</f>
        <v>-29024</v>
      </c>
      <c r="M961" s="2176"/>
      <c r="N961" s="2176"/>
    </row>
    <row r="962" spans="1:14">
      <c r="A962" s="877" t="s">
        <v>1247</v>
      </c>
      <c r="B962" s="2354">
        <f>'Part VII-Pro Forma'!B21</f>
        <v>-16000</v>
      </c>
      <c r="C962" s="2354">
        <f>'Part VII-Pro Forma'!C21</f>
        <v>-16480</v>
      </c>
      <c r="D962" s="2354">
        <f>'Part VII-Pro Forma'!D21</f>
        <v>-16974.399999999998</v>
      </c>
      <c r="E962" s="2354">
        <f>'Part VII-Pro Forma'!E21</f>
        <v>-17483.632000000001</v>
      </c>
      <c r="F962" s="2354">
        <f>'Part VII-Pro Forma'!F21</f>
        <v>-18008.140959999997</v>
      </c>
      <c r="G962" s="2354">
        <f>'Part VII-Pro Forma'!G21</f>
        <v>-18548.385188799999</v>
      </c>
      <c r="H962" s="2354">
        <f>'Part VII-Pro Forma'!H21</f>
        <v>-19104.836744463999</v>
      </c>
      <c r="I962" s="2354">
        <f>'Part VII-Pro Forma'!I21</f>
        <v>-19677.98184679792</v>
      </c>
      <c r="J962" s="2354">
        <f>'Part VII-Pro Forma'!J21</f>
        <v>-20268.321302201854</v>
      </c>
      <c r="K962" s="2354">
        <f>'Part VII-Pro Forma'!K21</f>
        <v>-20876.370941267913</v>
      </c>
      <c r="M962" s="2176"/>
      <c r="N962" s="2176"/>
    </row>
    <row r="963" spans="1:14">
      <c r="A963" s="877" t="s">
        <v>1248</v>
      </c>
      <c r="B963" s="2354">
        <f>'Part VII-Pro Forma'!B22</f>
        <v>93460.552800000005</v>
      </c>
      <c r="C963" s="2354">
        <f>'Part VII-Pro Forma'!C22</f>
        <v>93037.463856000046</v>
      </c>
      <c r="D963" s="2354">
        <f>'Part VII-Pro Forma'!D22</f>
        <v>92536.872533119982</v>
      </c>
      <c r="E963" s="2354">
        <f>'Part VII-Pro Forma'!E22</f>
        <v>91956.365965782417</v>
      </c>
      <c r="F963" s="2354">
        <f>'Part VII-Pro Forma'!F22</f>
        <v>91291.401146558055</v>
      </c>
      <c r="G963" s="2354">
        <f>'Part VII-Pro Forma'!G22</f>
        <v>90537.300466793007</v>
      </c>
      <c r="H963" s="2354">
        <f>'Part VII-Pro Forma'!H22</f>
        <v>89691.247112351877</v>
      </c>
      <c r="I963" s="2354">
        <f>'Part VII-Pro Forma'!I22</f>
        <v>88748.280309908325</v>
      </c>
      <c r="J963" s="2354">
        <f>'Part VII-Pro Forma'!J22</f>
        <v>87704.290419075493</v>
      </c>
      <c r="K963" s="2354">
        <f>'Part VII-Pro Forma'!K22</f>
        <v>86555.013865514964</v>
      </c>
      <c r="M963" s="2176"/>
      <c r="N963" s="2176"/>
    </row>
    <row r="964" spans="1:14">
      <c r="A964" s="877" t="s">
        <v>1648</v>
      </c>
      <c r="B964" s="2354">
        <f>'Part VII-Pro Forma'!B23</f>
        <v>-64742.72941449302</v>
      </c>
      <c r="C964" s="2354">
        <f>'Part VII-Pro Forma'!C23</f>
        <v>-64742.72941449302</v>
      </c>
      <c r="D964" s="2354">
        <f>'Part VII-Pro Forma'!D23</f>
        <v>-64742.72941449302</v>
      </c>
      <c r="E964" s="2354">
        <f>'Part VII-Pro Forma'!E23</f>
        <v>-64742.72941449302</v>
      </c>
      <c r="F964" s="2354">
        <f>'Part VII-Pro Forma'!F23</f>
        <v>-64742.72941449302</v>
      </c>
      <c r="G964" s="2354">
        <f>'Part VII-Pro Forma'!G23</f>
        <v>-64742.72941449302</v>
      </c>
      <c r="H964" s="2354">
        <f>'Part VII-Pro Forma'!H23</f>
        <v>-64742.72941449302</v>
      </c>
      <c r="I964" s="2354">
        <f>'Part VII-Pro Forma'!I23</f>
        <v>-64742.72941449302</v>
      </c>
      <c r="J964" s="2354">
        <f>'Part VII-Pro Forma'!J23</f>
        <v>-64742.72941449302</v>
      </c>
      <c r="K964" s="2354">
        <f>'Part VII-Pro Forma'!K23</f>
        <v>-64742.72941449302</v>
      </c>
      <c r="M964" s="2176"/>
      <c r="N964" s="2176"/>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1206</v>
      </c>
      <c r="B969" s="2354">
        <f>'Part VII-Pro Forma'!B28</f>
        <v>-5000</v>
      </c>
      <c r="C969" s="2354">
        <f>'Part VII-Pro Forma'!C28</f>
        <v>-5000</v>
      </c>
      <c r="D969" s="2354">
        <f>'Part VII-Pro Forma'!D28</f>
        <v>-5000</v>
      </c>
      <c r="E969" s="2354">
        <f>'Part VII-Pro Forma'!E28</f>
        <v>-5000</v>
      </c>
      <c r="F969" s="2354">
        <f>'Part VII-Pro Forma'!F28</f>
        <v>-5000</v>
      </c>
      <c r="G969" s="2354">
        <f>'Part VII-Pro Forma'!G28</f>
        <v>-5000</v>
      </c>
      <c r="H969" s="2354">
        <f>'Part VII-Pro Forma'!H28</f>
        <v>-5000</v>
      </c>
      <c r="I969" s="2354">
        <f>'Part VII-Pro Forma'!I28</f>
        <v>-5000</v>
      </c>
      <c r="J969" s="2354">
        <f>'Part VII-Pro Forma'!J28</f>
        <v>-5000</v>
      </c>
      <c r="K969" s="2354">
        <f>'Part VII-Pro Forma'!K28</f>
        <v>-5000</v>
      </c>
      <c r="M969" s="2176"/>
      <c r="N969" s="2176"/>
    </row>
    <row r="970" spans="1:14">
      <c r="A970" s="877" t="s">
        <v>1249</v>
      </c>
      <c r="B970" s="2354">
        <f>'Part VII-Pro Forma'!B29</f>
        <v>-15666</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6"/>
      <c r="N970" s="2176"/>
    </row>
    <row r="971" spans="1:14">
      <c r="A971" s="877" t="s">
        <v>1207</v>
      </c>
      <c r="B971" s="2354">
        <f>'Part VII-Pro Forma'!B30</f>
        <v>8051.8233855069848</v>
      </c>
      <c r="C971" s="2354">
        <f>'Part VII-Pro Forma'!C30</f>
        <v>23294.734441507026</v>
      </c>
      <c r="D971" s="2354">
        <f>'Part VII-Pro Forma'!D30</f>
        <v>22794.143118626962</v>
      </c>
      <c r="E971" s="2354">
        <f>'Part VII-Pro Forma'!E30</f>
        <v>22213.636551289397</v>
      </c>
      <c r="F971" s="2354">
        <f>'Part VII-Pro Forma'!F30</f>
        <v>21548.671732065035</v>
      </c>
      <c r="G971" s="2354">
        <f>'Part VII-Pro Forma'!G30</f>
        <v>20794.571052299987</v>
      </c>
      <c r="H971" s="2354">
        <f>'Part VII-Pro Forma'!H30</f>
        <v>19948.517697858857</v>
      </c>
      <c r="I971" s="2354">
        <f>'Part VII-Pro Forma'!I30</f>
        <v>19005.550895415305</v>
      </c>
      <c r="J971" s="2354">
        <f>'Part VII-Pro Forma'!J30</f>
        <v>17961.561004582472</v>
      </c>
      <c r="K971" s="2354">
        <f>'Part VII-Pro Forma'!K30</f>
        <v>16812.284451021944</v>
      </c>
      <c r="M971" s="2176"/>
      <c r="N971" s="2176"/>
    </row>
    <row r="972" spans="1:14">
      <c r="A972" s="877" t="str">
        <f>IF('Part III-Sources of Funds'!$E$37 = "Neither", "", "DCR Mortgage A")</f>
        <v>DCR Mortgage A</v>
      </c>
      <c r="B972" s="2355">
        <f>IF(B964=0,"",-B963/B964)</f>
        <v>1.4435683148551093</v>
      </c>
      <c r="C972" s="2355">
        <f t="shared" ref="C972:K972" si="280">IF(C964=0,"",-C963/C964)</f>
        <v>1.4370333888823212</v>
      </c>
      <c r="D972" s="2355">
        <f t="shared" si="280"/>
        <v>1.429301380556333</v>
      </c>
      <c r="E972" s="2355">
        <f t="shared" si="280"/>
        <v>1.4203350213591315</v>
      </c>
      <c r="F972" s="2355">
        <f t="shared" si="280"/>
        <v>1.4100641411346178</v>
      </c>
      <c r="G972" s="2355">
        <f t="shared" si="280"/>
        <v>1.3984164907098546</v>
      </c>
      <c r="H972" s="2355">
        <f t="shared" si="280"/>
        <v>1.3853485622784694</v>
      </c>
      <c r="I972" s="2355">
        <f t="shared" si="280"/>
        <v>1.3707837329768418</v>
      </c>
      <c r="J972" s="2355">
        <f t="shared" si="280"/>
        <v>1.3546585263277826</v>
      </c>
      <c r="K972" s="2355">
        <f t="shared" si="280"/>
        <v>1.3369070882288003</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6"/>
      <c r="N975" s="2176"/>
    </row>
    <row r="976" spans="1:14">
      <c r="A976" s="2356" t="s">
        <v>4195</v>
      </c>
      <c r="B976" s="2355">
        <f>IF(AND(B964=0,B965=0,B966=0,B967=0),"",-B963/(B964+B965+B966+B967))</f>
        <v>1.4435683148551093</v>
      </c>
      <c r="C976" s="2355">
        <f t="shared" ref="C976:K976" si="284">IF(AND(C964=0,C965=0,C966=0,C967=0),"",-C963/(C964+C965+C966+C967))</f>
        <v>1.4370333888823212</v>
      </c>
      <c r="D976" s="2355">
        <f t="shared" si="284"/>
        <v>1.429301380556333</v>
      </c>
      <c r="E976" s="2355">
        <f t="shared" si="284"/>
        <v>1.4203350213591315</v>
      </c>
      <c r="F976" s="2355">
        <f t="shared" si="284"/>
        <v>1.4100641411346178</v>
      </c>
      <c r="G976" s="2355">
        <f t="shared" si="284"/>
        <v>1.3984164907098546</v>
      </c>
      <c r="H976" s="2355">
        <f t="shared" si="284"/>
        <v>1.3853485622784694</v>
      </c>
      <c r="I976" s="2355">
        <f t="shared" si="284"/>
        <v>1.3707837329768418</v>
      </c>
      <c r="J976" s="2355">
        <f t="shared" si="284"/>
        <v>1.3546585263277826</v>
      </c>
      <c r="K976" s="2355">
        <f t="shared" si="284"/>
        <v>1.3369070882288003</v>
      </c>
      <c r="M976" s="2176"/>
      <c r="N976" s="2176"/>
    </row>
    <row r="977" spans="1:14">
      <c r="A977" s="877" t="s">
        <v>801</v>
      </c>
      <c r="B977" s="2357">
        <f>IF(OR(B961="Choose mgt fee",B961="Choose One!"),"",(B955+B956+B957+B958+B959) / -(B960+B961+B962))</f>
        <v>1.3686981348229501</v>
      </c>
      <c r="C977" s="2357">
        <f t="shared" ref="C977:K977" si="285">IF(OR(C961="Choose mgt fee",C961="Choose One!"),"",(C955+C956+C957+C958+C959) / -(C960+C961+C962))</f>
        <v>1.3566702796848122</v>
      </c>
      <c r="D977" s="2357">
        <f t="shared" si="285"/>
        <v>1.344735772789301</v>
      </c>
      <c r="E977" s="2357">
        <f t="shared" si="285"/>
        <v>1.3328999767358516</v>
      </c>
      <c r="F977" s="2357">
        <f t="shared" si="285"/>
        <v>1.3211581168116269</v>
      </c>
      <c r="G977" s="2357">
        <f t="shared" si="285"/>
        <v>1.3095060206011009</v>
      </c>
      <c r="H977" s="2357">
        <f t="shared" si="285"/>
        <v>1.2979486864372889</v>
      </c>
      <c r="I977" s="2357">
        <f t="shared" si="285"/>
        <v>1.286482032208828</v>
      </c>
      <c r="J977" s="2357">
        <f t="shared" si="285"/>
        <v>1.2751064941468693</v>
      </c>
      <c r="K977" s="2357">
        <f t="shared" si="285"/>
        <v>1.2638223891437703</v>
      </c>
      <c r="M977" s="2176"/>
      <c r="N977" s="2176"/>
    </row>
    <row r="978" spans="1:14">
      <c r="A978" s="877" t="s">
        <v>2705</v>
      </c>
      <c r="B978" s="2354">
        <f>'Part VII-Pro Forma'!B37</f>
        <v>1052308.7642380218</v>
      </c>
      <c r="C978" s="2354">
        <f>'Part VII-Pro Forma'!C37</f>
        <v>1044191.7666457782</v>
      </c>
      <c r="D978" s="2354">
        <f>'Part VII-Pro Forma'!D37</f>
        <v>1035625.4384312411</v>
      </c>
      <c r="E978" s="2354">
        <f>'Part VII-Pro Forma'!E37</f>
        <v>1026584.9061106087</v>
      </c>
      <c r="F978" s="2354">
        <f>'Part VII-Pro Forma'!F37</f>
        <v>1017043.9192848061</v>
      </c>
      <c r="G978" s="2354">
        <f>'Part VII-Pro Forma'!G37</f>
        <v>1006974.7744179284</v>
      </c>
      <c r="H978" s="2354">
        <f>'Part VII-Pro Forma'!H37</f>
        <v>996348.2343963054</v>
      </c>
      <c r="I978" s="2354">
        <f>'Part VII-Pro Forma'!I37</f>
        <v>985133.44363461761</v>
      </c>
      <c r="J978" s="2354">
        <f>'Part VII-Pro Forma'!J37</f>
        <v>973297.83848256269</v>
      </c>
      <c r="K978" s="2354">
        <f>'Part VII-Pro Forma'!K37</f>
        <v>960807.05267192621</v>
      </c>
      <c r="M978" s="2176"/>
      <c r="N978" s="2176"/>
    </row>
    <row r="979" spans="1:14">
      <c r="A979" s="877" t="s">
        <v>2706</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7" t="s">
        <v>2707</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7" t="s">
        <v>1284</v>
      </c>
      <c r="B982" s="2354">
        <f>'Part VII-Pro Forma'!B41</f>
        <v>0</v>
      </c>
      <c r="C982" s="2354">
        <f>'Part VII-Pro Forma'!C41</f>
        <v>0</v>
      </c>
      <c r="D982" s="2354">
        <f>'Part VII-Pro Forma'!D41</f>
        <v>0</v>
      </c>
      <c r="E982" s="2354">
        <f>'Part VII-Pro Forma'!E41</f>
        <v>0</v>
      </c>
      <c r="F982" s="2354">
        <f>'Part VII-Pro Forma'!F41</f>
        <v>0</v>
      </c>
      <c r="G982" s="2354">
        <f>'Part VII-Pro Forma'!G41</f>
        <v>0</v>
      </c>
      <c r="H982" s="2354">
        <f>'Part VII-Pro Forma'!H41</f>
        <v>0</v>
      </c>
      <c r="I982" s="2354">
        <f>'Part VII-Pro Forma'!I41</f>
        <v>0</v>
      </c>
      <c r="J982" s="2354">
        <f>'Part VII-Pro Forma'!J41</f>
        <v>0</v>
      </c>
      <c r="K982" s="2354">
        <f>'Part VII-Pro Forma'!K41</f>
        <v>0</v>
      </c>
      <c r="M982" s="2176"/>
      <c r="N982" s="2176"/>
    </row>
    <row r="983" spans="1:14">
      <c r="B983" s="2354"/>
      <c r="C983" s="2354"/>
      <c r="D983" s="2354"/>
      <c r="E983" s="2354"/>
      <c r="F983" s="2354"/>
      <c r="G983" s="2354"/>
      <c r="H983" s="2354"/>
      <c r="I983" s="2354"/>
      <c r="J983" s="2354"/>
      <c r="K983" s="2354"/>
    </row>
    <row r="984" spans="1:14">
      <c r="A984" s="2249" t="s">
        <v>2566</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2710</v>
      </c>
      <c r="N984" s="2253"/>
    </row>
    <row r="985" spans="1:14">
      <c r="A985" s="877" t="s">
        <v>2489</v>
      </c>
      <c r="B985" s="2354">
        <f>'Part VII-Pro Forma'!B44</f>
        <v>445844.7711242424</v>
      </c>
      <c r="C985" s="2354">
        <f>'Part VII-Pro Forma'!C44</f>
        <v>454761.66654672718</v>
      </c>
      <c r="D985" s="2354">
        <f>'Part VII-Pro Forma'!D44</f>
        <v>463856.89987766178</v>
      </c>
      <c r="E985" s="2354">
        <f>'Part VII-Pro Forma'!E44</f>
        <v>473134.037875215</v>
      </c>
      <c r="F985" s="2354">
        <f>'Part VII-Pro Forma'!F44</f>
        <v>482596.71863271936</v>
      </c>
      <c r="G985" s="2354">
        <f>'Part VII-Pro Forma'!G44</f>
        <v>492248.65300537361</v>
      </c>
      <c r="H985" s="2354">
        <f>'Part VII-Pro Forma'!H44</f>
        <v>502093.62606548116</v>
      </c>
      <c r="I985" s="2354">
        <f>'Part VII-Pro Forma'!I44</f>
        <v>512135.49858679081</v>
      </c>
      <c r="J985" s="2354">
        <f>'Part VII-Pro Forma'!J44</f>
        <v>522378.20855852659</v>
      </c>
      <c r="K985" s="2354">
        <f>'Part VII-Pro Forma'!K44</f>
        <v>532825.77272969706</v>
      </c>
      <c r="M985" s="2176">
        <f>'Part VII-Pro Forma'!M44</f>
        <v>0</v>
      </c>
      <c r="N985" s="2176"/>
    </row>
    <row r="986" spans="1:14">
      <c r="A986" s="877" t="s">
        <v>1053</v>
      </c>
      <c r="B986" s="2354">
        <f>'Part VII-Pro Forma'!B45</f>
        <v>8916.8954224848476</v>
      </c>
      <c r="C986" s="2354">
        <f>'Part VII-Pro Forma'!C45</f>
        <v>9095.2333309345431</v>
      </c>
      <c r="D986" s="2354">
        <f>'Part VII-Pro Forma'!D45</f>
        <v>9277.1379975532363</v>
      </c>
      <c r="E986" s="2354">
        <f>'Part VII-Pro Forma'!E45</f>
        <v>9462.6807575043003</v>
      </c>
      <c r="F986" s="2354">
        <f>'Part VII-Pro Forma'!F45</f>
        <v>9651.9343726543866</v>
      </c>
      <c r="G986" s="2354">
        <f>'Part VII-Pro Forma'!G45</f>
        <v>9844.9730601074716</v>
      </c>
      <c r="H986" s="2354">
        <f>'Part VII-Pro Forma'!H45</f>
        <v>10041.872521309624</v>
      </c>
      <c r="I986" s="2354">
        <f>'Part VII-Pro Forma'!I45</f>
        <v>10242.709971735816</v>
      </c>
      <c r="J986" s="2354">
        <f>'Part VII-Pro Forma'!J45</f>
        <v>10447.564171170532</v>
      </c>
      <c r="K986" s="2354">
        <f>'Part VII-Pro Forma'!K45</f>
        <v>10656.515454593942</v>
      </c>
      <c r="M986" s="2176"/>
      <c r="N986" s="2176"/>
    </row>
    <row r="987" spans="1:14">
      <c r="A987" s="877" t="s">
        <v>2490</v>
      </c>
      <c r="B987" s="2354">
        <f>'Part VII-Pro Forma'!B46</f>
        <v>-31833.316658270909</v>
      </c>
      <c r="C987" s="2354">
        <f>'Part VII-Pro Forma'!C46</f>
        <v>-32469.982991436325</v>
      </c>
      <c r="D987" s="2354">
        <f>'Part VII-Pro Forma'!D46</f>
        <v>-33119.382651265056</v>
      </c>
      <c r="E987" s="2354">
        <f>'Part VII-Pro Forma'!E46</f>
        <v>-33781.770304290352</v>
      </c>
      <c r="F987" s="2354">
        <f>'Part VII-Pro Forma'!F46</f>
        <v>-34457.405710376166</v>
      </c>
      <c r="G987" s="2354">
        <f>'Part VII-Pro Forma'!G46</f>
        <v>-35146.55382458368</v>
      </c>
      <c r="H987" s="2354">
        <f>'Part VII-Pro Forma'!H46</f>
        <v>-35849.484901075361</v>
      </c>
      <c r="I987" s="2354">
        <f>'Part VII-Pro Forma'!I46</f>
        <v>-36566.474599096866</v>
      </c>
      <c r="J987" s="2354">
        <f>'Part VII-Pro Forma'!J46</f>
        <v>-37297.804091078804</v>
      </c>
      <c r="K987" s="2354">
        <f>'Part VII-Pro Forma'!K46</f>
        <v>-38043.760172900373</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638</v>
      </c>
      <c r="B990" s="2354">
        <f>'Part VII-Pro Forma'!B49</f>
        <v>-286525.65990892547</v>
      </c>
      <c r="C990" s="2354">
        <f>'Part VII-Pro Forma'!C49</f>
        <v>-295121.42970619322</v>
      </c>
      <c r="D990" s="2354">
        <f>'Part VII-Pro Forma'!D49</f>
        <v>-303975.07259737898</v>
      </c>
      <c r="E990" s="2354">
        <f>'Part VII-Pro Forma'!E49</f>
        <v>-313094.32477530034</v>
      </c>
      <c r="F990" s="2354">
        <f>'Part VII-Pro Forma'!F49</f>
        <v>-322487.1545185594</v>
      </c>
      <c r="G990" s="2354">
        <f>'Part VII-Pro Forma'!G49</f>
        <v>-332161.76915411616</v>
      </c>
      <c r="H990" s="2354">
        <f>'Part VII-Pro Forma'!H49</f>
        <v>-342126.62222873961</v>
      </c>
      <c r="I990" s="2354">
        <f>'Part VII-Pro Forma'!I49</f>
        <v>-352390.4208956018</v>
      </c>
      <c r="J990" s="2354">
        <f>'Part VII-Pro Forma'!J49</f>
        <v>-362962.13352246984</v>
      </c>
      <c r="K990" s="2354">
        <f>'Part VII-Pro Forma'!K49</f>
        <v>-373850.99752814393</v>
      </c>
      <c r="M990" s="2176"/>
      <c r="N990" s="2176"/>
    </row>
    <row r="991" spans="1:14">
      <c r="A991" s="877" t="s">
        <v>1153</v>
      </c>
      <c r="B991" s="2354">
        <f>'Part VII-Pro Forma'!B50</f>
        <v>-29605</v>
      </c>
      <c r="C991" s="2354">
        <f>'Part VII-Pro Forma'!C50</f>
        <v>-30197</v>
      </c>
      <c r="D991" s="2354">
        <f>'Part VII-Pro Forma'!D50</f>
        <v>-30801</v>
      </c>
      <c r="E991" s="2354">
        <f>'Part VII-Pro Forma'!E50</f>
        <v>-31417</v>
      </c>
      <c r="F991" s="2354">
        <f>'Part VII-Pro Forma'!F50</f>
        <v>-32045</v>
      </c>
      <c r="G991" s="2354">
        <f>'Part VII-Pro Forma'!G50</f>
        <v>-32686</v>
      </c>
      <c r="H991" s="2354">
        <f>'Part VII-Pro Forma'!H50</f>
        <v>-33340</v>
      </c>
      <c r="I991" s="2354">
        <f>'Part VII-Pro Forma'!I50</f>
        <v>-34007</v>
      </c>
      <c r="J991" s="2354">
        <f>'Part VII-Pro Forma'!J50</f>
        <v>-34687</v>
      </c>
      <c r="K991" s="2354">
        <f>'Part VII-Pro Forma'!K50</f>
        <v>-35381</v>
      </c>
      <c r="M991" s="2176"/>
      <c r="N991" s="2176"/>
    </row>
    <row r="992" spans="1:14">
      <c r="A992" s="877" t="s">
        <v>1247</v>
      </c>
      <c r="B992" s="2354">
        <f>'Part VII-Pro Forma'!B51</f>
        <v>-21502.66206950595</v>
      </c>
      <c r="C992" s="2354">
        <f>'Part VII-Pro Forma'!C51</f>
        <v>-22147.741931591128</v>
      </c>
      <c r="D992" s="2354">
        <f>'Part VII-Pro Forma'!D51</f>
        <v>-22812.174189538859</v>
      </c>
      <c r="E992" s="2354">
        <f>'Part VII-Pro Forma'!E51</f>
        <v>-23496.539415225023</v>
      </c>
      <c r="F992" s="2354">
        <f>'Part VII-Pro Forma'!F51</f>
        <v>-24201.435597681775</v>
      </c>
      <c r="G992" s="2354">
        <f>'Part VII-Pro Forma'!G51</f>
        <v>-24927.478665612231</v>
      </c>
      <c r="H992" s="2354">
        <f>'Part VII-Pro Forma'!H51</f>
        <v>-25675.303025580593</v>
      </c>
      <c r="I992" s="2354">
        <f>'Part VII-Pro Forma'!I51</f>
        <v>-26445.56211634801</v>
      </c>
      <c r="J992" s="2354">
        <f>'Part VII-Pro Forma'!J51</f>
        <v>-27238.928979838453</v>
      </c>
      <c r="K992" s="2354">
        <f>'Part VII-Pro Forma'!K51</f>
        <v>-28056.096849233603</v>
      </c>
      <c r="M992" s="2176"/>
      <c r="N992" s="2176"/>
    </row>
    <row r="993" spans="1:14">
      <c r="A993" s="877" t="s">
        <v>1248</v>
      </c>
      <c r="B993" s="2354">
        <f>'Part VII-Pro Forma'!B52</f>
        <v>85295.027910024917</v>
      </c>
      <c r="C993" s="2354">
        <f>'Part VII-Pro Forma'!C52</f>
        <v>83920.745248441061</v>
      </c>
      <c r="D993" s="2354">
        <f>'Part VII-Pro Forma'!D52</f>
        <v>82426.408437032092</v>
      </c>
      <c r="E993" s="2354">
        <f>'Part VII-Pro Forma'!E52</f>
        <v>80807.084137903599</v>
      </c>
      <c r="F993" s="2354">
        <f>'Part VII-Pro Forma'!F52</f>
        <v>79057.657178756388</v>
      </c>
      <c r="G993" s="2354">
        <f>'Part VII-Pro Forma'!G52</f>
        <v>77171.824421169062</v>
      </c>
      <c r="H993" s="2354">
        <f>'Part VII-Pro Forma'!H52</f>
        <v>75144.088431395241</v>
      </c>
      <c r="I993" s="2354">
        <f>'Part VII-Pro Forma'!I52</f>
        <v>72968.750947479974</v>
      </c>
      <c r="J993" s="2354">
        <f>'Part VII-Pro Forma'!J52</f>
        <v>70639.906136310063</v>
      </c>
      <c r="K993" s="2354">
        <f>'Part VII-Pro Forma'!K52</f>
        <v>68150.433634013054</v>
      </c>
      <c r="M993" s="2176"/>
      <c r="N993" s="2176"/>
    </row>
    <row r="994" spans="1:14">
      <c r="A994" s="877" t="str">
        <f>$A964</f>
        <v>Mortgage A</v>
      </c>
      <c r="B994" s="2354">
        <f>'Part VII-Pro Forma'!B53</f>
        <v>-64742.72941449302</v>
      </c>
      <c r="C994" s="2354">
        <f>'Part VII-Pro Forma'!C53</f>
        <v>-64742.72941449302</v>
      </c>
      <c r="D994" s="2354">
        <f>'Part VII-Pro Forma'!D53</f>
        <v>-64742.72941449302</v>
      </c>
      <c r="E994" s="2354">
        <f>'Part VII-Pro Forma'!E53</f>
        <v>-64742.72941449302</v>
      </c>
      <c r="F994" s="2354">
        <f>'Part VII-Pro Forma'!F53</f>
        <v>-64742.72941449302</v>
      </c>
      <c r="G994" s="2354">
        <f>'Part VII-Pro Forma'!G53</f>
        <v>-64742.72941449302</v>
      </c>
      <c r="H994" s="2354">
        <f>'Part VII-Pro Forma'!H53</f>
        <v>-64742.72941449302</v>
      </c>
      <c r="I994" s="2354">
        <f>'Part VII-Pro Forma'!I53</f>
        <v>-64742.72941449302</v>
      </c>
      <c r="J994" s="2354">
        <f>'Part VII-Pro Forma'!J53</f>
        <v>-64742.72941449302</v>
      </c>
      <c r="K994" s="2354">
        <f>'Part VII-Pro Forma'!K53</f>
        <v>-64742.72941449302</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1206</v>
      </c>
      <c r="B999" s="2354">
        <f>'Part VII-Pro Forma'!B58</f>
        <v>-5000</v>
      </c>
      <c r="C999" s="2354">
        <f>'Part VII-Pro Forma'!C58</f>
        <v>-5000</v>
      </c>
      <c r="D999" s="2354">
        <f>'Part VII-Pro Forma'!D58</f>
        <v>-5000</v>
      </c>
      <c r="E999" s="2354">
        <f>'Part VII-Pro Forma'!E58</f>
        <v>-5000</v>
      </c>
      <c r="F999" s="2354">
        <f>'Part VII-Pro Forma'!F58</f>
        <v>-5000</v>
      </c>
      <c r="G999" s="2354">
        <f>'Part VII-Pro Forma'!G58</f>
        <v>-5000</v>
      </c>
      <c r="H999" s="2354">
        <f>'Part VII-Pro Forma'!H58</f>
        <v>-5000</v>
      </c>
      <c r="I999" s="2354">
        <f>'Part VII-Pro Forma'!I58</f>
        <v>-5000</v>
      </c>
      <c r="J999" s="2354">
        <f>'Part VII-Pro Forma'!J58</f>
        <v>-5000</v>
      </c>
      <c r="K999" s="2354">
        <f>'Part VII-Pro Forma'!K58</f>
        <v>-5000</v>
      </c>
      <c r="M999" s="2176"/>
      <c r="N999" s="2176"/>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6"/>
      <c r="N1000" s="2176"/>
    </row>
    <row r="1001" spans="1:14">
      <c r="A1001" s="877" t="s">
        <v>1207</v>
      </c>
      <c r="B1001" s="2354">
        <f>'Part VII-Pro Forma'!B60</f>
        <v>15552.298495531897</v>
      </c>
      <c r="C1001" s="2354">
        <f>'Part VII-Pro Forma'!C60</f>
        <v>14178.01583394804</v>
      </c>
      <c r="D1001" s="2354">
        <f>'Part VII-Pro Forma'!D60</f>
        <v>12683.679022539072</v>
      </c>
      <c r="E1001" s="2354">
        <f>'Part VII-Pro Forma'!E60</f>
        <v>11064.354723410579</v>
      </c>
      <c r="F1001" s="2354">
        <f>'Part VII-Pro Forma'!F60</f>
        <v>9314.9277642633679</v>
      </c>
      <c r="G1001" s="2354">
        <f>'Part VII-Pro Forma'!G60</f>
        <v>7429.0950066760415</v>
      </c>
      <c r="H1001" s="2354">
        <f>'Part VII-Pro Forma'!H60</f>
        <v>5401.3590169022209</v>
      </c>
      <c r="I1001" s="2354">
        <f>'Part VII-Pro Forma'!I60</f>
        <v>3226.0215329869534</v>
      </c>
      <c r="J1001" s="2354">
        <f>'Part VII-Pro Forma'!J60</f>
        <v>897.17672181704256</v>
      </c>
      <c r="K1001" s="2354">
        <f>'Part VII-Pro Forma'!K60</f>
        <v>-1592.2957804799662</v>
      </c>
      <c r="M1001" s="2176"/>
      <c r="N1001" s="2176"/>
    </row>
    <row r="1002" spans="1:14">
      <c r="A1002" s="877" t="str">
        <f>$A972</f>
        <v>DCR Mortgage A</v>
      </c>
      <c r="B1002" s="2355">
        <f>IF(B994=0,"",-B993/B994)</f>
        <v>1.3174456604069453</v>
      </c>
      <c r="C1002" s="2355">
        <f t="shared" ref="C1002:K1002" si="287">IF(C994=0,"",-C993/C994)</f>
        <v>1.2962188342596339</v>
      </c>
      <c r="D1002" s="2355">
        <f t="shared" si="287"/>
        <v>1.273137681751497</v>
      </c>
      <c r="E1002" s="2355">
        <f t="shared" si="287"/>
        <v>1.2481260037797308</v>
      </c>
      <c r="F1002" s="2355">
        <f t="shared" si="287"/>
        <v>1.2211047926728107</v>
      </c>
      <c r="G1002" s="2355">
        <f t="shared" si="287"/>
        <v>1.1919766917317163</v>
      </c>
      <c r="H1002" s="2355">
        <f t="shared" si="287"/>
        <v>1.1606567889702504</v>
      </c>
      <c r="I1002" s="2355">
        <f t="shared" si="287"/>
        <v>1.1270570704599536</v>
      </c>
      <c r="J1002" s="2355">
        <f t="shared" si="287"/>
        <v>1.0910863161801907</v>
      </c>
      <c r="K1002" s="2355">
        <f t="shared" si="287"/>
        <v>1.0526345467720921</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6"/>
      <c r="N1005" s="2176"/>
    </row>
    <row r="1006" spans="1:14">
      <c r="A1006" s="2356" t="s">
        <v>4195</v>
      </c>
      <c r="B1006" s="2355">
        <f>IF(AND(B994=0,B995=0,B996=0,B997=0),"",-B993/(B994+B995+B996+B997))</f>
        <v>1.3174456604069453</v>
      </c>
      <c r="C1006" s="2355">
        <f t="shared" ref="C1006:K1006" si="291">IF(AND(C994=0,C995=0,C996=0,C997=0),"",-C993/(C994+C995+C996+C997))</f>
        <v>1.2962188342596339</v>
      </c>
      <c r="D1006" s="2355">
        <f t="shared" si="291"/>
        <v>1.273137681751497</v>
      </c>
      <c r="E1006" s="2355">
        <f t="shared" si="291"/>
        <v>1.2481260037797308</v>
      </c>
      <c r="F1006" s="2355">
        <f t="shared" si="291"/>
        <v>1.2211047926728107</v>
      </c>
      <c r="G1006" s="2355">
        <f t="shared" si="291"/>
        <v>1.1919766917317163</v>
      </c>
      <c r="H1006" s="2355">
        <f t="shared" si="291"/>
        <v>1.1606567889702504</v>
      </c>
      <c r="I1006" s="2355">
        <f t="shared" si="291"/>
        <v>1.1270570704599536</v>
      </c>
      <c r="J1006" s="2355">
        <f t="shared" si="291"/>
        <v>1.0910863161801907</v>
      </c>
      <c r="K1006" s="2355">
        <f t="shared" si="291"/>
        <v>1.0526345467720921</v>
      </c>
      <c r="M1006" s="2176"/>
      <c r="N1006" s="2176"/>
    </row>
    <row r="1007" spans="1:14">
      <c r="A1007" s="877" t="s">
        <v>801</v>
      </c>
      <c r="B1007" s="2357">
        <f>IF(OR(B991="Choose mgt fee",B991="Choose One!"),"",(B985+B986+B987+B988+B989) / -(B990+B991+B992))</f>
        <v>1.2526262141728821</v>
      </c>
      <c r="C1007" s="2357">
        <f t="shared" ref="C1007:K1007" si="292">IF(OR(C991="Choose mgt fee",C991="Choose One!"),"",(C985+C986+C987+C988+C989) / -(C990+C991+C992))</f>
        <v>1.2415220591198275</v>
      </c>
      <c r="D1007" s="2357">
        <f t="shared" si="292"/>
        <v>1.2305064810649353</v>
      </c>
      <c r="E1007" s="2357">
        <f t="shared" si="292"/>
        <v>1.2195797753280295</v>
      </c>
      <c r="F1007" s="2357">
        <f t="shared" si="292"/>
        <v>1.2087421323112426</v>
      </c>
      <c r="G1007" s="2357">
        <f t="shared" si="292"/>
        <v>1.1979905723948412</v>
      </c>
      <c r="H1007" s="2357">
        <f t="shared" si="292"/>
        <v>1.1873254419461505</v>
      </c>
      <c r="I1007" s="2357">
        <f t="shared" si="292"/>
        <v>1.176746981177025</v>
      </c>
      <c r="J1007" s="2357">
        <f t="shared" si="292"/>
        <v>1.1662553325699196</v>
      </c>
      <c r="K1007" s="2357">
        <f t="shared" si="292"/>
        <v>1.1558479055576563</v>
      </c>
      <c r="M1007" s="2176"/>
      <c r="N1007" s="2176"/>
    </row>
    <row r="1008" spans="1:14">
      <c r="A1008" s="877" t="s">
        <v>2705</v>
      </c>
      <c r="B1008" s="2354">
        <f>'Part VII-Pro Forma'!B67</f>
        <v>947624.81752950849</v>
      </c>
      <c r="C1008" s="2354">
        <f>'Part VII-Pro Forma'!C67</f>
        <v>933712.85666616401</v>
      </c>
      <c r="D1008" s="2354">
        <f>'Part VII-Pro Forma'!D67</f>
        <v>919030.77483616781</v>
      </c>
      <c r="E1008" s="2354">
        <f>'Part VII-Pro Forma'!E67</f>
        <v>903535.9406441974</v>
      </c>
      <c r="F1008" s="2354">
        <f>'Part VII-Pro Forma'!F67</f>
        <v>887183.36275935418</v>
      </c>
      <c r="G1008" s="2354">
        <f>'Part VII-Pro Forma'!G67</f>
        <v>869925.55927679501</v>
      </c>
      <c r="H1008" s="2354">
        <f>'Part VII-Pro Forma'!H67</f>
        <v>851712.41984764824</v>
      </c>
      <c r="I1008" s="2354">
        <f>'Part VII-Pro Forma'!I67</f>
        <v>832491.06017688953</v>
      </c>
      <c r="J1008" s="2354">
        <f>'Part VII-Pro Forma'!J67</f>
        <v>812205.66846669291</v>
      </c>
      <c r="K1008" s="2354">
        <f>'Part VII-Pro Forma'!K67</f>
        <v>790797.34335938434</v>
      </c>
      <c r="M1008" s="2176"/>
      <c r="N1008" s="2176"/>
    </row>
    <row r="1009" spans="1:14">
      <c r="A1009" s="877" t="s">
        <v>2706</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7" t="s">
        <v>2707</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7"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6"/>
      <c r="N1012" s="2176"/>
    </row>
    <row r="1013" spans="1:14">
      <c r="B1013" s="2354"/>
      <c r="C1013" s="2354"/>
      <c r="D1013" s="2354"/>
      <c r="E1013" s="2354"/>
      <c r="F1013" s="2354"/>
      <c r="G1013" s="2354"/>
      <c r="H1013" s="2354"/>
      <c r="I1013" s="2354"/>
      <c r="J1013" s="2354"/>
      <c r="K1013" s="2354"/>
    </row>
    <row r="1014" spans="1:14">
      <c r="A1014" s="2249" t="s">
        <v>2566</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2711</v>
      </c>
      <c r="N1014" s="2253"/>
    </row>
    <row r="1015" spans="1:14">
      <c r="A1015" s="877" t="s">
        <v>2489</v>
      </c>
      <c r="B1015" s="2354">
        <f>'Part VII-Pro Forma'!B74</f>
        <v>543482.2881842911</v>
      </c>
      <c r="C1015" s="2354">
        <f>'Part VII-Pro Forma'!C74</f>
        <v>554351.93394797691</v>
      </c>
      <c r="D1015" s="2354">
        <f>'Part VII-Pro Forma'!D74</f>
        <v>565438.97262693651</v>
      </c>
      <c r="E1015" s="2354">
        <f>'Part VII-Pro Forma'!E74</f>
        <v>576747.75207947509</v>
      </c>
      <c r="F1015" s="2354">
        <f>'Part VII-Pro Forma'!F74</f>
        <v>588282.70712106465</v>
      </c>
      <c r="G1015" s="2354">
        <f>'Part VII-Pro Forma'!G74</f>
        <v>600048.36126348586</v>
      </c>
      <c r="H1015" s="2354">
        <f>'Part VII-Pro Forma'!H74</f>
        <v>612049.32848875574</v>
      </c>
      <c r="I1015" s="2354">
        <f>'Part VII-Pro Forma'!I74</f>
        <v>624290.31505853066</v>
      </c>
      <c r="J1015" s="2354">
        <f>'Part VII-Pro Forma'!J74</f>
        <v>636776.12135970138</v>
      </c>
      <c r="K1015" s="2354">
        <f>'Part VII-Pro Forma'!K74</f>
        <v>649511.64378689532</v>
      </c>
      <c r="M1015" s="2176">
        <f>'Part VII-Pro Forma'!M74</f>
        <v>0</v>
      </c>
      <c r="N1015" s="2176"/>
    </row>
    <row r="1016" spans="1:14">
      <c r="A1016" s="877" t="s">
        <v>1053</v>
      </c>
      <c r="B1016" s="2354">
        <f>'Part VII-Pro Forma'!B75</f>
        <v>10869.645763685821</v>
      </c>
      <c r="C1016" s="2354">
        <f>'Part VII-Pro Forma'!C75</f>
        <v>11087.038678959538</v>
      </c>
      <c r="D1016" s="2354">
        <f>'Part VII-Pro Forma'!D75</f>
        <v>11308.779452538729</v>
      </c>
      <c r="E1016" s="2354">
        <f>'Part VII-Pro Forma'!E75</f>
        <v>11534.955041589501</v>
      </c>
      <c r="F1016" s="2354">
        <f>'Part VII-Pro Forma'!F75</f>
        <v>11765.654142421292</v>
      </c>
      <c r="G1016" s="2354">
        <f>'Part VII-Pro Forma'!G75</f>
        <v>12000.967225269718</v>
      </c>
      <c r="H1016" s="2354">
        <f>'Part VII-Pro Forma'!H75</f>
        <v>12240.986569775114</v>
      </c>
      <c r="I1016" s="2354">
        <f>'Part VII-Pro Forma'!I75</f>
        <v>12485.806301170614</v>
      </c>
      <c r="J1016" s="2354">
        <f>'Part VII-Pro Forma'!J75</f>
        <v>12735.522427194028</v>
      </c>
      <c r="K1016" s="2354">
        <f>'Part VII-Pro Forma'!K75</f>
        <v>12990.232875737907</v>
      </c>
      <c r="M1016" s="2176"/>
      <c r="N1016" s="2176"/>
    </row>
    <row r="1017" spans="1:14">
      <c r="A1017" s="877" t="s">
        <v>2490</v>
      </c>
      <c r="B1017" s="2354">
        <f>'Part VII-Pro Forma'!B76</f>
        <v>-38804.63537635839</v>
      </c>
      <c r="C1017" s="2354">
        <f>'Part VII-Pro Forma'!C76</f>
        <v>-39580.728083885559</v>
      </c>
      <c r="D1017" s="2354">
        <f>'Part VII-Pro Forma'!D76</f>
        <v>-40372.342645563265</v>
      </c>
      <c r="E1017" s="2354">
        <f>'Part VII-Pro Forma'!E76</f>
        <v>-41179.789498474522</v>
      </c>
      <c r="F1017" s="2354">
        <f>'Part VII-Pro Forma'!F76</f>
        <v>-42003.38528844402</v>
      </c>
      <c r="G1017" s="2354">
        <f>'Part VII-Pro Forma'!G76</f>
        <v>-42843.452994212901</v>
      </c>
      <c r="H1017" s="2354">
        <f>'Part VII-Pro Forma'!H76</f>
        <v>-43700.322054097167</v>
      </c>
      <c r="I1017" s="2354">
        <f>'Part VII-Pro Forma'!I76</f>
        <v>-44574.328495179092</v>
      </c>
      <c r="J1017" s="2354">
        <f>'Part VII-Pro Forma'!J76</f>
        <v>-45465.815065082686</v>
      </c>
      <c r="K1017" s="2354">
        <f>'Part VII-Pro Forma'!K76</f>
        <v>-46375.131366384332</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638</v>
      </c>
      <c r="B1020" s="2354">
        <f>'Part VII-Pro Forma'!B79</f>
        <v>-385066.52745398827</v>
      </c>
      <c r="C1020" s="2354">
        <f>'Part VII-Pro Forma'!C79</f>
        <v>-396618.52327760786</v>
      </c>
      <c r="D1020" s="2354">
        <f>'Part VII-Pro Forma'!D79</f>
        <v>-408517.07897593611</v>
      </c>
      <c r="E1020" s="2354">
        <f>'Part VII-Pro Forma'!E79</f>
        <v>-420772.59134521423</v>
      </c>
      <c r="F1020" s="2354">
        <f>'Part VII-Pro Forma'!F79</f>
        <v>-433395.76908557059</v>
      </c>
      <c r="G1020" s="2354">
        <f>'Part VII-Pro Forma'!G79</f>
        <v>-446397.64215813769</v>
      </c>
      <c r="H1020" s="2354">
        <f>'Part VII-Pro Forma'!H79</f>
        <v>-459789.57142288191</v>
      </c>
      <c r="I1020" s="2354">
        <f>'Part VII-Pro Forma'!I79</f>
        <v>-473583.25856556831</v>
      </c>
      <c r="J1020" s="2354">
        <f>'Part VII-Pro Forma'!J79</f>
        <v>-487790.75632253534</v>
      </c>
      <c r="K1020" s="2354">
        <f>'Part VII-Pro Forma'!K79</f>
        <v>-502424.47901221138</v>
      </c>
      <c r="M1020" s="2176"/>
      <c r="N1020" s="2176"/>
    </row>
    <row r="1021" spans="1:14">
      <c r="A1021" s="877" t="s">
        <v>1153</v>
      </c>
      <c r="B1021" s="2354">
        <f>'Part VII-Pro Forma'!B80</f>
        <v>-36088</v>
      </c>
      <c r="C1021" s="2354">
        <f>'Part VII-Pro Forma'!C80</f>
        <v>-36810</v>
      </c>
      <c r="D1021" s="2354">
        <f>'Part VII-Pro Forma'!D80</f>
        <v>-37546</v>
      </c>
      <c r="E1021" s="2354">
        <f>'Part VII-Pro Forma'!E80</f>
        <v>-38297</v>
      </c>
      <c r="F1021" s="2354">
        <f>'Part VII-Pro Forma'!F80</f>
        <v>-39063</v>
      </c>
      <c r="G1021" s="2354">
        <f>'Part VII-Pro Forma'!G80</f>
        <v>-39844</v>
      </c>
      <c r="H1021" s="2354">
        <f>'Part VII-Pro Forma'!H80</f>
        <v>-40641</v>
      </c>
      <c r="I1021" s="2354">
        <f>'Part VII-Pro Forma'!I80</f>
        <v>-41454</v>
      </c>
      <c r="J1021" s="2354">
        <f>'Part VII-Pro Forma'!J80</f>
        <v>-42283</v>
      </c>
      <c r="K1021" s="2354">
        <f>'Part VII-Pro Forma'!K80</f>
        <v>-43129</v>
      </c>
      <c r="M1021" s="2176"/>
      <c r="N1021" s="2176"/>
    </row>
    <row r="1022" spans="1:14">
      <c r="A1022" s="877" t="s">
        <v>1247</v>
      </c>
      <c r="B1022" s="2354">
        <f>'Part VII-Pro Forma'!B81</f>
        <v>-28897.779754710613</v>
      </c>
      <c r="C1022" s="2354">
        <f>'Part VII-Pro Forma'!C81</f>
        <v>-29764.713147351926</v>
      </c>
      <c r="D1022" s="2354">
        <f>'Part VII-Pro Forma'!D81</f>
        <v>-30657.654541772488</v>
      </c>
      <c r="E1022" s="2354">
        <f>'Part VII-Pro Forma'!E81</f>
        <v>-31577.384178025663</v>
      </c>
      <c r="F1022" s="2354">
        <f>'Part VII-Pro Forma'!F81</f>
        <v>-32524.705703366428</v>
      </c>
      <c r="G1022" s="2354">
        <f>'Part VII-Pro Forma'!G81</f>
        <v>-33500.446874467423</v>
      </c>
      <c r="H1022" s="2354">
        <f>'Part VII-Pro Forma'!H81</f>
        <v>-34505.460280701453</v>
      </c>
      <c r="I1022" s="2354">
        <f>'Part VII-Pro Forma'!I81</f>
        <v>-35540.624089122488</v>
      </c>
      <c r="J1022" s="2354">
        <f>'Part VII-Pro Forma'!J81</f>
        <v>-36606.842811796167</v>
      </c>
      <c r="K1022" s="2354">
        <f>'Part VII-Pro Forma'!K81</f>
        <v>-37705.048096150043</v>
      </c>
      <c r="M1022" s="2176"/>
      <c r="N1022" s="2176"/>
    </row>
    <row r="1023" spans="1:14">
      <c r="A1023" s="877" t="s">
        <v>1248</v>
      </c>
      <c r="B1023" s="2354">
        <f>'Part VII-Pro Forma'!B82</f>
        <v>65494.991362919623</v>
      </c>
      <c r="C1023" s="2354">
        <f>'Part VII-Pro Forma'!C82</f>
        <v>62665.008118091209</v>
      </c>
      <c r="D1023" s="2354">
        <f>'Part VII-Pro Forma'!D82</f>
        <v>59654.675916203312</v>
      </c>
      <c r="E1023" s="2354">
        <f>'Part VII-Pro Forma'!E82</f>
        <v>56455.942099350083</v>
      </c>
      <c r="F1023" s="2354">
        <f>'Part VII-Pro Forma'!F82</f>
        <v>53061.501186104957</v>
      </c>
      <c r="G1023" s="2354">
        <f>'Part VII-Pro Forma'!G82</f>
        <v>49463.786461937649</v>
      </c>
      <c r="H1023" s="2354">
        <f>'Part VII-Pro Forma'!H82</f>
        <v>45653.961300850329</v>
      </c>
      <c r="I1023" s="2354">
        <f>'Part VII-Pro Forma'!I82</f>
        <v>41623.910209831403</v>
      </c>
      <c r="J1023" s="2354">
        <f>'Part VII-Pro Forma'!J82</f>
        <v>37365.22958748119</v>
      </c>
      <c r="K1023" s="2354">
        <f>'Part VII-Pro Forma'!K82</f>
        <v>32868.218187887513</v>
      </c>
      <c r="M1023" s="2176"/>
      <c r="N1023" s="2176"/>
    </row>
    <row r="1024" spans="1:14">
      <c r="A1024" s="877" t="str">
        <f>$A994</f>
        <v>Mortgage A</v>
      </c>
      <c r="B1024" s="2354">
        <f>'Part VII-Pro Forma'!B83</f>
        <v>-64742.72941449302</v>
      </c>
      <c r="C1024" s="2354">
        <f>'Part VII-Pro Forma'!C83</f>
        <v>-64742.72941449302</v>
      </c>
      <c r="D1024" s="2354">
        <f>'Part VII-Pro Forma'!D83</f>
        <v>-64742.72941449302</v>
      </c>
      <c r="E1024" s="2354">
        <f>'Part VII-Pro Forma'!E83</f>
        <v>-64742.72941449302</v>
      </c>
      <c r="F1024" s="2354">
        <f>'Part VII-Pro Forma'!F83</f>
        <v>-64742.72941449302</v>
      </c>
      <c r="G1024" s="2354">
        <f>'Part VII-Pro Forma'!G83</f>
        <v>-64742.72941449302</v>
      </c>
      <c r="H1024" s="2354">
        <f>'Part VII-Pro Forma'!H83</f>
        <v>-64742.72941449302</v>
      </c>
      <c r="I1024" s="2354">
        <f>'Part VII-Pro Forma'!I83</f>
        <v>-64742.72941449302</v>
      </c>
      <c r="J1024" s="2354">
        <f>'Part VII-Pro Forma'!J83</f>
        <v>-64742.72941449302</v>
      </c>
      <c r="K1024" s="2354">
        <f>'Part VII-Pro Forma'!K83</f>
        <v>-64742.72941449302</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1206</v>
      </c>
      <c r="B1029" s="2354">
        <f>'Part VII-Pro Forma'!B88</f>
        <v>-5000</v>
      </c>
      <c r="C1029" s="2354">
        <f>'Part VII-Pro Forma'!C88</f>
        <v>-5000</v>
      </c>
      <c r="D1029" s="2354">
        <f>'Part VII-Pro Forma'!D88</f>
        <v>-5000</v>
      </c>
      <c r="E1029" s="2354">
        <f>'Part VII-Pro Forma'!E88</f>
        <v>-5000</v>
      </c>
      <c r="F1029" s="2354">
        <f>'Part VII-Pro Forma'!F88</f>
        <v>-5000</v>
      </c>
      <c r="G1029" s="2354">
        <f>'Part VII-Pro Forma'!G88</f>
        <v>-5000</v>
      </c>
      <c r="H1029" s="2354">
        <f>'Part VII-Pro Forma'!H88</f>
        <v>-5000</v>
      </c>
      <c r="I1029" s="2354">
        <f>'Part VII-Pro Forma'!I88</f>
        <v>-5000</v>
      </c>
      <c r="J1029" s="2354">
        <f>'Part VII-Pro Forma'!J88</f>
        <v>-5000</v>
      </c>
      <c r="K1029" s="2354">
        <f>'Part VII-Pro Forma'!K88</f>
        <v>-5000</v>
      </c>
      <c r="M1029" s="2176"/>
      <c r="N1029" s="2176"/>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6"/>
      <c r="N1030" s="2176"/>
    </row>
    <row r="1031" spans="1:14">
      <c r="A1031" s="877" t="s">
        <v>1207</v>
      </c>
      <c r="B1031" s="2354">
        <f>'Part VII-Pro Forma'!B90</f>
        <v>-4247.7380515733967</v>
      </c>
      <c r="C1031" s="2354">
        <f>'Part VII-Pro Forma'!C90</f>
        <v>-7077.7212964018108</v>
      </c>
      <c r="D1031" s="2354">
        <f>'Part VII-Pro Forma'!D90</f>
        <v>-10088.053498289708</v>
      </c>
      <c r="E1031" s="2354">
        <f>'Part VII-Pro Forma'!E90</f>
        <v>-13286.787315142938</v>
      </c>
      <c r="F1031" s="2354">
        <f>'Part VII-Pro Forma'!F90</f>
        <v>-16681.228228388063</v>
      </c>
      <c r="G1031" s="2354">
        <f>'Part VII-Pro Forma'!G90</f>
        <v>-20278.942952555371</v>
      </c>
      <c r="H1031" s="2354">
        <f>'Part VII-Pro Forma'!H90</f>
        <v>-24088.768113642691</v>
      </c>
      <c r="I1031" s="2354">
        <f>'Part VII-Pro Forma'!I90</f>
        <v>-28118.819204661617</v>
      </c>
      <c r="J1031" s="2354">
        <f>'Part VII-Pro Forma'!J90</f>
        <v>-32377.49982701183</v>
      </c>
      <c r="K1031" s="2354">
        <f>'Part VII-Pro Forma'!K90</f>
        <v>-36874.511226605508</v>
      </c>
      <c r="M1031" s="2176"/>
      <c r="N1031" s="2176"/>
    </row>
    <row r="1032" spans="1:14">
      <c r="A1032" s="877" t="str">
        <f>$A1002</f>
        <v>DCR Mortgage A</v>
      </c>
      <c r="B1032" s="2355">
        <f>IF(B1024=0,"",-B1023/B1024)</f>
        <v>1.0116192498405574</v>
      </c>
      <c r="C1032" s="2355">
        <f t="shared" ref="C1032:K1032" si="294">IF(C1024=0,"",-C1023/C1024)</f>
        <v>0.96790803669860881</v>
      </c>
      <c r="D1032" s="2355">
        <f t="shared" si="294"/>
        <v>0.92141119868896482</v>
      </c>
      <c r="E1032" s="2355">
        <f t="shared" si="294"/>
        <v>0.87200435647237484</v>
      </c>
      <c r="F1032" s="2355">
        <f t="shared" si="294"/>
        <v>0.81957467141054519</v>
      </c>
      <c r="G1032" s="2355">
        <f t="shared" si="294"/>
        <v>0.76400526992402185</v>
      </c>
      <c r="H1032" s="2355">
        <f t="shared" si="294"/>
        <v>0.70515966369855321</v>
      </c>
      <c r="I1032" s="2355">
        <f t="shared" si="294"/>
        <v>0.6429125028595668</v>
      </c>
      <c r="J1032" s="2355">
        <f t="shared" si="294"/>
        <v>0.57713398748241185</v>
      </c>
      <c r="K1032" s="2355">
        <f t="shared" si="294"/>
        <v>0.50767427454996639</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6"/>
      <c r="N1035" s="2176"/>
    </row>
    <row r="1036" spans="1:14">
      <c r="A1036" s="2356" t="s">
        <v>4195</v>
      </c>
      <c r="B1036" s="2355">
        <f>IF(AND(B1024=0,B1025=0,B1026=0,B1027=0),"",-B1023/(B1024+B1025+B1026+B1027))</f>
        <v>1.0116192498405574</v>
      </c>
      <c r="C1036" s="2355">
        <f t="shared" ref="C1036:K1036" si="298">IF(AND(C1024=0,C1025=0,C1026=0,C1027=0),"",-C1023/(C1024+C1025+C1026+C1027))</f>
        <v>0.96790803669860881</v>
      </c>
      <c r="D1036" s="2355">
        <f t="shared" si="298"/>
        <v>0.92141119868896482</v>
      </c>
      <c r="E1036" s="2355">
        <f t="shared" si="298"/>
        <v>0.87200435647237484</v>
      </c>
      <c r="F1036" s="2355">
        <f t="shared" si="298"/>
        <v>0.81957467141054519</v>
      </c>
      <c r="G1036" s="2355">
        <f t="shared" si="298"/>
        <v>0.76400526992402185</v>
      </c>
      <c r="H1036" s="2355">
        <f t="shared" si="298"/>
        <v>0.70515966369855321</v>
      </c>
      <c r="I1036" s="2355">
        <f t="shared" si="298"/>
        <v>0.6429125028595668</v>
      </c>
      <c r="J1036" s="2355">
        <f t="shared" si="298"/>
        <v>0.57713398748241185</v>
      </c>
      <c r="K1036" s="2355">
        <f t="shared" si="298"/>
        <v>0.50767427454996639</v>
      </c>
      <c r="M1036" s="2176"/>
      <c r="N1036" s="2176"/>
    </row>
    <row r="1037" spans="1:14">
      <c r="A1037" s="877" t="s">
        <v>801</v>
      </c>
      <c r="B1037" s="2357">
        <f>IF(OR(B1021="Choose mgt fee",B1021="Choose One!"),"",(B1015+B1016+B1017+B1018+B1019) / -(B1020+B1021+B1022))</f>
        <v>1.1455275093891435</v>
      </c>
      <c r="C1037" s="2357">
        <f t="shared" ref="C1037:K1037" si="299">IF(OR(C1021="Choose mgt fee",C1021="Choose One!"),"",(C1015+C1016+C1017+C1018+C1019) / -(C1020+C1021+C1022))</f>
        <v>1.1352891259849891</v>
      </c>
      <c r="D1037" s="2357">
        <f t="shared" si="299"/>
        <v>1.1251354760176113</v>
      </c>
      <c r="E1037" s="2357">
        <f t="shared" si="299"/>
        <v>1.1150642822961334</v>
      </c>
      <c r="F1037" s="2357">
        <f t="shared" si="299"/>
        <v>1.1050757179891531</v>
      </c>
      <c r="G1037" s="2357">
        <f t="shared" si="299"/>
        <v>1.0951698688747808</v>
      </c>
      <c r="H1037" s="2357">
        <f t="shared" si="299"/>
        <v>1.0853447115077639</v>
      </c>
      <c r="I1037" s="2357">
        <f t="shared" si="299"/>
        <v>1.0756004037233311</v>
      </c>
      <c r="J1037" s="2357">
        <f t="shared" si="299"/>
        <v>1.0659370192742805</v>
      </c>
      <c r="K1037" s="2357">
        <f t="shared" si="299"/>
        <v>1.0563527435266817</v>
      </c>
      <c r="M1037" s="2176"/>
      <c r="N1037" s="2176"/>
    </row>
    <row r="1038" spans="1:14">
      <c r="A1038" s="877" t="s">
        <v>2705</v>
      </c>
      <c r="B1038" s="2354">
        <f>'Part VII-Pro Forma'!B97</f>
        <v>768203.92290944338</v>
      </c>
      <c r="C1038" s="2354">
        <f>'Part VII-Pro Forma'!C97</f>
        <v>744359.80408795073</v>
      </c>
      <c r="D1038" s="2354">
        <f>'Part VII-Pro Forma'!D97</f>
        <v>719195.75229538791</v>
      </c>
      <c r="E1038" s="2354">
        <f>'Part VII-Pro Forma'!E97</f>
        <v>692638.70032968465</v>
      </c>
      <c r="F1038" s="2354">
        <f>'Part VII-Pro Forma'!F97</f>
        <v>664611.53622579004</v>
      </c>
      <c r="G1038" s="2354">
        <f>'Part VII-Pro Forma'!G97</f>
        <v>635032.87935073138</v>
      </c>
      <c r="H1038" s="2354">
        <f>'Part VII-Pro Forma'!H97</f>
        <v>603816.84410402295</v>
      </c>
      <c r="I1038" s="2354">
        <f>'Part VII-Pro Forma'!I97</f>
        <v>570872.79053729679</v>
      </c>
      <c r="J1038" s="2354">
        <f>'Part VII-Pro Forma'!J97</f>
        <v>536105.06116904656</v>
      </c>
      <c r="K1038" s="2354">
        <f>'Part VII-Pro Forma'!K97</f>
        <v>499412.70323028986</v>
      </c>
      <c r="M1038" s="2176"/>
      <c r="N1038" s="2176"/>
    </row>
    <row r="1039" spans="1:14">
      <c r="A1039" s="877" t="s">
        <v>2706</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7" t="s">
        <v>2707</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7"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6"/>
      <c r="N1042" s="2176"/>
    </row>
    <row r="1043" spans="1:14">
      <c r="B1043" s="2354"/>
      <c r="C1043" s="2354"/>
      <c r="D1043" s="2354"/>
      <c r="E1043" s="2354"/>
      <c r="F1043" s="2354"/>
      <c r="G1043" s="2354"/>
      <c r="H1043" s="2354"/>
      <c r="I1043" s="2354"/>
      <c r="J1043" s="2354"/>
      <c r="K1043" s="2354"/>
    </row>
    <row r="1044" spans="1:14">
      <c r="A1044" s="2249" t="s">
        <v>2566</v>
      </c>
      <c r="B1044" s="2358">
        <f>K1014+1</f>
        <v>31</v>
      </c>
      <c r="C1044" s="2358">
        <f>B1044+1</f>
        <v>32</v>
      </c>
      <c r="D1044" s="2358">
        <f>C1044+1</f>
        <v>33</v>
      </c>
      <c r="E1044" s="2358">
        <f>D1044+1</f>
        <v>34</v>
      </c>
      <c r="F1044" s="2358">
        <f>E1044+1</f>
        <v>35</v>
      </c>
      <c r="G1044" s="2354"/>
      <c r="H1044" s="2354"/>
      <c r="I1044" s="2354"/>
      <c r="J1044" s="2354"/>
      <c r="K1044" s="2354"/>
      <c r="M1044" s="2253" t="s">
        <v>4157</v>
      </c>
      <c r="N1044" s="2253"/>
    </row>
    <row r="1045" spans="1:14">
      <c r="A1045" s="877" t="s">
        <v>2489</v>
      </c>
      <c r="B1045" s="2354">
        <f>'Part VII-Pro Forma'!B104</f>
        <v>662501.87666263327</v>
      </c>
      <c r="C1045" s="2354">
        <f>'Part VII-Pro Forma'!C104</f>
        <v>675751.91419588588</v>
      </c>
      <c r="D1045" s="2354">
        <f>'Part VII-Pro Forma'!D104</f>
        <v>689266.9524798037</v>
      </c>
      <c r="E1045" s="2354">
        <f>'Part VII-Pro Forma'!E104</f>
        <v>703052.29152939981</v>
      </c>
      <c r="F1045" s="2354">
        <f>'Part VII-Pro Forma'!F104</f>
        <v>717113.33735998778</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1053</v>
      </c>
      <c r="B1046" s="2354">
        <f>'Part VII-Pro Forma'!B105</f>
        <v>13250.037533252667</v>
      </c>
      <c r="C1046" s="2354">
        <f>'Part VII-Pro Forma'!C105</f>
        <v>13515.038283917716</v>
      </c>
      <c r="D1046" s="2354">
        <f>'Part VII-Pro Forma'!D105</f>
        <v>13785.339049596074</v>
      </c>
      <c r="E1046" s="2354">
        <f>'Part VII-Pro Forma'!E105</f>
        <v>14061.045830587997</v>
      </c>
      <c r="F1046" s="2354">
        <f>'Part VII-Pro Forma'!F105</f>
        <v>14342.266747199756</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2490</v>
      </c>
      <c r="B1047" s="2354">
        <f>'Part VII-Pro Forma'!B106</f>
        <v>-47302.633993712014</v>
      </c>
      <c r="C1047" s="2354">
        <f>'Part VII-Pro Forma'!C106</f>
        <v>-48248.686673586257</v>
      </c>
      <c r="D1047" s="2354">
        <f>'Part VII-Pro Forma'!D106</f>
        <v>-49213.660407057992</v>
      </c>
      <c r="E1047" s="2354">
        <f>'Part VII-Pro Forma'!E106</f>
        <v>-50197.933615199152</v>
      </c>
      <c r="F1047" s="2354">
        <f>'Part VII-Pro Forma'!F106</f>
        <v>-51201.892287503135</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638</v>
      </c>
      <c r="B1050" s="2354">
        <f>'Part VII-Pro Forma'!B109</f>
        <v>-517497.2133825777</v>
      </c>
      <c r="C1050" s="2354">
        <f>'Part VII-Pro Forma'!C109</f>
        <v>-533022.12978405517</v>
      </c>
      <c r="D1050" s="2354">
        <f>'Part VII-Pro Forma'!D109</f>
        <v>-549012.7936775767</v>
      </c>
      <c r="E1050" s="2354">
        <f>'Part VII-Pro Forma'!E109</f>
        <v>-565483.17748790397</v>
      </c>
      <c r="F1050" s="2354">
        <f>'Part VII-Pro Forma'!F109</f>
        <v>-582447.67281254102</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1153</v>
      </c>
      <c r="B1051" s="2354">
        <f>'Part VII-Pro Forma'!B110</f>
        <v>-43991</v>
      </c>
      <c r="C1051" s="2354">
        <f>'Part VII-Pro Forma'!C110</f>
        <v>-44871</v>
      </c>
      <c r="D1051" s="2354">
        <f>'Part VII-Pro Forma'!D110</f>
        <v>-45769</v>
      </c>
      <c r="E1051" s="2354">
        <f>'Part VII-Pro Forma'!E110</f>
        <v>-46684</v>
      </c>
      <c r="F1051" s="2354">
        <f>'Part VII-Pro Forma'!F110</f>
        <v>-47618</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1247</v>
      </c>
      <c r="B1052" s="2354">
        <f>'Part VII-Pro Forma'!B111</f>
        <v>-38836.199539034547</v>
      </c>
      <c r="C1052" s="2354">
        <f>'Part VII-Pro Forma'!C111</f>
        <v>-40001.285525205589</v>
      </c>
      <c r="D1052" s="2354">
        <f>'Part VII-Pro Forma'!D111</f>
        <v>-41201.324090961745</v>
      </c>
      <c r="E1052" s="2354">
        <f>'Part VII-Pro Forma'!E111</f>
        <v>-42437.363813690601</v>
      </c>
      <c r="F1052" s="2354">
        <f>'Part VII-Pro Forma'!F111</f>
        <v>-43710.484728101314</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1248</v>
      </c>
      <c r="B1053" s="2354">
        <f>'Part VII-Pro Forma'!B112</f>
        <v>28124.867280561615</v>
      </c>
      <c r="C1053" s="2354">
        <f>'Part VII-Pro Forma'!C112</f>
        <v>23123.850496956569</v>
      </c>
      <c r="D1053" s="2354">
        <f>'Part VII-Pro Forma'!D112</f>
        <v>17855.513353803399</v>
      </c>
      <c r="E1053" s="2354">
        <f>'Part VII-Pro Forma'!E112</f>
        <v>12310.862443194033</v>
      </c>
      <c r="F1053" s="2354">
        <f>'Part VII-Pro Forma'!F112</f>
        <v>6477.5542790421532</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-64742.72941449302</v>
      </c>
      <c r="C1054" s="2354">
        <f>'Part VII-Pro Forma'!C113</f>
        <v>-64742.72941449302</v>
      </c>
      <c r="D1054" s="2354">
        <f>'Part VII-Pro Forma'!D113</f>
        <v>-64742.72941449302</v>
      </c>
      <c r="E1054" s="2354">
        <f>'Part VII-Pro Forma'!E113</f>
        <v>-64742.72941449302</v>
      </c>
      <c r="F1054" s="2354">
        <f>'Part VII-Pro Forma'!F113</f>
        <v>-64742.72941449302</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1206</v>
      </c>
      <c r="B1059" s="2354">
        <f>'Part VII-Pro Forma'!B118</f>
        <v>-5000</v>
      </c>
      <c r="C1059" s="2354">
        <f>'Part VII-Pro Forma'!C118</f>
        <v>-5000</v>
      </c>
      <c r="D1059" s="2354">
        <f>'Part VII-Pro Forma'!D118</f>
        <v>-5000</v>
      </c>
      <c r="E1059" s="2354">
        <f>'Part VII-Pro Forma'!E118</f>
        <v>-5000</v>
      </c>
      <c r="F1059" s="2354">
        <f>'Part VII-Pro Forma'!F118</f>
        <v>-5000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1207</v>
      </c>
      <c r="B1061" s="2354">
        <f>'Part VII-Pro Forma'!B120</f>
        <v>-41617.862133931405</v>
      </c>
      <c r="C1061" s="2354">
        <f>'Part VII-Pro Forma'!C120</f>
        <v>-46618.878917536451</v>
      </c>
      <c r="D1061" s="2354">
        <f>'Part VII-Pro Forma'!D120</f>
        <v>-51887.216060689621</v>
      </c>
      <c r="E1061" s="2354">
        <f>'Part VII-Pro Forma'!E120</f>
        <v>-57431.866971298987</v>
      </c>
      <c r="F1061" s="2354">
        <f>'Part VII-Pro Forma'!F120</f>
        <v>-63265.175135450867</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f>IF(B1054=0,"",-B1053/B1054)</f>
        <v>0.43440966321487379</v>
      </c>
      <c r="C1062" s="2355">
        <f t="shared" ref="C1062:F1062" si="300">IF(C1054=0,"",-C1053/C1054)</f>
        <v>0.35716520922239908</v>
      </c>
      <c r="D1062" s="2355">
        <f t="shared" si="300"/>
        <v>0.27579179183950719</v>
      </c>
      <c r="E1062" s="2355">
        <f t="shared" si="300"/>
        <v>0.19015050113778767</v>
      </c>
      <c r="F1062" s="2355">
        <f t="shared" si="300"/>
        <v>0.10005068271947332</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6"/>
      <c r="N1065" s="2176"/>
    </row>
    <row r="1066" spans="1:14">
      <c r="A1066" s="2356" t="s">
        <v>4195</v>
      </c>
      <c r="B1066" s="2355">
        <f>IF(AND(B1054=0,B1055=0,B1056=0,B1057=0),"",-B1053/(B1054+B1055+B1056+B1057))</f>
        <v>0.43440966321487379</v>
      </c>
      <c r="C1066" s="2355">
        <f t="shared" ref="C1066:F1066" si="304">IF(AND(C1054=0,C1055=0,C1056=0,C1057=0),"",-C1053/(C1054+C1055+C1056+C1057))</f>
        <v>0.35716520922239908</v>
      </c>
      <c r="D1066" s="2355">
        <f t="shared" si="304"/>
        <v>0.27579179183950719</v>
      </c>
      <c r="E1066" s="2355">
        <f t="shared" si="304"/>
        <v>0.19015050113778767</v>
      </c>
      <c r="F1066" s="2355">
        <f t="shared" si="304"/>
        <v>0.10005068271947332</v>
      </c>
      <c r="G1066" s="2354"/>
      <c r="H1066" s="2354"/>
      <c r="I1066" s="2354"/>
      <c r="J1066" s="2354"/>
      <c r="K1066" s="2354"/>
      <c r="M1066" s="2176"/>
      <c r="N1066" s="2176"/>
    </row>
    <row r="1067" spans="1:14">
      <c r="A1067" s="877" t="s">
        <v>801</v>
      </c>
      <c r="B1067" s="2357">
        <f>IF(OR(B1051="Choose mgt fee",B1051="Choose One!"),"",(B1045+B1046+B1047+B1048+B1049) / -(B1050+B1051+B1052))</f>
        <v>1.0468494478571773</v>
      </c>
      <c r="C1067" s="2357">
        <f>IF(OR(C1051="Choose mgt fee",C1051="Choose One!"),"",(C1045+C1046+C1047+C1048+C1049) / -(C1050+C1051+C1052))</f>
        <v>1.0374236276037274</v>
      </c>
      <c r="D1067" s="2357">
        <f>IF(OR(D1051="Choose mgt fee",D1051="Choose One!"),"",(D1045+D1046+D1047+D1048+D1049) / -(D1050+D1051+D1052))</f>
        <v>1.0280754517768533</v>
      </c>
      <c r="E1067" s="2357">
        <f>IF(OR(E1051="Choose mgt fee",E1051="Choose One!"),"",(E1045+E1046+E1047+E1048+E1049) / -(E1050+E1051+E1052))</f>
        <v>1.0188065643704756</v>
      </c>
      <c r="F1067" s="2357">
        <f>IF(OR(F1051="Choose mgt fee",F1051="Choose One!"),"",(F1045+F1046+F1047+F1048+F1049) / -(F1050+F1051+F1052))</f>
        <v>1.0096138075034979</v>
      </c>
      <c r="G1067" s="2354"/>
      <c r="H1067" s="2354"/>
      <c r="I1067" s="2354"/>
      <c r="J1067" s="2354"/>
      <c r="K1067" s="2354"/>
      <c r="M1067" s="2176"/>
      <c r="N1067" s="2176"/>
    </row>
    <row r="1068" spans="1:14">
      <c r="A1068" s="877" t="s">
        <v>2705</v>
      </c>
      <c r="B1068" s="2354">
        <f>'Part VII-Pro Forma'!B127</f>
        <v>460689.17553465313</v>
      </c>
      <c r="C1068" s="2354">
        <f>'Part VII-Pro Forma'!C127</f>
        <v>419822.03912173613</v>
      </c>
      <c r="D1068" s="2354">
        <f>'Part VII-Pro Forma'!D127</f>
        <v>376692.63077549834</v>
      </c>
      <c r="E1068" s="2354">
        <f>'Part VII-Pro Forma'!E127</f>
        <v>331175.7184696832</v>
      </c>
      <c r="F1068" s="2354">
        <f>'Part VII-Pro Forma'!F127</f>
        <v>283139.13773982052</v>
      </c>
      <c r="G1068" s="2354"/>
      <c r="H1068" s="2354"/>
      <c r="I1068" s="2354"/>
      <c r="J1068" s="2354"/>
      <c r="K1068" s="2354"/>
      <c r="M1068" s="2176"/>
      <c r="N1068" s="2176"/>
    </row>
    <row r="1069" spans="1:14">
      <c r="A1069" s="877" t="s">
        <v>2706</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7" t="s">
        <v>2707</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7"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6"/>
      <c r="N1072" s="2176"/>
    </row>
    <row r="1074" spans="1:17">
      <c r="A1074" s="2249" t="s">
        <v>592</v>
      </c>
      <c r="B1074" s="2249"/>
      <c r="G1074" s="2249" t="s">
        <v>1068</v>
      </c>
    </row>
    <row r="1075" spans="1:17">
      <c r="B1075" s="2253"/>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2016-028 The Village on Park,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3694</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2744</v>
      </c>
      <c r="C1114" s="2366"/>
      <c r="D1114" s="2367"/>
      <c r="E1114" s="2367"/>
      <c r="F1114" s="2367"/>
      <c r="G1114" s="2367"/>
      <c r="I1114" s="2368"/>
      <c r="J1114" s="2368"/>
      <c r="K1114" s="2368"/>
      <c r="L1114" s="2268"/>
      <c r="M1114" s="2268"/>
      <c r="O1114" s="2369" t="s">
        <v>1938</v>
      </c>
      <c r="P1114" s="2276">
        <f>'Part VIII-Threshold Criteria'!P29</f>
        <v>0</v>
      </c>
      <c r="Q1114" s="2276"/>
    </row>
    <row r="1116" spans="1:17">
      <c r="B1116" s="2370" t="s">
        <v>2058</v>
      </c>
      <c r="C1116" s="519" t="s">
        <v>4165</v>
      </c>
      <c r="E1116" s="2307"/>
      <c r="F1116" s="2307"/>
      <c r="G1116" s="2307"/>
      <c r="H1116" s="2307"/>
      <c r="I1116" s="2079"/>
      <c r="J1116" s="2079"/>
      <c r="K1116" s="2079"/>
      <c r="L1116" s="2079"/>
      <c r="M1116" s="2079"/>
      <c r="O1116" s="2344" t="s">
        <v>618</v>
      </c>
      <c r="P1116" s="2371" t="str">
        <f>'Part VIII-Threshold Criteria'!P31</f>
        <v>No</v>
      </c>
      <c r="Q1116" s="2371">
        <f>'Part VIII-Threshold Criteria'!Q31</f>
        <v>0</v>
      </c>
    </row>
    <row r="1117" spans="1:17">
      <c r="B1117" s="2372" t="s">
        <v>2061</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1936</v>
      </c>
      <c r="C1118" s="2335"/>
      <c r="D1118" s="2335"/>
      <c r="E1118" s="2335"/>
      <c r="F1118" s="2335"/>
      <c r="G1118" s="2368"/>
      <c r="H1118" s="2368"/>
      <c r="I1118" s="2368"/>
      <c r="J1118" s="2368"/>
      <c r="K1118" s="2268"/>
      <c r="L1118" s="2268"/>
      <c r="M1118" s="2268"/>
      <c r="N1118" s="2268"/>
      <c r="O1118" s="2268"/>
      <c r="P1118" s="2268"/>
    </row>
    <row r="1119" spans="1:17" ht="56.25">
      <c r="A1119" s="2373" t="str">
        <f>'Part VIII-Threshold Criteria'!A34</f>
        <v>All financing commitments are provided in tab 01.</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1937</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2817</v>
      </c>
      <c r="C1123" s="2078"/>
      <c r="D1123" s="2078"/>
      <c r="E1123" s="2376"/>
      <c r="G1123" s="2276"/>
      <c r="H1123" s="2276"/>
      <c r="I1123" s="2276"/>
      <c r="J1123" s="2079"/>
      <c r="L1123" s="2377"/>
      <c r="M1123" s="2377"/>
      <c r="N1123" s="2377"/>
      <c r="O1123" s="2369" t="s">
        <v>1938</v>
      </c>
      <c r="P1123" s="2276">
        <f>'Part VIII-Threshold Criteria'!P38</f>
        <v>0</v>
      </c>
      <c r="Q1123" s="2276"/>
    </row>
    <row r="1124" spans="1:17" ht="12.75" customHeight="1">
      <c r="A1124" s="2378" t="s">
        <v>4432</v>
      </c>
      <c r="B1124" s="2378"/>
      <c r="C1124" s="2378"/>
      <c r="D1124" s="2378"/>
      <c r="E1124" s="2378"/>
      <c r="F1124" s="2378"/>
      <c r="G1124" s="2219" t="s">
        <v>2821</v>
      </c>
      <c r="H1124" s="2219"/>
      <c r="I1124" s="2367"/>
      <c r="J1124" s="2079"/>
      <c r="K1124" s="2367" t="s">
        <v>4046</v>
      </c>
      <c r="L1124" s="2367"/>
      <c r="M1124" s="2367"/>
      <c r="N1124" s="2367"/>
    </row>
    <row r="1125" spans="1:17" ht="13.5">
      <c r="A1125" s="2378"/>
      <c r="B1125" s="2378"/>
      <c r="C1125" s="2378"/>
      <c r="D1125" s="2378"/>
      <c r="E1125" s="2378"/>
      <c r="F1125" s="2378"/>
      <c r="G1125" s="2219" t="s">
        <v>359</v>
      </c>
      <c r="H1125" s="2219"/>
      <c r="I1125" s="2367"/>
      <c r="J1125" s="2079"/>
      <c r="K1125" s="519" t="s">
        <v>4047</v>
      </c>
      <c r="L1125" s="519"/>
      <c r="M1125" s="519"/>
      <c r="N1125" s="519"/>
      <c r="P1125" s="2379" t="s">
        <v>2849</v>
      </c>
      <c r="Q1125" s="2371" t="str">
        <f>'Part VIII-Threshold Criteria'!Q40</f>
        <v>Yes</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2820</v>
      </c>
      <c r="F1127" s="2381" t="s">
        <v>3697</v>
      </c>
      <c r="G1127" s="2381" t="s">
        <v>3696</v>
      </c>
      <c r="H1127" s="2381"/>
      <c r="I1127" s="2381"/>
      <c r="K1127" s="2381" t="s">
        <v>3697</v>
      </c>
      <c r="L1127" s="2381" t="s">
        <v>3696</v>
      </c>
      <c r="M1127" s="2381"/>
      <c r="N1127" s="2381"/>
    </row>
    <row r="1128" spans="1:17" ht="12.75" customHeight="1">
      <c r="A1128" s="2382" t="s">
        <v>3545</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3547</v>
      </c>
      <c r="Q1128" s="2387"/>
    </row>
    <row r="1129" spans="1:17">
      <c r="A1129" s="2382"/>
      <c r="B1129" s="2382"/>
      <c r="C1129" s="2382"/>
      <c r="D1129" s="2383" t="s">
        <v>2525</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2526</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2527</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Valdosta</v>
      </c>
      <c r="Q1131" s="2377"/>
    </row>
    <row r="1132" spans="1:17">
      <c r="C1132" s="2079"/>
      <c r="D1132" s="2383" t="s">
        <v>2528</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3556</v>
      </c>
      <c r="F1133" s="2389">
        <f>SUM(F1128:F1132)</f>
        <v>0</v>
      </c>
      <c r="G1133" s="2390"/>
      <c r="H1133" s="2391"/>
      <c r="I1133" s="2392" t="e">
        <f>SUM(I1128:I1132)</f>
        <v>#N/A</v>
      </c>
      <c r="J1133" s="2393"/>
      <c r="K1133" s="2389">
        <f>SUM(K1128:K1132)</f>
        <v>0</v>
      </c>
      <c r="L1133" s="2393"/>
      <c r="M1133" s="2391"/>
      <c r="N1133" s="2392" t="e">
        <f>SUM(N1128:N1132)</f>
        <v>#N/A</v>
      </c>
      <c r="O1133" s="2376"/>
      <c r="P1133" s="2373" t="s">
        <v>4041</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3540</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10550624</v>
      </c>
      <c r="Q1135" s="2397"/>
    </row>
    <row r="1136" spans="1:17" ht="12.75" customHeight="1">
      <c r="A1136" s="2382"/>
      <c r="B1136" s="2382"/>
      <c r="C1136" s="2382"/>
      <c r="D1136" s="2383" t="s">
        <v>2525</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2526</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4048</v>
      </c>
      <c r="Q1137" s="2373"/>
    </row>
    <row r="1138" spans="1:17" ht="12.75" customHeight="1">
      <c r="C1138" s="2079"/>
      <c r="D1138" s="2383" t="s">
        <v>2527</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2528</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3556</v>
      </c>
      <c r="F1140" s="2389">
        <f>SUM(F1135:F1139)</f>
        <v>0</v>
      </c>
      <c r="G1140" s="2390"/>
      <c r="H1140" s="2391"/>
      <c r="I1140" s="2392" t="e">
        <f>SUM(I1135:I1139)</f>
        <v>#N/A</v>
      </c>
      <c r="J1140" s="2393"/>
      <c r="K1140" s="2389">
        <f>SUM(K1135:K1139)</f>
        <v>0</v>
      </c>
      <c r="L1140" s="2393"/>
      <c r="M1140" s="2391"/>
      <c r="N1140" s="2392" t="e">
        <f>SUM(N1135:N1139)</f>
        <v>#N/A</v>
      </c>
      <c r="O1140" s="2398"/>
      <c r="P1140" s="519" t="s">
        <v>4039</v>
      </c>
      <c r="Q1140" s="519"/>
    </row>
    <row r="1141" spans="1:17">
      <c r="C1141" s="2079"/>
      <c r="D1141" s="2394"/>
      <c r="E1141" s="2394"/>
      <c r="F1141" s="2395"/>
      <c r="G1141" s="2396"/>
      <c r="I1141" s="2395"/>
      <c r="K1141" s="2395"/>
      <c r="M1141" s="2376"/>
      <c r="N1141" s="2395"/>
      <c r="O1141" s="2398"/>
    </row>
    <row r="1142" spans="1:17">
      <c r="A1142" s="2219" t="s">
        <v>3541</v>
      </c>
      <c r="C1142" s="2079"/>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2525</v>
      </c>
      <c r="E1143" s="2368">
        <v>1</v>
      </c>
      <c r="F1143" s="2384">
        <f>'Part VI-Revenues &amp; Expenses'!$K$108</f>
        <v>8</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8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4040</v>
      </c>
      <c r="Q1143" s="519"/>
    </row>
    <row r="1144" spans="1:17">
      <c r="C1144" s="2079"/>
      <c r="D1144" s="2383" t="s">
        <v>2526</v>
      </c>
      <c r="E1144" s="2368">
        <v>2</v>
      </c>
      <c r="F1144" s="2384">
        <f>'Part VI-Revenues &amp; Expenses'!$L$108</f>
        <v>40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40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2527</v>
      </c>
      <c r="E1145" s="2368">
        <v>3</v>
      </c>
      <c r="F1145" s="2384">
        <f>'Part VI-Revenues &amp; Expenses'!$M$108</f>
        <v>16</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16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2528</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2887</v>
      </c>
      <c r="Q1146" s="2400"/>
    </row>
    <row r="1147" spans="1:17" ht="13.5" customHeight="1">
      <c r="C1147" s="2079"/>
      <c r="D1147" s="2388" t="s">
        <v>3556</v>
      </c>
      <c r="F1147" s="2389">
        <f>SUM(F1142:F1146)</f>
        <v>64</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3542</v>
      </c>
      <c r="C1149" s="2079"/>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2525</v>
      </c>
      <c r="E1150" s="2368">
        <v>1</v>
      </c>
      <c r="F1150" s="2384">
        <f>'Part VI-Revenues &amp; Expenses'!$K$110</f>
        <v>0</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0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10550704</v>
      </c>
      <c r="Q1150" s="2401"/>
    </row>
    <row r="1151" spans="1:17" ht="12.75" customHeight="1">
      <c r="C1151" s="2079"/>
      <c r="D1151" s="2383" t="s">
        <v>2526</v>
      </c>
      <c r="E1151" s="2368">
        <v>2</v>
      </c>
      <c r="F1151" s="2384">
        <f>'Part VI-Revenues &amp; Expenses'!$L$110</f>
        <v>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0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2527</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2846</v>
      </c>
      <c r="Q1152" s="2220"/>
    </row>
    <row r="1153" spans="1:17">
      <c r="C1153" s="2079"/>
      <c r="D1153" s="2383" t="s">
        <v>2528</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3556</v>
      </c>
      <c r="F1154" s="2389">
        <f>SUM(F1149:F1153)</f>
        <v>0</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3557</v>
      </c>
      <c r="B1156" s="2079"/>
      <c r="C1156" s="2079"/>
      <c r="D1156" s="2079"/>
      <c r="E1156" s="2260"/>
      <c r="F1156" s="2405">
        <f>F1133+F1140+F1147+F1154</f>
        <v>64</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1936</v>
      </c>
      <c r="D1157" s="2308"/>
      <c r="E1157" s="2308"/>
      <c r="F1157" s="2308"/>
      <c r="G1157" s="2308"/>
      <c r="H1157" s="2307"/>
      <c r="I1157" s="2368"/>
      <c r="J1157" s="2368"/>
      <c r="K1157" s="2374" t="s">
        <v>1937</v>
      </c>
      <c r="L1157" s="2268"/>
      <c r="M1157" s="2268"/>
      <c r="N1157" s="2268"/>
      <c r="O1157" s="2268"/>
      <c r="P1157" s="2268"/>
      <c r="Q1157" s="2268"/>
    </row>
    <row r="1158" spans="1:17" ht="67.5">
      <c r="A1158" s="2373" t="str">
        <f>'Part VIII-Threshold Criteria'!A73</f>
        <v>This development meets the threshold for cost limits.</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1234</v>
      </c>
      <c r="C1160" s="2078"/>
      <c r="D1160" s="2078"/>
      <c r="E1160" s="2376"/>
      <c r="F1160" s="2376"/>
      <c r="G1160" s="2396" t="s">
        <v>101</v>
      </c>
      <c r="H1160" s="2376"/>
      <c r="J1160" s="2367" t="str">
        <f>'Part I-Project Information'!$H$67</f>
        <v>Family</v>
      </c>
      <c r="K1160" s="2367"/>
      <c r="L1160" s="2367"/>
      <c r="O1160" s="2369" t="s">
        <v>1938</v>
      </c>
      <c r="P1160" s="2276">
        <f>'Part VIII-Threshold Criteria'!P75</f>
        <v>0</v>
      </c>
      <c r="Q1160" s="2276"/>
    </row>
    <row r="1161" spans="1:17">
      <c r="B1161" s="2308" t="s">
        <v>1936</v>
      </c>
      <c r="D1161" s="2308"/>
      <c r="E1161" s="2308"/>
      <c r="F1161" s="2308"/>
      <c r="G1161" s="2308"/>
      <c r="H1161" s="2307"/>
      <c r="I1161" s="2368"/>
      <c r="J1161" s="2368"/>
      <c r="K1161" s="2374" t="s">
        <v>1937</v>
      </c>
      <c r="L1161" s="2268"/>
      <c r="M1161" s="2268"/>
      <c r="N1161" s="2268"/>
      <c r="O1161" s="2268"/>
      <c r="P1161" s="2268"/>
      <c r="Q1161" s="2268"/>
    </row>
    <row r="1162" spans="1:17" ht="45">
      <c r="A1162" s="2373" t="str">
        <f>'Part VIII-Threshold Criteria'!A77</f>
        <v>This is a Family development.</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2745</v>
      </c>
      <c r="C1164" s="2404"/>
      <c r="D1164" s="2376"/>
      <c r="E1164" s="2376"/>
      <c r="F1164" s="2376"/>
      <c r="G1164" s="2376"/>
      <c r="H1164" s="2376"/>
      <c r="I1164" s="2376"/>
      <c r="J1164" s="2376"/>
      <c r="K1164" s="2376"/>
      <c r="L1164" s="2376"/>
      <c r="M1164" s="2376"/>
      <c r="O1164" s="2369" t="s">
        <v>1938</v>
      </c>
      <c r="P1164" s="2276">
        <f>'Part VIII-Threshold Criteria'!P79</f>
        <v>0</v>
      </c>
      <c r="Q1164" s="2276"/>
    </row>
    <row r="1166" spans="1:17">
      <c r="B1166" s="2407" t="s">
        <v>2058</v>
      </c>
      <c r="C1166" s="2396" t="s">
        <v>4148</v>
      </c>
      <c r="D1166" s="2396"/>
      <c r="E1166" s="2396"/>
      <c r="F1166" s="2396"/>
      <c r="G1166" s="2396"/>
      <c r="H1166" s="2396"/>
      <c r="I1166" s="2396"/>
      <c r="J1166" s="2408" t="s">
        <v>4149</v>
      </c>
      <c r="K1166" s="2396"/>
      <c r="L1166" s="2396"/>
      <c r="M1166" s="2396"/>
      <c r="O1166" s="2373"/>
      <c r="P1166" s="2371" t="str">
        <f>'Part VIII-Threshold Criteria'!P81</f>
        <v>Agree</v>
      </c>
    </row>
    <row r="1167" spans="1:17">
      <c r="B1167" s="2404" t="s">
        <v>2061</v>
      </c>
      <c r="C1167" s="2307" t="s">
        <v>3887</v>
      </c>
      <c r="D1167" s="2307"/>
      <c r="E1167" s="2307"/>
      <c r="F1167" s="2307"/>
      <c r="G1167" s="2307"/>
      <c r="H1167" s="2307"/>
      <c r="I1167" s="2307"/>
      <c r="J1167" s="2307"/>
      <c r="K1167" s="2307"/>
      <c r="L1167" s="2307"/>
      <c r="M1167" s="2307"/>
      <c r="O1167" s="2307"/>
      <c r="P1167" s="2307"/>
      <c r="Q1167" s="2307"/>
    </row>
    <row r="1168" spans="1:17" ht="78.75">
      <c r="A1168" s="2409"/>
      <c r="B1168" s="2344" t="s">
        <v>1803</v>
      </c>
      <c r="C1168" s="2307" t="s">
        <v>3755</v>
      </c>
      <c r="E1168" s="2302"/>
      <c r="F1168" s="2302"/>
      <c r="G1168" s="2302"/>
      <c r="H1168" s="2079"/>
      <c r="I1168" s="519" t="s">
        <v>2809</v>
      </c>
      <c r="J1168" s="2410" t="str">
        <f>'Part VIII-Threshold Criteria'!J83</f>
        <v>Holiday and semi-monthly birthday parties, pot-luck dinners</v>
      </c>
      <c r="K1168" s="2410"/>
      <c r="L1168" s="2410"/>
      <c r="M1168" s="2410"/>
      <c r="N1168" s="2410"/>
      <c r="O1168" s="2410"/>
      <c r="P1168" s="2410"/>
      <c r="Q1168" s="2410"/>
    </row>
    <row r="1169" spans="1:17" ht="45">
      <c r="A1169" s="2409"/>
      <c r="B1169" s="2344" t="s">
        <v>1804</v>
      </c>
      <c r="C1169" s="2307" t="s">
        <v>3885</v>
      </c>
      <c r="E1169" s="2302"/>
      <c r="F1169" s="2302"/>
      <c r="G1169" s="2302"/>
      <c r="H1169" s="2079"/>
      <c r="I1169" s="519" t="s">
        <v>2809</v>
      </c>
      <c r="J1169" s="2410" t="str">
        <f>'Part VIII-Threshold Criteria'!J84</f>
        <v>Computer training, aerobics classes</v>
      </c>
      <c r="K1169" s="2410"/>
      <c r="L1169" s="2410"/>
      <c r="M1169" s="2410"/>
      <c r="N1169" s="2410"/>
      <c r="O1169" s="2410"/>
      <c r="P1169" s="2410"/>
      <c r="Q1169" s="2410"/>
    </row>
    <row r="1170" spans="1:17">
      <c r="A1170" s="2409"/>
      <c r="B1170" s="2344" t="s">
        <v>1805</v>
      </c>
      <c r="C1170" s="2307" t="s">
        <v>3886</v>
      </c>
      <c r="E1170" s="2302"/>
      <c r="F1170" s="2302"/>
      <c r="G1170" s="2302"/>
      <c r="H1170" s="2079"/>
      <c r="I1170" s="519" t="s">
        <v>2809</v>
      </c>
      <c r="J1170" s="2410">
        <f>'Part VIII-Threshold Criteria'!J85</f>
        <v>0</v>
      </c>
      <c r="K1170" s="2410"/>
      <c r="L1170" s="2410"/>
      <c r="M1170" s="2410"/>
      <c r="N1170" s="2410"/>
      <c r="O1170" s="2410"/>
      <c r="P1170" s="2410"/>
      <c r="Q1170" s="2410"/>
    </row>
    <row r="1171" spans="1:17">
      <c r="A1171" s="2409"/>
      <c r="B1171" s="2344" t="s">
        <v>2448</v>
      </c>
      <c r="C1171" s="2307" t="s">
        <v>3558</v>
      </c>
      <c r="E1171" s="2302"/>
      <c r="I1171" s="519" t="s">
        <v>2809</v>
      </c>
      <c r="J1171" s="2410">
        <f>'Part VIII-Threshold Criteria'!J86</f>
        <v>0</v>
      </c>
      <c r="K1171" s="2410"/>
      <c r="L1171" s="2410"/>
      <c r="M1171" s="2410"/>
      <c r="N1171" s="2410"/>
      <c r="O1171" s="2410"/>
      <c r="P1171" s="2410"/>
      <c r="Q1171" s="2410"/>
    </row>
    <row r="1172" spans="1:17">
      <c r="A1172" s="2409"/>
      <c r="B1172" s="2404" t="s">
        <v>779</v>
      </c>
      <c r="C1172" s="2307" t="s">
        <v>3854</v>
      </c>
      <c r="D1172" s="2307"/>
      <c r="E1172" s="2302"/>
      <c r="J1172" s="519"/>
      <c r="K1172" s="519"/>
      <c r="L1172" s="519"/>
      <c r="M1172" s="519"/>
      <c r="N1172" s="519"/>
      <c r="O1172" s="519"/>
      <c r="P1172" s="519"/>
      <c r="Q1172" s="519"/>
    </row>
    <row r="1173" spans="1:17">
      <c r="A1173" s="2409"/>
      <c r="B1173" s="2372"/>
      <c r="C1173" s="504" t="s">
        <v>3888</v>
      </c>
      <c r="D1173" s="2336"/>
      <c r="E1173" s="2336"/>
      <c r="F1173" s="2336"/>
      <c r="G1173" s="2336"/>
      <c r="H1173" s="2336"/>
      <c r="I1173" s="2079"/>
      <c r="J1173" s="2079"/>
      <c r="K1173" s="2344" t="s">
        <v>779</v>
      </c>
      <c r="L1173" s="2367" t="str">
        <f>'Part VIII-Threshold Criteria'!L88</f>
        <v>n/a</v>
      </c>
      <c r="M1173" s="2367"/>
      <c r="N1173" s="2367"/>
      <c r="O1173" s="2367"/>
      <c r="P1173" s="2367"/>
      <c r="Q1173" s="2371">
        <f>'Part VIII-Threshold Criteria'!Q88</f>
        <v>0</v>
      </c>
    </row>
    <row r="1174" spans="1:17">
      <c r="B1174" s="2308" t="s">
        <v>1936</v>
      </c>
      <c r="D1174" s="2308"/>
      <c r="E1174" s="2308"/>
      <c r="F1174" s="2308"/>
      <c r="G1174" s="2308"/>
      <c r="H1174" s="2307"/>
      <c r="I1174" s="2368"/>
      <c r="J1174" s="2368"/>
      <c r="K1174" s="2374" t="s">
        <v>1937</v>
      </c>
      <c r="L1174" s="2268"/>
      <c r="M1174" s="2268"/>
      <c r="N1174" s="2268"/>
      <c r="O1174" s="2268"/>
      <c r="P1174" s="2268"/>
      <c r="Q1174" s="2268"/>
    </row>
    <row r="1175" spans="1:17" ht="56.25">
      <c r="A1175" s="2373" t="str">
        <f>'Part VIII-Threshold Criteria'!A90</f>
        <v>We agree to the required services selected above.</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2746</v>
      </c>
      <c r="C1177" s="2248"/>
      <c r="D1177" s="2376"/>
      <c r="E1177" s="2376"/>
      <c r="F1177" s="2376"/>
      <c r="G1177" s="2376"/>
      <c r="H1177" s="2376"/>
      <c r="I1177" s="2376"/>
      <c r="J1177" s="2376"/>
      <c r="K1177" s="2376"/>
      <c r="O1177" s="2369" t="s">
        <v>1938</v>
      </c>
      <c r="P1177" s="2276">
        <f>'Part VIII-Threshold Criteria'!P92</f>
        <v>0</v>
      </c>
      <c r="Q1177" s="2276"/>
    </row>
    <row r="1179" spans="1:17">
      <c r="B1179" s="2372" t="s">
        <v>2058</v>
      </c>
      <c r="C1179" s="504" t="s">
        <v>2545</v>
      </c>
      <c r="D1179" s="2336"/>
      <c r="E1179" s="2336"/>
      <c r="F1179" s="2336"/>
      <c r="G1179" s="2336"/>
      <c r="H1179" s="2336"/>
      <c r="I1179" s="2079"/>
      <c r="J1179" s="2079"/>
      <c r="K1179" s="2079"/>
      <c r="L1179" s="2344" t="s">
        <v>2058</v>
      </c>
      <c r="M1179" s="2367" t="str">
        <f>'Part VIII-Threshold Criteria'!M94</f>
        <v>Novogradac and Company, LLP</v>
      </c>
      <c r="N1179" s="2367"/>
      <c r="O1179" s="2367"/>
      <c r="P1179" s="2079"/>
      <c r="Q1179" s="2371">
        <f>'Part VIII-Threshold Criteria'!Q94</f>
        <v>0</v>
      </c>
    </row>
    <row r="1180" spans="1:17">
      <c r="B1180" s="2372" t="s">
        <v>2061</v>
      </c>
      <c r="C1180" s="519" t="s">
        <v>2113</v>
      </c>
      <c r="D1180" s="2336"/>
      <c r="E1180" s="2336"/>
      <c r="F1180" s="2336"/>
      <c r="L1180" s="2344" t="s">
        <v>2061</v>
      </c>
      <c r="M1180" s="2367" t="str">
        <f>'Part VIII-Threshold Criteria'!M95</f>
        <v>8 Months</v>
      </c>
      <c r="N1180" s="2367"/>
      <c r="O1180" s="2367"/>
      <c r="P1180" s="2079"/>
      <c r="Q1180" s="2371">
        <f>'Part VIII-Threshold Criteria'!Q95</f>
        <v>0</v>
      </c>
    </row>
    <row r="1181" spans="1:17">
      <c r="B1181" s="2372" t="s">
        <v>779</v>
      </c>
      <c r="C1181" s="519" t="s">
        <v>3018</v>
      </c>
      <c r="D1181" s="2336"/>
      <c r="E1181" s="2336"/>
      <c r="F1181" s="2336"/>
      <c r="L1181" s="2344" t="s">
        <v>779</v>
      </c>
      <c r="M1181" s="2411">
        <f>'Part VIII-Threshold Criteria'!M96</f>
        <v>0.95499999999999996</v>
      </c>
      <c r="N1181" s="2411"/>
      <c r="O1181" s="2411"/>
      <c r="P1181" s="2412"/>
      <c r="Q1181" s="2371">
        <f>'Part VIII-Threshold Criteria'!Q96</f>
        <v>0</v>
      </c>
    </row>
    <row r="1182" spans="1:17">
      <c r="B1182" s="2372" t="s">
        <v>2193</v>
      </c>
      <c r="C1182" s="519" t="s">
        <v>4049</v>
      </c>
      <c r="D1182" s="2336"/>
      <c r="E1182" s="2336"/>
      <c r="F1182" s="2336"/>
      <c r="L1182" s="2344" t="s">
        <v>2193</v>
      </c>
      <c r="M1182" s="2411">
        <f>'Part VIII-Threshold Criteria'!M97</f>
        <v>2.3E-2</v>
      </c>
      <c r="N1182" s="2411"/>
      <c r="O1182" s="2411"/>
      <c r="P1182" s="2412"/>
      <c r="Q1182" s="2371">
        <f>'Part VIII-Threshold Criteria'!Q97</f>
        <v>0</v>
      </c>
    </row>
    <row r="1183" spans="1:17" ht="12.75" customHeight="1">
      <c r="B1183" s="2370" t="s">
        <v>1801</v>
      </c>
      <c r="C1183" s="2373" t="s">
        <v>3717</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2463</v>
      </c>
      <c r="E1184" s="2307" t="s">
        <v>641</v>
      </c>
      <c r="F1184" s="2307"/>
      <c r="H1184" s="519"/>
      <c r="I1184" s="2368" t="s">
        <v>2463</v>
      </c>
      <c r="J1184" s="2307" t="s">
        <v>641</v>
      </c>
      <c r="K1184" s="2307"/>
      <c r="M1184" s="519"/>
      <c r="N1184" s="2368" t="s">
        <v>2463</v>
      </c>
      <c r="O1184" s="2307" t="s">
        <v>641</v>
      </c>
      <c r="P1184" s="2307"/>
      <c r="Q1184" s="2344"/>
    </row>
    <row r="1185" spans="1:17">
      <c r="B1185" s="2372"/>
      <c r="C1185" s="519">
        <v>1</v>
      </c>
      <c r="D1185" s="2371">
        <f>'Part VIII-Threshold Criteria'!D100</f>
        <v>0</v>
      </c>
      <c r="E1185" s="2367">
        <f>'Part VIII-Threshold Criteria'!E100</f>
        <v>0</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9"/>
      <c r="J1187" s="2079"/>
      <c r="K1187" s="2336"/>
      <c r="L1187" s="2302"/>
      <c r="M1187" s="2302"/>
      <c r="O1187" s="2344" t="s">
        <v>1802</v>
      </c>
      <c r="P1187" s="2371">
        <f>'Part VIII-Threshold Criteria'!P102</f>
        <v>0</v>
      </c>
      <c r="Q1187" s="2371">
        <f>'Part VIII-Threshold Criteria'!Q102</f>
        <v>0</v>
      </c>
    </row>
    <row r="1188" spans="1:17">
      <c r="B1188" s="2308" t="s">
        <v>1936</v>
      </c>
      <c r="D1188" s="2308"/>
      <c r="E1188" s="2308"/>
      <c r="F1188" s="2308"/>
      <c r="G1188" s="2308"/>
      <c r="H1188" s="2307"/>
      <c r="I1188" s="2368"/>
      <c r="J1188" s="2368"/>
      <c r="K1188" s="2368"/>
      <c r="L1188" s="2268"/>
      <c r="M1188" s="2268"/>
      <c r="N1188" s="2268"/>
      <c r="O1188" s="2268"/>
      <c r="P1188" s="2268"/>
      <c r="Q1188" s="2268"/>
    </row>
    <row r="1189" spans="1:17" ht="112.5">
      <c r="A1189" s="2373" t="str">
        <f>'Part VIII-Threshold Criteria'!A104</f>
        <v>The project meets all of the market feasibility requirements. Please see Tab 5 for the market study.</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1937</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2747</v>
      </c>
      <c r="C1192" s="2248"/>
      <c r="D1192" s="2376"/>
      <c r="E1192" s="2376"/>
      <c r="F1192" s="2376"/>
      <c r="G1192" s="2376"/>
      <c r="H1192" s="2376"/>
      <c r="I1192" s="2376"/>
      <c r="J1192" s="2376"/>
      <c r="K1192" s="2376"/>
      <c r="L1192" s="2376"/>
      <c r="M1192" s="2376"/>
      <c r="O1192" s="2369" t="s">
        <v>1938</v>
      </c>
      <c r="P1192" s="2276">
        <f>'Part VIII-Threshold Criteria'!P107</f>
        <v>0</v>
      </c>
      <c r="Q1192" s="2276"/>
    </row>
    <row r="1194" spans="1:17">
      <c r="B1194" s="2372" t="s">
        <v>2058</v>
      </c>
      <c r="C1194" s="519" t="s">
        <v>511</v>
      </c>
      <c r="D1194" s="519"/>
      <c r="E1194" s="519"/>
      <c r="F1194" s="519"/>
      <c r="G1194" s="519"/>
      <c r="H1194" s="519"/>
      <c r="I1194" s="519"/>
      <c r="J1194" s="519"/>
      <c r="K1194" s="519"/>
      <c r="L1194" s="519"/>
      <c r="M1194" s="519"/>
      <c r="O1194" s="2344" t="s">
        <v>2058</v>
      </c>
      <c r="P1194" s="2371" t="str">
        <f>'Part VIII-Threshold Criteria'!P109</f>
        <v>No</v>
      </c>
      <c r="Q1194" s="2371">
        <f>'Part VIII-Threshold Criteria'!Q109</f>
        <v>0</v>
      </c>
    </row>
    <row r="1195" spans="1:17">
      <c r="B1195" s="2372" t="s">
        <v>2061</v>
      </c>
      <c r="C1195" s="519" t="s">
        <v>1353</v>
      </c>
      <c r="D1195" s="519"/>
      <c r="E1195" s="519"/>
      <c r="F1195" s="519"/>
      <c r="G1195" s="519"/>
      <c r="H1195" s="519"/>
      <c r="I1195" s="519"/>
      <c r="J1195" s="519"/>
      <c r="K1195" s="519"/>
      <c r="L1195" s="2307"/>
      <c r="M1195" s="2307"/>
      <c r="O1195" s="2344" t="s">
        <v>2061</v>
      </c>
      <c r="P1195" s="2371" t="str">
        <f>'Part VIII-Threshold Criteria'!P110</f>
        <v>No</v>
      </c>
      <c r="Q1195" s="2371">
        <f>'Part VIII-Threshold Criteria'!Q110</f>
        <v>0</v>
      </c>
    </row>
    <row r="1196" spans="1:17">
      <c r="A1196" s="2413"/>
      <c r="B1196" s="519"/>
      <c r="D1196" s="519" t="s">
        <v>573</v>
      </c>
      <c r="E1196" s="2079"/>
      <c r="F1196" s="2079"/>
      <c r="G1196" s="2079"/>
      <c r="H1196" s="2079"/>
      <c r="I1196" s="2079"/>
      <c r="L1196" s="2344" t="s">
        <v>574</v>
      </c>
      <c r="M1196" s="2367">
        <f>'Part VIII-Threshold Criteria'!M111</f>
        <v>0</v>
      </c>
      <c r="N1196" s="2367"/>
      <c r="O1196" s="2367"/>
      <c r="P1196" s="2079"/>
      <c r="Q1196" s="2371">
        <f>'Part VIII-Threshold Criteria'!Q111</f>
        <v>0</v>
      </c>
    </row>
    <row r="1197" spans="1:17" ht="12.75" customHeight="1">
      <c r="A1197" s="2409"/>
      <c r="B1197" s="2368"/>
      <c r="C1197" s="2414" t="s">
        <v>1803</v>
      </c>
      <c r="D1197" s="2336" t="s">
        <v>3730</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3731</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9" t="s">
        <v>3019</v>
      </c>
      <c r="E1199" s="519"/>
      <c r="F1199" s="519"/>
      <c r="G1199" s="519"/>
      <c r="H1199" s="519"/>
      <c r="I1199" s="519"/>
      <c r="J1199" s="519"/>
      <c r="K1199" s="519"/>
      <c r="L1199" s="519"/>
      <c r="M1199" s="519"/>
      <c r="O1199" s="2414" t="s">
        <v>1805</v>
      </c>
      <c r="P1199" s="2371">
        <f>'Part VIII-Threshold Criteria'!P114</f>
        <v>0</v>
      </c>
      <c r="Q1199" s="2371">
        <f>'Part VIII-Threshold Criteria'!Q114</f>
        <v>0</v>
      </c>
    </row>
    <row r="1200" spans="1:17" ht="12.75" customHeight="1">
      <c r="A1200" s="2409"/>
      <c r="B1200" s="2415"/>
      <c r="C1200" s="2414" t="s">
        <v>2448</v>
      </c>
      <c r="D1200" s="2373" t="s">
        <v>2789</v>
      </c>
      <c r="E1200" s="2373"/>
      <c r="F1200" s="2373"/>
      <c r="G1200" s="2373"/>
      <c r="H1200" s="2373"/>
      <c r="I1200" s="2373"/>
      <c r="J1200" s="2373"/>
      <c r="K1200" s="2373"/>
      <c r="L1200" s="2373"/>
      <c r="M1200" s="2373"/>
      <c r="N1200" s="2373"/>
      <c r="O1200" s="2414" t="s">
        <v>2448</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f>'Part VIII-Threshold Criteria'!P116</f>
        <v>0</v>
      </c>
      <c r="Q1201" s="2371">
        <f>'Part VIII-Threshold Criteria'!Q116</f>
        <v>0</v>
      </c>
    </row>
    <row r="1202" spans="1:17">
      <c r="B1202" s="2372" t="s">
        <v>2193</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t="str">
        <f>'Part VIII-Threshold Criteria'!P118</f>
        <v>Yes</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t="str">
        <f>'Part VIII-Threshold Criteria'!P119</f>
        <v>No</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t="str">
        <f>'Part VIII-Threshold Criteria'!P120</f>
        <v>No</v>
      </c>
      <c r="Q1205" s="2371">
        <f>'Part VIII-Threshold Criteria'!Q120</f>
        <v>0</v>
      </c>
    </row>
    <row r="1206" spans="1:17">
      <c r="B1206" s="2308" t="s">
        <v>1936</v>
      </c>
      <c r="D1206" s="2308"/>
      <c r="E1206" s="2308"/>
      <c r="F1206" s="2308"/>
      <c r="G1206" s="2308"/>
      <c r="H1206" s="2307"/>
      <c r="I1206" s="2368"/>
      <c r="J1206" s="2368"/>
      <c r="K1206" s="2368"/>
      <c r="L1206" s="2268"/>
      <c r="M1206" s="2268"/>
      <c r="N1206" s="2268"/>
      <c r="O1206" s="2268"/>
      <c r="P1206" s="2268"/>
      <c r="Q1206" s="2268"/>
    </row>
    <row r="1207" spans="1:17" ht="45">
      <c r="A1207" s="2373" t="str">
        <f>'Part VIII-Threshold Criteria'!A122</f>
        <v>The property was rezoned.</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1937</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2748</v>
      </c>
      <c r="C1211" s="2307"/>
      <c r="D1211" s="2376"/>
      <c r="E1211" s="2376"/>
      <c r="F1211" s="2376"/>
      <c r="G1211" s="2376"/>
      <c r="H1211" s="2376"/>
      <c r="I1211" s="2376"/>
      <c r="J1211" s="2376"/>
      <c r="K1211" s="2376"/>
      <c r="L1211" s="2376"/>
      <c r="M1211" s="2376"/>
      <c r="O1211" s="2369" t="s">
        <v>1938</v>
      </c>
      <c r="P1211" s="2276">
        <f>'Part VIII-Threshold Criteria'!P126</f>
        <v>0</v>
      </c>
      <c r="Q1211" s="2276"/>
    </row>
    <row r="1213" spans="1:17">
      <c r="B1213" s="2372" t="s">
        <v>2058</v>
      </c>
      <c r="C1213" s="519" t="s">
        <v>4050</v>
      </c>
      <c r="D1213" s="2336"/>
      <c r="E1213" s="2336"/>
      <c r="F1213" s="2336"/>
      <c r="G1213" s="2336"/>
      <c r="H1213" s="2336"/>
      <c r="I1213" s="2079"/>
      <c r="J1213" s="2079"/>
      <c r="K1213" s="2079"/>
      <c r="L1213" s="2344" t="s">
        <v>2058</v>
      </c>
      <c r="M1213" s="2367" t="str">
        <f>'Part VIII-Threshold Criteria'!M128</f>
        <v>Geotechnical &amp; Environmental Consultants, Inc.</v>
      </c>
      <c r="N1213" s="2367"/>
      <c r="O1213" s="2367"/>
      <c r="P1213" s="2367"/>
      <c r="Q1213" s="2371">
        <f>'Part VIII-Threshold Criteria'!Q128</f>
        <v>0</v>
      </c>
    </row>
    <row r="1214" spans="1:17">
      <c r="B1214" s="2372" t="s">
        <v>2061</v>
      </c>
      <c r="C1214" s="519" t="s">
        <v>1595</v>
      </c>
      <c r="D1214" s="2336"/>
      <c r="E1214" s="2336"/>
      <c r="F1214" s="2336"/>
      <c r="G1214" s="2336"/>
      <c r="H1214" s="2336"/>
      <c r="I1214" s="2079"/>
      <c r="J1214" s="2079"/>
      <c r="K1214" s="2336"/>
      <c r="L1214" s="2336"/>
      <c r="M1214" s="2302"/>
      <c r="O1214" s="2344" t="s">
        <v>2061</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9"/>
      <c r="J1215" s="2079"/>
      <c r="K1215" s="2336"/>
      <c r="L1215" s="2302"/>
      <c r="M1215" s="2302"/>
      <c r="O1215" s="2344" t="s">
        <v>779</v>
      </c>
      <c r="P1215" s="2371" t="str">
        <f>'Part VIII-Threshold Criteria'!P130</f>
        <v>Yes</v>
      </c>
      <c r="Q1215" s="2371">
        <f>'Part VIII-Threshold Criteria'!Q130</f>
        <v>0</v>
      </c>
    </row>
    <row r="1216" spans="1:17">
      <c r="B1216" s="2372"/>
      <c r="C1216" s="2344" t="s">
        <v>1803</v>
      </c>
      <c r="D1216" s="519" t="s">
        <v>2788</v>
      </c>
      <c r="E1216" s="2336"/>
      <c r="F1216" s="2336"/>
      <c r="G1216" s="2336"/>
      <c r="H1216" s="2336"/>
      <c r="I1216" s="2079"/>
      <c r="J1216" s="2079"/>
      <c r="K1216" s="2336"/>
      <c r="L1216" s="2344" t="s">
        <v>1803</v>
      </c>
      <c r="M1216" s="2367" t="str">
        <f>'Part VIII-Threshold Criteria'!M131</f>
        <v>Geotechnical &amp; Environmental Consultants, Inc.</v>
      </c>
      <c r="N1216" s="2367"/>
      <c r="O1216" s="2367"/>
      <c r="P1216" s="2367"/>
      <c r="Q1216" s="2371">
        <f>'Part VIII-Threshold Criteria'!Q131</f>
        <v>0</v>
      </c>
    </row>
    <row r="1217" spans="2:17">
      <c r="B1217" s="2288"/>
      <c r="C1217" s="2344" t="s">
        <v>1804</v>
      </c>
      <c r="D1217" s="519" t="s">
        <v>3732</v>
      </c>
      <c r="E1217" s="2079"/>
      <c r="F1217" s="2079"/>
      <c r="G1217" s="2079"/>
      <c r="H1217" s="519"/>
      <c r="I1217" s="2079"/>
      <c r="J1217" s="2079"/>
      <c r="K1217" s="2336"/>
      <c r="L1217" s="2302"/>
      <c r="M1217" s="2302"/>
      <c r="O1217" s="2344" t="s">
        <v>1804</v>
      </c>
      <c r="P1217" s="2371" t="str">
        <f>'Part VIII-Threshold Criteria'!P132</f>
        <v>&lt;65</v>
      </c>
      <c r="Q1217" s="2371">
        <f>'Part VIII-Threshold Criteria'!Q132</f>
        <v>0</v>
      </c>
    </row>
    <row r="1218" spans="2:17">
      <c r="B1218" s="2288"/>
      <c r="C1218" s="2344" t="s">
        <v>1805</v>
      </c>
      <c r="D1218" s="519" t="s">
        <v>1433</v>
      </c>
      <c r="E1218" s="2079"/>
      <c r="F1218" s="2079"/>
      <c r="G1218" s="2079"/>
      <c r="H1218" s="519"/>
      <c r="I1218" s="2079"/>
      <c r="J1218" s="2079"/>
      <c r="K1218" s="2336"/>
      <c r="L1218" s="2302"/>
      <c r="M1218" s="2302"/>
      <c r="N1218" s="2302"/>
      <c r="O1218" s="2302"/>
    </row>
    <row r="1219" spans="2:17" ht="101.25">
      <c r="B1219" s="2268"/>
      <c r="C1219" s="2344"/>
      <c r="D1219" s="2336" t="str">
        <f>'Part VIII-Threshold Criteria'!D134</f>
        <v>All locations are less than 65 DNL, therefore no interior or exterior noise mitigation is required.</v>
      </c>
      <c r="E1219" s="2336"/>
      <c r="F1219" s="2336"/>
      <c r="G1219" s="2336"/>
      <c r="H1219" s="2336"/>
      <c r="I1219" s="2336"/>
      <c r="J1219" s="2336"/>
      <c r="K1219" s="2336"/>
      <c r="L1219" s="2336"/>
      <c r="M1219" s="2336"/>
      <c r="N1219" s="2336"/>
      <c r="O1219" s="2336"/>
      <c r="P1219" s="2336"/>
      <c r="Q1219" s="2336"/>
    </row>
    <row r="1220" spans="2:17">
      <c r="B1220" s="2372" t="s">
        <v>2193</v>
      </c>
      <c r="C1220" s="519" t="s">
        <v>1307</v>
      </c>
      <c r="D1220" s="2336"/>
      <c r="E1220" s="2336"/>
      <c r="F1220" s="2336"/>
      <c r="G1220" s="2336"/>
      <c r="H1220" s="2336"/>
      <c r="I1220" s="2079"/>
      <c r="J1220" s="2079"/>
      <c r="K1220" s="2336"/>
      <c r="L1220" s="2302"/>
      <c r="M1220" s="2302"/>
      <c r="N1220" s="2302"/>
      <c r="O1220" s="2344" t="s">
        <v>2193</v>
      </c>
    </row>
    <row r="1221" spans="2:17">
      <c r="B1221" s="2372"/>
      <c r="C1221" s="2344" t="s">
        <v>1803</v>
      </c>
      <c r="D1221" s="519" t="s">
        <v>154</v>
      </c>
      <c r="E1221" s="2336"/>
      <c r="F1221" s="2336"/>
      <c r="G1221" s="2336"/>
      <c r="H1221" s="2336"/>
      <c r="I1221" s="2079"/>
      <c r="J1221" s="2079"/>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9"/>
      <c r="I1222" s="2079"/>
      <c r="J1222" s="2079"/>
      <c r="K1222" s="2336"/>
      <c r="L1222" s="2302"/>
      <c r="M1222" s="2302"/>
      <c r="O1222" s="2344" t="s">
        <v>1804</v>
      </c>
      <c r="P1222" s="2371" t="str">
        <f>'Part VIII-Threshold Criteria'!P137</f>
        <v>No</v>
      </c>
      <c r="Q1222" s="2371">
        <f>'Part VIII-Threshold Criteria'!Q137</f>
        <v>0</v>
      </c>
    </row>
    <row r="1223" spans="2:17">
      <c r="B1223" s="2372"/>
      <c r="C1223" s="2344"/>
      <c r="D1223" s="519" t="s">
        <v>2724</v>
      </c>
      <c r="E1223" s="2416" t="s">
        <v>2520</v>
      </c>
      <c r="F1223" s="519" t="s">
        <v>2725</v>
      </c>
      <c r="G1223" s="2079"/>
      <c r="H1223" s="519"/>
      <c r="I1223" s="2079"/>
      <c r="J1223" s="2079"/>
      <c r="K1223" s="2336"/>
      <c r="L1223" s="2302"/>
      <c r="M1223" s="2302"/>
      <c r="O1223" s="2416" t="s">
        <v>2520</v>
      </c>
      <c r="P1223" s="2417">
        <f>'Part VIII-Threshold Criteria'!P138</f>
        <v>0</v>
      </c>
      <c r="Q1223" s="2417">
        <f>'Part VIII-Threshold Criteria'!Q138</f>
        <v>0</v>
      </c>
    </row>
    <row r="1224" spans="2:17">
      <c r="B1224" s="2372"/>
      <c r="C1224" s="2344"/>
      <c r="E1224" s="2416" t="s">
        <v>2521</v>
      </c>
      <c r="F1224" s="519" t="s">
        <v>2726</v>
      </c>
      <c r="G1224" s="2079"/>
      <c r="H1224" s="519"/>
      <c r="I1224" s="2079"/>
      <c r="J1224" s="2079"/>
      <c r="K1224" s="2336"/>
      <c r="L1224" s="2302"/>
      <c r="M1224" s="2302"/>
      <c r="O1224" s="2416" t="s">
        <v>2521</v>
      </c>
      <c r="P1224" s="2371">
        <f>'Part VIII-Threshold Criteria'!P139</f>
        <v>0</v>
      </c>
      <c r="Q1224" s="2371">
        <f>'Part VIII-Threshold Criteria'!Q139</f>
        <v>0</v>
      </c>
    </row>
    <row r="1225" spans="2:17">
      <c r="B1225" s="2372"/>
      <c r="C1225" s="2344"/>
      <c r="E1225" s="2416" t="s">
        <v>2522</v>
      </c>
      <c r="F1225" s="519" t="s">
        <v>2727</v>
      </c>
      <c r="G1225" s="2079"/>
      <c r="H1225" s="519"/>
      <c r="I1225" s="2079"/>
      <c r="J1225" s="2079"/>
      <c r="K1225" s="2336"/>
      <c r="L1225" s="2302"/>
      <c r="M1225" s="2302"/>
      <c r="O1225" s="2416" t="s">
        <v>2522</v>
      </c>
      <c r="P1225" s="2371">
        <f>'Part VIII-Threshold Criteria'!P140</f>
        <v>0</v>
      </c>
      <c r="Q1225" s="2371">
        <f>'Part VIII-Threshold Criteria'!Q140</f>
        <v>0</v>
      </c>
    </row>
    <row r="1226" spans="2:17">
      <c r="B1226" s="2372"/>
      <c r="C1226" s="2344" t="s">
        <v>1805</v>
      </c>
      <c r="D1226" s="519" t="s">
        <v>1309</v>
      </c>
      <c r="E1226" s="2336"/>
      <c r="F1226" s="2336"/>
      <c r="G1226" s="2336"/>
      <c r="H1226" s="519"/>
      <c r="I1226" s="2079"/>
      <c r="J1226" s="2079"/>
      <c r="K1226" s="2336"/>
      <c r="L1226" s="2302"/>
      <c r="M1226" s="2302"/>
      <c r="O1226" s="2344" t="s">
        <v>1805</v>
      </c>
      <c r="P1226" s="2371">
        <f>'Part VIII-Threshold Criteria'!P141</f>
        <v>0</v>
      </c>
      <c r="Q1226" s="2371">
        <f>'Part VIII-Threshold Criteria'!Q141</f>
        <v>0</v>
      </c>
    </row>
    <row r="1227" spans="2:17">
      <c r="B1227" s="2372"/>
      <c r="C1227" s="2344"/>
      <c r="D1227" s="519" t="s">
        <v>2724</v>
      </c>
      <c r="E1227" s="2416" t="s">
        <v>2520</v>
      </c>
      <c r="F1227" s="519" t="s">
        <v>2728</v>
      </c>
      <c r="G1227" s="2079"/>
      <c r="H1227" s="519"/>
      <c r="I1227" s="2079"/>
      <c r="J1227" s="2079"/>
      <c r="K1227" s="2336"/>
      <c r="L1227" s="2302"/>
      <c r="O1227" s="2416" t="s">
        <v>2520</v>
      </c>
      <c r="P1227" s="2417">
        <f>'Part VIII-Threshold Criteria'!P142</f>
        <v>0</v>
      </c>
      <c r="Q1227" s="2417">
        <f>'Part VIII-Threshold Criteria'!Q142</f>
        <v>0</v>
      </c>
    </row>
    <row r="1228" spans="2:17">
      <c r="B1228" s="2372"/>
      <c r="C1228" s="2344"/>
      <c r="E1228" s="2416" t="s">
        <v>2521</v>
      </c>
      <c r="F1228" s="519" t="s">
        <v>2729</v>
      </c>
      <c r="G1228" s="2079"/>
      <c r="H1228" s="519"/>
      <c r="I1228" s="2079"/>
      <c r="J1228" s="2079"/>
      <c r="O1228" s="2416" t="s">
        <v>2521</v>
      </c>
      <c r="P1228" s="2371">
        <f>'Part VIII-Threshold Criteria'!P143</f>
        <v>0</v>
      </c>
      <c r="Q1228" s="2371">
        <f>'Part VIII-Threshold Criteria'!Q143</f>
        <v>0</v>
      </c>
    </row>
    <row r="1229" spans="2:17">
      <c r="B1229" s="2372"/>
      <c r="C1229" s="2344"/>
      <c r="E1229" s="2416" t="s">
        <v>2522</v>
      </c>
      <c r="F1229" s="519" t="s">
        <v>2727</v>
      </c>
      <c r="G1229" s="2079"/>
      <c r="H1229" s="519"/>
      <c r="I1229" s="2079"/>
      <c r="J1229" s="2079"/>
      <c r="O1229" s="2416" t="s">
        <v>2522</v>
      </c>
      <c r="P1229" s="2371">
        <f>'Part VIII-Threshold Criteria'!P144</f>
        <v>0</v>
      </c>
      <c r="Q1229" s="2371">
        <f>'Part VIII-Threshold Criteria'!Q144</f>
        <v>0</v>
      </c>
    </row>
    <row r="1230" spans="2:17">
      <c r="B1230" s="519"/>
      <c r="C1230" s="2344" t="s">
        <v>2448</v>
      </c>
      <c r="D1230" s="519" t="s">
        <v>2730</v>
      </c>
      <c r="E1230" s="2336"/>
      <c r="F1230" s="2336"/>
      <c r="G1230" s="2336"/>
      <c r="H1230" s="2336"/>
      <c r="I1230" s="2079"/>
      <c r="J1230" s="2079"/>
      <c r="O1230" s="2344" t="s">
        <v>2448</v>
      </c>
      <c r="P1230" s="2371">
        <f>'Part VIII-Threshold Criteria'!P145</f>
        <v>0</v>
      </c>
      <c r="Q1230" s="2371">
        <f>'Part VIII-Threshold Criteria'!Q145</f>
        <v>0</v>
      </c>
    </row>
    <row r="1231" spans="2:17">
      <c r="B1231" s="2372" t="s">
        <v>1801</v>
      </c>
      <c r="C1231" s="2307" t="s">
        <v>2499</v>
      </c>
      <c r="D1231" s="2336"/>
      <c r="E1231" s="2336"/>
      <c r="F1231" s="2336"/>
      <c r="G1231" s="2336"/>
      <c r="H1231" s="2336"/>
      <c r="I1231" s="2079"/>
      <c r="J1231" s="2079"/>
      <c r="K1231" s="2336"/>
      <c r="L1231" s="2302"/>
      <c r="M1231" s="2302"/>
      <c r="N1231" s="2302"/>
      <c r="O1231" s="2302"/>
      <c r="P1231" s="2302"/>
      <c r="Q1231" s="2302"/>
    </row>
    <row r="1232" spans="2:17">
      <c r="C1232" s="2344" t="s">
        <v>1803</v>
      </c>
      <c r="D1232" s="519" t="s">
        <v>2581</v>
      </c>
      <c r="E1232" s="2336"/>
      <c r="F1232" s="2371" t="str">
        <f>'Part VIII-Threshold Criteria'!F147</f>
        <v>No</v>
      </c>
      <c r="G1232" s="2371">
        <f>'Part VIII-Threshold Criteria'!G147</f>
        <v>0</v>
      </c>
      <c r="H1232" s="2344" t="s">
        <v>1606</v>
      </c>
      <c r="I1232" s="504" t="s">
        <v>2732</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2922</v>
      </c>
      <c r="E1233" s="2336"/>
      <c r="F1233" s="2371" t="str">
        <f>'Part VIII-Threshold Criteria'!F148</f>
        <v>No</v>
      </c>
      <c r="G1233" s="2371">
        <f>'Part VIII-Threshold Criteria'!G148</f>
        <v>0</v>
      </c>
      <c r="H1233" s="2344" t="s">
        <v>1607</v>
      </c>
      <c r="I1233" s="504" t="s">
        <v>2733</v>
      </c>
      <c r="L1233" s="2371" t="str">
        <f>'Part VIII-Threshold Criteria'!L148</f>
        <v>No</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2731</v>
      </c>
      <c r="E1234" s="2336"/>
      <c r="F1234" s="2371" t="str">
        <f>'Part VIII-Threshold Criteria'!F149</f>
        <v>No</v>
      </c>
      <c r="G1234" s="2371">
        <f>'Part VIII-Threshold Criteria'!G149</f>
        <v>0</v>
      </c>
      <c r="H1234" s="2344" t="s">
        <v>100</v>
      </c>
      <c r="I1234" s="504" t="s">
        <v>2923</v>
      </c>
      <c r="L1234" s="2371" t="str">
        <f>'Part VIII-Threshold Criteria'!L149</f>
        <v>No</v>
      </c>
      <c r="M1234" s="2371">
        <f>'Part VIII-Threshold Criteria'!M149</f>
        <v>0</v>
      </c>
      <c r="N1234" s="2344" t="s">
        <v>2925</v>
      </c>
      <c r="O1234" s="519" t="s">
        <v>1610</v>
      </c>
      <c r="P1234" s="2371" t="str">
        <f>'Part VIII-Threshold Criteria'!P149</f>
        <v>No</v>
      </c>
      <c r="Q1234" s="2371">
        <f>'Part VIII-Threshold Criteria'!Q149</f>
        <v>0</v>
      </c>
    </row>
    <row r="1235" spans="1:17">
      <c r="B1235" s="519"/>
      <c r="C1235" s="2344" t="s">
        <v>2448</v>
      </c>
      <c r="D1235" s="519" t="s">
        <v>2926</v>
      </c>
      <c r="E1235" s="2336"/>
      <c r="F1235" s="2371" t="str">
        <f>'Part VIII-Threshold Criteria'!F150</f>
        <v>No</v>
      </c>
      <c r="G1235" s="2371">
        <f>'Part VIII-Threshold Criteria'!G150</f>
        <v>0</v>
      </c>
      <c r="H1235" s="2344" t="s">
        <v>530</v>
      </c>
      <c r="I1235" s="519" t="s">
        <v>2921</v>
      </c>
      <c r="L1235" s="2371" t="str">
        <f>'Part VIII-Threshold Criteria'!L150</f>
        <v>No</v>
      </c>
      <c r="M1235" s="2371">
        <f>'Part VIII-Threshold Criteria'!M150</f>
        <v>0</v>
      </c>
      <c r="O1235" s="2344"/>
    </row>
    <row r="1236" spans="1:17">
      <c r="B1236" s="519"/>
      <c r="C1236" s="2344" t="s">
        <v>3037</v>
      </c>
      <c r="D1236" s="519" t="s">
        <v>2924</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3857</v>
      </c>
      <c r="D1238" s="2336"/>
      <c r="E1238" s="2336"/>
      <c r="F1238" s="2336"/>
      <c r="G1238" s="2336"/>
      <c r="H1238" s="2336"/>
      <c r="I1238" s="2079"/>
      <c r="J1238" s="2079"/>
      <c r="K1238" s="2336"/>
      <c r="L1238" s="2336"/>
      <c r="M1238" s="2302"/>
    </row>
    <row r="1239" spans="1:17">
      <c r="A1239" s="2409"/>
      <c r="B1239" s="2079"/>
      <c r="C1239" s="2344" t="s">
        <v>1803</v>
      </c>
      <c r="D1239" s="519" t="s">
        <v>2927</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9" t="s">
        <v>508</v>
      </c>
      <c r="E1240" s="519"/>
      <c r="F1240" s="519"/>
      <c r="G1240" s="519"/>
      <c r="H1240" s="519"/>
      <c r="I1240" s="2079"/>
      <c r="J1240" s="2079"/>
      <c r="K1240" s="519"/>
      <c r="L1240" s="519"/>
      <c r="M1240" s="519"/>
      <c r="O1240" s="2344" t="s">
        <v>1804</v>
      </c>
      <c r="P1240" s="2371">
        <f>'Part VIII-Threshold Criteria'!P155</f>
        <v>0</v>
      </c>
      <c r="Q1240" s="2371">
        <f>'Part VIII-Threshold Criteria'!Q155</f>
        <v>0</v>
      </c>
    </row>
    <row r="1241" spans="1:17">
      <c r="A1241" s="2409"/>
      <c r="B1241" s="2368"/>
      <c r="C1241" s="2344" t="s">
        <v>1805</v>
      </c>
      <c r="D1241" s="519" t="s">
        <v>707</v>
      </c>
      <c r="E1241" s="519"/>
      <c r="F1241" s="519"/>
      <c r="G1241" s="519"/>
      <c r="H1241" s="519"/>
      <c r="I1241" s="2079"/>
      <c r="J1241" s="2079"/>
      <c r="K1241" s="519"/>
      <c r="L1241" s="519"/>
      <c r="M1241" s="519"/>
      <c r="O1241" s="2344" t="s">
        <v>1805</v>
      </c>
      <c r="P1241" s="2371">
        <f>'Part VIII-Threshold Criteria'!P156</f>
        <v>0</v>
      </c>
      <c r="Q1241" s="2371">
        <f>'Part VIII-Threshold Criteria'!Q156</f>
        <v>0</v>
      </c>
    </row>
    <row r="1242" spans="1:17">
      <c r="B1242" s="2372" t="s">
        <v>2021</v>
      </c>
      <c r="C1242" s="519" t="s">
        <v>1819</v>
      </c>
      <c r="D1242" s="2336"/>
      <c r="E1242" s="2336"/>
      <c r="F1242" s="2336"/>
      <c r="G1242" s="2336"/>
      <c r="H1242" s="2336"/>
      <c r="I1242" s="2079"/>
      <c r="J1242" s="2079"/>
      <c r="K1242" s="2336"/>
      <c r="L1242" s="2336"/>
      <c r="M1242" s="2302"/>
      <c r="O1242" s="2344" t="s">
        <v>2021</v>
      </c>
      <c r="P1242" s="2371">
        <f>'Part VIII-Threshold Criteria'!P157</f>
        <v>0</v>
      </c>
      <c r="Q1242" s="2371">
        <f>'Part VIII-Threshold Criteria'!Q157</f>
        <v>0</v>
      </c>
    </row>
    <row r="1243" spans="1:17">
      <c r="A1243" s="2418" t="s">
        <v>3718</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3559</v>
      </c>
      <c r="C1244" s="2373" t="s">
        <v>4433</v>
      </c>
      <c r="D1244" s="2373"/>
      <c r="E1244" s="2373"/>
      <c r="F1244" s="2373"/>
      <c r="G1244" s="2373"/>
      <c r="H1244" s="2373"/>
      <c r="I1244" s="2373"/>
      <c r="J1244" s="2373"/>
      <c r="K1244" s="2373"/>
      <c r="L1244" s="2373"/>
      <c r="M1244" s="2414" t="s">
        <v>3559</v>
      </c>
      <c r="N1244" s="2366" t="str">
        <f>'Part VIII-Threshold Criteria'!N159</f>
        <v>&lt;&lt;Select&gt;&gt;</v>
      </c>
      <c r="O1244" s="2366"/>
      <c r="P1244" s="2366" t="str">
        <f>'Part VIII-Threshold Criteria'!P159</f>
        <v>&lt;&lt;Select&gt;&gt;</v>
      </c>
      <c r="Q1244" s="2366"/>
    </row>
    <row r="1245" spans="1:17">
      <c r="A1245" s="2079"/>
      <c r="B1245" s="2372" t="s">
        <v>640</v>
      </c>
      <c r="C1245" s="2307" t="s">
        <v>1</v>
      </c>
      <c r="D1245" s="2419"/>
      <c r="E1245" s="2419"/>
      <c r="F1245" s="2079"/>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3560</v>
      </c>
      <c r="C1246" s="2307" t="s">
        <v>1469</v>
      </c>
      <c r="D1246" s="2420"/>
      <c r="E1246" s="2420"/>
      <c r="F1246" s="2420"/>
      <c r="G1246" s="2080"/>
      <c r="H1246" s="2080"/>
      <c r="I1246" s="2307"/>
      <c r="J1246" s="2079"/>
      <c r="K1246" s="2080"/>
      <c r="L1246" s="2080"/>
      <c r="M1246" s="2080"/>
      <c r="N1246" s="2079"/>
      <c r="O1246" s="2344" t="s">
        <v>3560</v>
      </c>
      <c r="P1246" s="2371">
        <f>'Part VIII-Threshold Criteria'!P161</f>
        <v>0</v>
      </c>
      <c r="Q1246" s="2371">
        <f>'Part VIII-Threshold Criteria'!Q161</f>
        <v>0</v>
      </c>
    </row>
    <row r="1247" spans="1:17">
      <c r="B1247" s="2308" t="s">
        <v>1936</v>
      </c>
      <c r="D1247" s="2308"/>
      <c r="E1247" s="2308"/>
      <c r="F1247" s="2308"/>
      <c r="G1247" s="2308"/>
      <c r="H1247" s="2307"/>
      <c r="I1247" s="2368"/>
      <c r="J1247" s="2368"/>
      <c r="K1247" s="2368"/>
      <c r="L1247" s="2268"/>
      <c r="M1247" s="2268"/>
      <c r="N1247" s="2268"/>
      <c r="O1247" s="2268"/>
      <c r="P1247" s="2268"/>
      <c r="Q1247" s="2268"/>
    </row>
    <row r="1248" spans="1:17">
      <c r="A1248" s="2373">
        <f>'Part VIII-Threshold Criteria'!A163</f>
        <v>0</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1937</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2749</v>
      </c>
      <c r="C1253" s="2248"/>
      <c r="D1253" s="2376"/>
      <c r="E1253" s="2376"/>
      <c r="F1253" s="2376"/>
      <c r="G1253" s="2376"/>
      <c r="H1253" s="2376"/>
      <c r="I1253" s="2376"/>
      <c r="J1253" s="2376"/>
      <c r="K1253" s="2376"/>
      <c r="O1253" s="2369" t="s">
        <v>1938</v>
      </c>
      <c r="P1253" s="2276">
        <f>'Part VIII-Threshold Criteria'!P168</f>
        <v>0</v>
      </c>
      <c r="Q1253" s="2276"/>
    </row>
    <row r="1254" spans="1:17">
      <c r="B1254" s="2372" t="s">
        <v>2058</v>
      </c>
      <c r="C1254" s="519" t="s">
        <v>4166</v>
      </c>
      <c r="D1254" s="519"/>
      <c r="E1254" s="519"/>
      <c r="F1254" s="519"/>
      <c r="G1254" s="519"/>
      <c r="I1254" s="519" t="s">
        <v>2811</v>
      </c>
      <c r="K1254" s="2421" t="str">
        <f>'Part VIII-Threshold Criteria'!K169</f>
        <v>12.31.2016</v>
      </c>
      <c r="L1254" s="2421"/>
      <c r="N1254" s="519"/>
      <c r="O1254" s="2344" t="s">
        <v>2058</v>
      </c>
      <c r="P1254" s="2371" t="str">
        <f>'Part VIII-Threshold Criteria'!P169</f>
        <v>Yes</v>
      </c>
      <c r="Q1254" s="2371">
        <f>'Part VIII-Threshold Criteria'!Q169</f>
        <v>0</v>
      </c>
    </row>
    <row r="1255" spans="1:17">
      <c r="A1255" s="2288"/>
      <c r="B1255" s="2372" t="s">
        <v>2061</v>
      </c>
      <c r="C1255" s="2396" t="s">
        <v>155</v>
      </c>
      <c r="D1255" s="2396"/>
      <c r="E1255" s="2396"/>
      <c r="F1255" s="2396"/>
      <c r="G1255" s="2396"/>
      <c r="H1255" s="2396"/>
      <c r="M1255" s="2344" t="s">
        <v>2061</v>
      </c>
      <c r="N1255" s="2329" t="str">
        <f>'Part VIII-Threshold Criteria'!N170</f>
        <v>Ground lease/Option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The Village on Park, LP</v>
      </c>
      <c r="L1256" s="2367"/>
      <c r="M1256" s="2367"/>
      <c r="N1256" s="2367"/>
      <c r="O1256" s="2367"/>
      <c r="P1256" s="2367"/>
      <c r="Q1256" s="2371">
        <f>'Part VIII-Threshold Criteria'!Q171</f>
        <v>0</v>
      </c>
    </row>
    <row r="1257" spans="1:17">
      <c r="A1257" s="2288"/>
      <c r="B1257" s="2372" t="s">
        <v>2193</v>
      </c>
      <c r="C1257" s="2396" t="s">
        <v>3023</v>
      </c>
      <c r="D1257" s="2396"/>
      <c r="E1257" s="2396"/>
      <c r="F1257" s="2396"/>
      <c r="G1257" s="2396"/>
      <c r="H1257" s="2396"/>
      <c r="J1257" s="2344"/>
      <c r="K1257" s="2344"/>
      <c r="L1257" s="2344"/>
      <c r="M1257" s="2344"/>
      <c r="N1257" s="2344"/>
      <c r="O1257" s="2344" t="s">
        <v>2193</v>
      </c>
      <c r="P1257" s="2371" t="str">
        <f>'Part VIII-Threshold Criteria'!P172</f>
        <v>No</v>
      </c>
      <c r="Q1257" s="2371">
        <f>'Part VIII-Threshold Criteria'!Q172</f>
        <v>0</v>
      </c>
    </row>
    <row r="1258" spans="1:17">
      <c r="B1258" s="2308" t="s">
        <v>1936</v>
      </c>
      <c r="D1258" s="2308"/>
      <c r="E1258" s="2308"/>
      <c r="F1258" s="2308"/>
      <c r="G1258" s="2308"/>
      <c r="H1258" s="2307"/>
      <c r="I1258" s="2368"/>
      <c r="J1258" s="2368"/>
      <c r="K1258" s="2368"/>
      <c r="L1258" s="2268"/>
      <c r="M1258" s="2268"/>
      <c r="N1258" s="2268"/>
      <c r="O1258" s="2268"/>
      <c r="P1258" s="2268"/>
      <c r="Q1258" s="2268"/>
    </row>
    <row r="1259" spans="1:17" ht="409.5">
      <c r="A1259" s="2373" t="str">
        <f>'Part VIII-Threshold Criteria'!A174</f>
        <v>Please see Tab 8 of the application fo site control documentation. The applicant is the entity with site control. The expiration date of 12.31.2016 is the initial closing date and applicant has the ability to extende the closing date twice for a period of 60 days each. The purchase and sale agreement was assigned to Village on Park GP, LLC, which then entered into a 50 year ground lease with the applicant, The Village on Park, LP ("Lessee") for an annual sum of $10 year.</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1937</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2750</v>
      </c>
      <c r="C1263" s="2248"/>
      <c r="D1263" s="2376"/>
      <c r="E1263" s="2376"/>
      <c r="F1263" s="2376"/>
      <c r="G1263" s="2376"/>
      <c r="H1263" s="2376"/>
      <c r="I1263" s="2376"/>
      <c r="J1263" s="2376"/>
      <c r="K1263" s="2376"/>
      <c r="L1263" s="2376"/>
      <c r="M1263" s="2376"/>
      <c r="O1263" s="2369" t="s">
        <v>1938</v>
      </c>
      <c r="P1263" s="2276">
        <f>'Part VIII-Threshold Criteria'!P178</f>
        <v>0</v>
      </c>
      <c r="Q1263" s="2276"/>
    </row>
    <row r="1264" spans="1:17" ht="12.75" customHeight="1">
      <c r="B1264" s="2370" t="s">
        <v>2058</v>
      </c>
      <c r="C1264" s="2373" t="s">
        <v>4051</v>
      </c>
      <c r="D1264" s="2373"/>
      <c r="E1264" s="2373"/>
      <c r="F1264" s="2373"/>
      <c r="G1264" s="2373"/>
      <c r="H1264" s="2373"/>
      <c r="I1264" s="2373"/>
      <c r="J1264" s="2373"/>
      <c r="K1264" s="2373"/>
      <c r="L1264" s="2373"/>
      <c r="M1264" s="2373"/>
      <c r="N1264" s="2373"/>
      <c r="O1264" s="2414" t="s">
        <v>2058</v>
      </c>
      <c r="P1264" s="2371" t="str">
        <f>'Part VIII-Threshold Criteria'!P179</f>
        <v>Yes</v>
      </c>
      <c r="Q1264" s="2371">
        <f>'Part VIII-Threshold Criteria'!Q179</f>
        <v>0</v>
      </c>
    </row>
    <row r="1265" spans="1:17" ht="12.75" customHeight="1">
      <c r="B1265" s="2370" t="s">
        <v>2061</v>
      </c>
      <c r="C1265" s="2373" t="s">
        <v>4052</v>
      </c>
      <c r="D1265" s="2373"/>
      <c r="E1265" s="2373"/>
      <c r="F1265" s="2373"/>
      <c r="G1265" s="2373"/>
      <c r="H1265" s="2373"/>
      <c r="I1265" s="2373"/>
      <c r="J1265" s="2373"/>
      <c r="K1265" s="2373"/>
      <c r="L1265" s="2373"/>
      <c r="M1265" s="2373"/>
      <c r="N1265" s="2373"/>
      <c r="O1265" s="2414" t="s">
        <v>2061</v>
      </c>
      <c r="P1265" s="2371">
        <f>'Part VIII-Threshold Criteria'!P180</f>
        <v>0</v>
      </c>
      <c r="Q1265" s="2371">
        <f>'Part VIII-Threshold Criteria'!Q180</f>
        <v>0</v>
      </c>
    </row>
    <row r="1266" spans="1:17" ht="12.75" customHeight="1">
      <c r="B1266" s="2370" t="s">
        <v>779</v>
      </c>
      <c r="C1266" s="2373" t="s">
        <v>2734</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1936</v>
      </c>
      <c r="D1267" s="2308"/>
      <c r="E1267" s="2308"/>
      <c r="F1267" s="2308"/>
      <c r="G1267" s="2308"/>
      <c r="H1267" s="2307"/>
      <c r="I1267" s="2368"/>
      <c r="J1267" s="2368"/>
      <c r="K1267" s="2368"/>
      <c r="L1267" s="2268"/>
      <c r="M1267" s="2268"/>
      <c r="N1267" s="2268"/>
      <c r="O1267" s="2268"/>
      <c r="P1267" s="2268"/>
      <c r="Q1267" s="2268"/>
    </row>
    <row r="1268" spans="1:17" ht="101.25">
      <c r="A1268" s="2373" t="str">
        <f>'Part VIII-Threshold Criteria'!A183</f>
        <v>The site has road frontage on W. Park Street and W. Park Street, please see tab 09.</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1937</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2751</v>
      </c>
      <c r="C1272" s="2078"/>
      <c r="D1272" s="2078"/>
      <c r="O1272" s="2369" t="s">
        <v>1938</v>
      </c>
      <c r="P1272" s="2276">
        <f>'Part VIII-Threshold Criteria'!P187</f>
        <v>0</v>
      </c>
      <c r="Q1272" s="2276"/>
    </row>
    <row r="1273" spans="1:17">
      <c r="B1273" s="2370" t="s">
        <v>2058</v>
      </c>
      <c r="C1273" s="2422" t="s">
        <v>485</v>
      </c>
      <c r="D1273" s="2422"/>
      <c r="E1273" s="2422"/>
      <c r="F1273" s="2422"/>
      <c r="G1273" s="2422"/>
      <c r="H1273" s="2422"/>
      <c r="I1273" s="2422"/>
      <c r="J1273" s="2422"/>
      <c r="K1273" s="2422"/>
      <c r="L1273" s="2422"/>
      <c r="M1273" s="2422"/>
      <c r="O1273" s="2414" t="s">
        <v>2058</v>
      </c>
      <c r="P1273" s="2371" t="str">
        <f>'Part VIII-Threshold Criteria'!P188</f>
        <v>Yes</v>
      </c>
      <c r="Q1273" s="2371">
        <f>'Part VIII-Threshold Criteria'!Q188</f>
        <v>0</v>
      </c>
    </row>
    <row r="1274" spans="1:17">
      <c r="B1274" s="2370" t="s">
        <v>2061</v>
      </c>
      <c r="C1274" s="2422" t="s">
        <v>2735</v>
      </c>
      <c r="D1274" s="2422"/>
      <c r="E1274" s="2422"/>
      <c r="F1274" s="2422"/>
      <c r="G1274" s="2422"/>
      <c r="H1274" s="2422"/>
      <c r="I1274" s="2422"/>
      <c r="J1274" s="2422"/>
      <c r="K1274" s="2422"/>
      <c r="L1274" s="2422"/>
      <c r="M1274" s="2422"/>
      <c r="O1274" s="2414" t="s">
        <v>2061</v>
      </c>
      <c r="P1274" s="2371" t="str">
        <f>'Part VIII-Threshold Criteria'!P189</f>
        <v>Yes</v>
      </c>
      <c r="Q1274" s="2371">
        <f>'Part VIII-Threshold Criteria'!Q189</f>
        <v>0</v>
      </c>
    </row>
    <row r="1275" spans="1:17">
      <c r="B1275" s="2370" t="s">
        <v>779</v>
      </c>
      <c r="C1275" s="2422" t="s">
        <v>2736</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2724</v>
      </c>
      <c r="D1276" s="2422"/>
      <c r="E1276" s="2416" t="s">
        <v>1803</v>
      </c>
      <c r="F1276" s="2422" t="s">
        <v>2737</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4434</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3733</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2448</v>
      </c>
      <c r="F1279" s="2422" t="s">
        <v>2739</v>
      </c>
      <c r="G1279" s="2422"/>
      <c r="H1279" s="2422"/>
      <c r="I1279" s="2422"/>
      <c r="J1279" s="2422"/>
      <c r="K1279" s="2422"/>
      <c r="L1279" s="2422"/>
      <c r="M1279" s="2422"/>
      <c r="O1279" s="2416" t="s">
        <v>2448</v>
      </c>
      <c r="P1279" s="2371" t="str">
        <f>'Part VIII-Threshold Criteria'!P194</f>
        <v>Yes</v>
      </c>
      <c r="Q1279" s="2371">
        <f>'Part VIII-Threshold Criteria'!Q194</f>
        <v>0</v>
      </c>
    </row>
    <row r="1280" spans="1:17" ht="12.75" customHeight="1">
      <c r="A1280" s="2413"/>
      <c r="B1280" s="2370"/>
      <c r="C1280" s="2422"/>
      <c r="D1280" s="2422"/>
      <c r="E1280" s="2414" t="s">
        <v>1606</v>
      </c>
      <c r="F1280" s="2373" t="s">
        <v>2740</v>
      </c>
      <c r="G1280" s="2373"/>
      <c r="H1280" s="2373"/>
      <c r="I1280" s="2373"/>
      <c r="J1280" s="2373"/>
      <c r="K1280" s="2373"/>
      <c r="L1280" s="2373"/>
      <c r="M1280" s="2373"/>
      <c r="N1280" s="2373"/>
      <c r="O1280" s="2414" t="s">
        <v>1606</v>
      </c>
      <c r="P1280" s="2371" t="str">
        <f>'Part VIII-Threshold Criteria'!P195</f>
        <v>N/Ap</v>
      </c>
      <c r="Q1280" s="2371">
        <f>'Part VIII-Threshold Criteria'!Q195</f>
        <v>0</v>
      </c>
    </row>
    <row r="1281" spans="1:17" ht="12.75" customHeight="1">
      <c r="B1281" s="2370" t="s">
        <v>2193</v>
      </c>
      <c r="C1281" s="2373" t="s">
        <v>2741</v>
      </c>
      <c r="D1281" s="2373"/>
      <c r="E1281" s="2373"/>
      <c r="F1281" s="2373"/>
      <c r="G1281" s="2373"/>
      <c r="H1281" s="2373"/>
      <c r="I1281" s="2373"/>
      <c r="J1281" s="2373"/>
      <c r="K1281" s="2373"/>
      <c r="L1281" s="2373"/>
      <c r="M1281" s="2373"/>
      <c r="N1281" s="2373"/>
      <c r="O1281" s="2414" t="s">
        <v>2193</v>
      </c>
      <c r="P1281" s="2371" t="str">
        <f>'Part VIII-Threshold Criteria'!P196</f>
        <v>Yes</v>
      </c>
      <c r="Q1281" s="2371">
        <f>'Part VIII-Threshold Criteria'!Q196</f>
        <v>0</v>
      </c>
    </row>
    <row r="1282" spans="1:17">
      <c r="B1282" s="2370" t="s">
        <v>1801</v>
      </c>
      <c r="C1282" s="2422" t="s">
        <v>2464</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1936</v>
      </c>
      <c r="D1283" s="2308"/>
      <c r="E1283" s="2308"/>
      <c r="F1283" s="2308"/>
      <c r="G1283" s="2308"/>
      <c r="H1283" s="2307"/>
      <c r="I1283" s="2368"/>
      <c r="J1283" s="2368"/>
      <c r="K1283" s="2368"/>
      <c r="L1283" s="2268"/>
      <c r="M1283" s="2268"/>
      <c r="N1283" s="2268"/>
      <c r="O1283" s="2268"/>
      <c r="P1283" s="2268"/>
      <c r="Q1283" s="2268"/>
    </row>
    <row r="1284" spans="1:17" ht="101.25">
      <c r="A1284" s="2373" t="str">
        <f>'Part VIII-Threshold Criteria'!A199</f>
        <v>The property is zoned for multi-family, please see zoning letter and site plan in tab 10.</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1937</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2752</v>
      </c>
      <c r="C1288" s="2248"/>
      <c r="D1288" s="2376"/>
      <c r="E1288" s="2423"/>
      <c r="F1288" s="2423"/>
      <c r="G1288" s="2376"/>
      <c r="J1288" s="2373"/>
      <c r="K1288" s="2373"/>
      <c r="L1288" s="2373"/>
      <c r="M1288" s="2373"/>
      <c r="N1288" s="2373"/>
      <c r="O1288" s="2369" t="s">
        <v>1938</v>
      </c>
      <c r="P1288" s="2276">
        <f>'Part VIII-Threshold Criteria'!P203</f>
        <v>0</v>
      </c>
      <c r="Q1288" s="2276"/>
    </row>
    <row r="1289" spans="1:17" ht="12.75" customHeight="1">
      <c r="A1289" s="2288"/>
      <c r="B1289" s="2372" t="s">
        <v>2058</v>
      </c>
      <c r="C1289" s="2373" t="s">
        <v>99</v>
      </c>
      <c r="D1289" s="2373"/>
      <c r="E1289" s="2373"/>
      <c r="F1289" s="2373"/>
      <c r="G1289" s="2373"/>
      <c r="H1289" s="2344" t="s">
        <v>1803</v>
      </c>
      <c r="I1289" s="519" t="s">
        <v>157</v>
      </c>
      <c r="K1289" s="2367" t="str">
        <f>'Part VIII-Threshold Criteria'!K204</f>
        <v>N/Ap</v>
      </c>
      <c r="L1289" s="2367"/>
      <c r="M1289" s="2367"/>
      <c r="N1289" s="2367"/>
      <c r="O1289" s="2344" t="s">
        <v>1803</v>
      </c>
      <c r="P1289" s="2371" t="str">
        <f>'Part VIII-Threshold Criteria'!P204</f>
        <v>No</v>
      </c>
      <c r="Q1289" s="2371">
        <f>'Part VIII-Threshold Criteria'!Q204</f>
        <v>0</v>
      </c>
    </row>
    <row r="1290" spans="1:17">
      <c r="A1290" s="2288"/>
      <c r="B1290" s="2368"/>
      <c r="C1290" s="2176"/>
      <c r="D1290" s="2176"/>
      <c r="E1290" s="2176"/>
      <c r="F1290" s="2176"/>
      <c r="H1290" s="2344" t="s">
        <v>1804</v>
      </c>
      <c r="I1290" s="519" t="s">
        <v>1653</v>
      </c>
      <c r="K1290" s="2367" t="str">
        <f>'Part VIII-Threshold Criteria'!K205</f>
        <v>Georgia Power Company</v>
      </c>
      <c r="L1290" s="2367"/>
      <c r="M1290" s="2367"/>
      <c r="N1290" s="2367"/>
      <c r="O1290" s="2344" t="s">
        <v>1804</v>
      </c>
      <c r="P1290" s="2371" t="str">
        <f>'Part VIII-Threshold Criteria'!P205</f>
        <v>Yes</v>
      </c>
      <c r="Q1290" s="2371">
        <f>'Part VIII-Threshold Criteria'!Q205</f>
        <v>0</v>
      </c>
    </row>
    <row r="1291" spans="1:17">
      <c r="B1291" s="2308" t="s">
        <v>1936</v>
      </c>
      <c r="D1291" s="2308"/>
      <c r="E1291" s="2308"/>
      <c r="F1291" s="2308"/>
      <c r="G1291" s="2308"/>
      <c r="J1291" s="2368"/>
      <c r="K1291" s="2368"/>
      <c r="L1291" s="2268"/>
      <c r="M1291" s="2268"/>
      <c r="N1291" s="2268"/>
      <c r="O1291" s="2268"/>
      <c r="P1291" s="2268"/>
      <c r="Q1291" s="2268"/>
    </row>
    <row r="1292" spans="1:17" ht="67.5">
      <c r="A1292" s="2373" t="str">
        <f>'Part VIII-Threshold Criteria'!A207</f>
        <v>Please see availability letter from Georgia Power in Tab 11.</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1937</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2753</v>
      </c>
      <c r="C1296" s="2078"/>
      <c r="D1296" s="2367"/>
      <c r="E1296" s="2367"/>
      <c r="F1296" s="2367"/>
      <c r="G1296" s="2376"/>
      <c r="H1296" s="2376"/>
      <c r="I1296" s="2376"/>
      <c r="J1296" s="2376"/>
      <c r="K1296" s="2376"/>
      <c r="L1296" s="2376"/>
      <c r="M1296" s="2376"/>
      <c r="O1296" s="2369" t="s">
        <v>1938</v>
      </c>
      <c r="P1296" s="2276">
        <f>'Part VIII-Threshold Criteria'!P211</f>
        <v>0</v>
      </c>
      <c r="Q1296" s="2276"/>
    </row>
    <row r="1298" spans="1:17">
      <c r="B1298" s="2370" t="s">
        <v>2058</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2061</v>
      </c>
      <c r="C1300" s="2373" t="s">
        <v>1919</v>
      </c>
      <c r="D1300" s="2373"/>
      <c r="E1300" s="2373"/>
      <c r="F1300" s="2373"/>
      <c r="G1300" s="2373"/>
      <c r="H1300" s="2344" t="s">
        <v>1803</v>
      </c>
      <c r="I1300" s="519" t="s">
        <v>659</v>
      </c>
      <c r="K1300" s="2367" t="str">
        <f>'Part VIII-Threshold Criteria'!K215</f>
        <v>City of Hahira</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City of Hahira</v>
      </c>
      <c r="L1301" s="2367"/>
      <c r="M1301" s="2367"/>
      <c r="N1301" s="2367"/>
      <c r="O1301" s="2344" t="s">
        <v>1804</v>
      </c>
      <c r="P1301" s="2371" t="str">
        <f>'Part VIII-Threshold Criteria'!P216</f>
        <v>Yes</v>
      </c>
      <c r="Q1301" s="2371">
        <f>'Part VIII-Threshold Criteria'!Q216</f>
        <v>0</v>
      </c>
    </row>
    <row r="1302" spans="1:17">
      <c r="B1302" s="2308" t="s">
        <v>1936</v>
      </c>
      <c r="D1302" s="2308"/>
      <c r="E1302" s="2308"/>
      <c r="F1302" s="2308"/>
      <c r="G1302" s="2308"/>
      <c r="H1302" s="2307"/>
      <c r="I1302" s="2368"/>
      <c r="J1302" s="2368"/>
      <c r="K1302" s="2368"/>
      <c r="L1302" s="2268"/>
      <c r="M1302" s="2268"/>
      <c r="N1302" s="2268"/>
      <c r="O1302" s="2268"/>
      <c r="P1302" s="2268"/>
      <c r="Q1302" s="2268"/>
    </row>
    <row r="1303" spans="1:17" ht="45">
      <c r="A1303" s="2373" t="str">
        <f>'Part VIII-Threshold Criteria'!A218</f>
        <v>Please see availability letter in Tab 12.</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1937</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2754</v>
      </c>
      <c r="C1307" s="2078"/>
      <c r="D1307" s="2367"/>
      <c r="E1307" s="2367"/>
      <c r="F1307" s="2367"/>
      <c r="G1307" s="2367"/>
      <c r="H1307" s="2376"/>
      <c r="I1307" s="2376"/>
      <c r="J1307" s="2376"/>
      <c r="K1307" s="2376"/>
      <c r="L1307" s="2376"/>
      <c r="M1307" s="2376"/>
      <c r="O1307" s="2369" t="s">
        <v>1938</v>
      </c>
      <c r="P1307" s="2276">
        <f>'Part VIII-Threshold Criteria'!P222</f>
        <v>0</v>
      </c>
      <c r="Q1307" s="2276"/>
    </row>
    <row r="1308" spans="1:17">
      <c r="B1308" s="504" t="s">
        <v>149</v>
      </c>
    </row>
    <row r="1309" spans="1:17">
      <c r="B1309" s="2372" t="s">
        <v>2058</v>
      </c>
      <c r="C1309" s="519" t="s">
        <v>3062</v>
      </c>
      <c r="D1309" s="2079"/>
      <c r="E1309" s="519"/>
      <c r="F1309" s="519"/>
      <c r="G1309" s="519"/>
      <c r="H1309" s="519"/>
      <c r="I1309" s="2079"/>
      <c r="J1309" s="2079"/>
      <c r="K1309" s="2079"/>
      <c r="L1309" s="2422"/>
      <c r="M1309" s="2422"/>
      <c r="O1309" s="2414" t="s">
        <v>2058</v>
      </c>
      <c r="P1309" s="2371" t="str">
        <f>'Part VIII-Threshold Criteria'!P224</f>
        <v>Yes</v>
      </c>
      <c r="Q1309" s="2371">
        <f>'Part VIII-Threshold Criteria'!Q224</f>
        <v>0</v>
      </c>
    </row>
    <row r="1310" spans="1:17" ht="12.75" customHeight="1">
      <c r="B1310" s="2372"/>
      <c r="C1310" s="519"/>
      <c r="D1310" s="519" t="s">
        <v>3047</v>
      </c>
      <c r="E1310" s="519"/>
      <c r="F1310" s="519"/>
      <c r="G1310" s="2426" t="str">
        <f>'Part VIII-Threshold Criteria'!G225</f>
        <v>5.15.16</v>
      </c>
      <c r="H1310" s="2426"/>
      <c r="L1310" s="2336" t="s">
        <v>3853</v>
      </c>
      <c r="M1310" s="2426" t="str">
        <f>'Part VIII-Threshold Criteria'!M225</f>
        <v>5.13.16</v>
      </c>
      <c r="N1310" s="2426"/>
    </row>
    <row r="1311" spans="1:17">
      <c r="B1311" s="2372"/>
      <c r="C1311" s="519"/>
      <c r="D1311" s="504" t="s">
        <v>3049</v>
      </c>
      <c r="E1311" s="519"/>
      <c r="F1311" s="519"/>
      <c r="G1311" s="2367" t="str">
        <f>'Part VIII-Threshold Criteria'!G226</f>
        <v>Valdosta Daily Times</v>
      </c>
      <c r="H1311" s="2367"/>
      <c r="I1311" s="2367"/>
      <c r="J1311" s="2367"/>
      <c r="K1311" s="2367"/>
      <c r="L1311" s="2336"/>
      <c r="M1311" s="2367" t="str">
        <f>'Part VIII-Threshold Criteria'!M226</f>
        <v>Public sign posted on site 5.13.16</v>
      </c>
      <c r="N1311" s="2367"/>
      <c r="O1311" s="2367"/>
      <c r="P1311" s="2367"/>
      <c r="Q1311" s="2367"/>
    </row>
    <row r="1312" spans="1:17">
      <c r="B1312" s="2372"/>
      <c r="C1312" s="519"/>
      <c r="D1312" s="519" t="s">
        <v>3048</v>
      </c>
      <c r="E1312" s="2079"/>
      <c r="G1312" s="2426" t="str">
        <f>'Part VIII-Threshold Criteria'!G227</f>
        <v>5.31.16</v>
      </c>
      <c r="H1312" s="2426"/>
      <c r="I1312" s="519"/>
      <c r="J1312" s="2079"/>
      <c r="K1312" s="2079"/>
      <c r="L1312" s="2336"/>
      <c r="M1312" s="2426" t="str">
        <f>'Part VIII-Threshold Criteria'!M227</f>
        <v>6.2.16</v>
      </c>
      <c r="N1312" s="2426"/>
    </row>
    <row r="1313" spans="1:17">
      <c r="B1313" s="2372" t="s">
        <v>2061</v>
      </c>
      <c r="C1313" s="519" t="s">
        <v>2928</v>
      </c>
      <c r="D1313" s="519"/>
      <c r="E1313" s="519"/>
      <c r="F1313" s="519"/>
      <c r="G1313" s="519"/>
      <c r="H1313" s="519"/>
      <c r="I1313" s="2079"/>
      <c r="J1313" s="2079"/>
      <c r="K1313" s="2079"/>
      <c r="L1313" s="2396"/>
      <c r="M1313" s="2396"/>
      <c r="O1313" s="2414" t="s">
        <v>2061</v>
      </c>
      <c r="P1313" s="2371" t="str">
        <f>'Part VIII-Threshold Criteria'!P228</f>
        <v>Yes</v>
      </c>
      <c r="Q1313" s="2371">
        <f>'Part VIII-Threshold Criteria'!Q228</f>
        <v>0</v>
      </c>
    </row>
    <row r="1314" spans="1:17">
      <c r="B1314" s="2372" t="s">
        <v>779</v>
      </c>
      <c r="C1314" s="519" t="s">
        <v>2929</v>
      </c>
      <c r="D1314" s="519"/>
      <c r="E1314" s="519"/>
      <c r="F1314" s="519"/>
      <c r="G1314" s="519"/>
      <c r="H1314" s="519"/>
      <c r="I1314" s="2079"/>
      <c r="J1314" s="2079"/>
      <c r="K1314" s="2079"/>
      <c r="L1314" s="2396"/>
      <c r="M1314" s="2396"/>
      <c r="O1314" s="2414" t="s">
        <v>779</v>
      </c>
      <c r="P1314" s="2371" t="str">
        <f>'Part VIII-Threshold Criteria'!P229</f>
        <v>Yes</v>
      </c>
      <c r="Q1314" s="2371">
        <f>'Part VIII-Threshold Criteria'!Q229</f>
        <v>0</v>
      </c>
    </row>
    <row r="1315" spans="1:17">
      <c r="B1315" s="2372" t="s">
        <v>2193</v>
      </c>
      <c r="C1315" s="519" t="s">
        <v>3734</v>
      </c>
      <c r="D1315" s="519"/>
      <c r="E1315" s="519"/>
      <c r="F1315" s="519"/>
      <c r="G1315" s="519"/>
      <c r="H1315" s="519"/>
      <c r="I1315" s="2079"/>
      <c r="J1315" s="2079"/>
      <c r="K1315" s="2079"/>
      <c r="L1315" s="2422"/>
      <c r="M1315" s="2422"/>
      <c r="O1315" s="2344" t="s">
        <v>2193</v>
      </c>
      <c r="P1315" s="2371" t="str">
        <f>'Part VIII-Threshold Criteria'!P230</f>
        <v>No</v>
      </c>
      <c r="Q1315" s="2371">
        <f>'Part VIII-Threshold Criteria'!Q230</f>
        <v>0</v>
      </c>
    </row>
    <row r="1316" spans="1:17">
      <c r="B1316" s="2372" t="s">
        <v>1801</v>
      </c>
      <c r="C1316" s="519" t="s">
        <v>150</v>
      </c>
      <c r="D1316" s="519"/>
      <c r="E1316" s="519"/>
      <c r="F1316" s="519"/>
      <c r="G1316" s="519"/>
      <c r="H1316" s="519"/>
      <c r="I1316" s="2079"/>
      <c r="J1316" s="2079"/>
      <c r="K1316" s="2079"/>
      <c r="L1316" s="2079"/>
      <c r="M1316" s="2079"/>
      <c r="O1316" s="2344" t="s">
        <v>1801</v>
      </c>
      <c r="P1316" s="2371" t="str">
        <f>'Part VIII-Threshold Criteria'!P231</f>
        <v>Yes</v>
      </c>
      <c r="Q1316" s="2371">
        <f>'Part VIII-Threshold Criteria'!Q231</f>
        <v>0</v>
      </c>
    </row>
    <row r="1317" spans="1:17">
      <c r="B1317" s="2308" t="s">
        <v>1936</v>
      </c>
      <c r="D1317" s="2308"/>
      <c r="E1317" s="2308"/>
      <c r="F1317" s="2308"/>
      <c r="G1317" s="2308"/>
      <c r="H1317" s="2307"/>
      <c r="I1317" s="2368"/>
      <c r="J1317" s="2368"/>
      <c r="K1317" s="2368"/>
      <c r="L1317" s="2268"/>
      <c r="M1317" s="2268"/>
      <c r="N1317" s="2268"/>
      <c r="O1317" s="2268"/>
      <c r="P1317" s="2268"/>
      <c r="Q1317" s="2268"/>
    </row>
    <row r="1318" spans="1:17" ht="123.75">
      <c r="A1318" s="2373" t="str">
        <f>'Part VIII-Threshold Criteria'!A233</f>
        <v>Please see Tab 13 for documentation of public meeting notice and evidence of public meeting and presentation.</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1937</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2755</v>
      </c>
      <c r="C1323" s="2404"/>
      <c r="D1323" s="2376"/>
      <c r="E1323" s="2376"/>
      <c r="F1323" s="2376"/>
      <c r="G1323" s="2376"/>
      <c r="H1323" s="2376"/>
      <c r="I1323" s="2376"/>
      <c r="J1323" s="2376"/>
      <c r="K1323" s="2376"/>
      <c r="L1323" s="2376"/>
      <c r="M1323" s="2376"/>
      <c r="O1323" s="2369" t="s">
        <v>1938</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2058</v>
      </c>
      <c r="C1325" s="519" t="s">
        <v>3062</v>
      </c>
      <c r="D1325" s="2079"/>
      <c r="E1325" s="519"/>
      <c r="F1325" s="519"/>
      <c r="G1325" s="519"/>
      <c r="H1325" s="519"/>
      <c r="I1325" s="2079"/>
      <c r="J1325" s="2079"/>
      <c r="K1325" s="2079"/>
      <c r="L1325" s="2422"/>
      <c r="M1325" s="2422"/>
      <c r="O1325" s="2414" t="s">
        <v>2058</v>
      </c>
      <c r="P1325" s="2371" t="str">
        <f>'Part VIII-Threshold Criteria'!P240</f>
        <v>Agree</v>
      </c>
      <c r="Q1325" s="2371">
        <f>'Part VIII-Threshold Criteria'!Q240</f>
        <v>0</v>
      </c>
    </row>
    <row r="1326" spans="1:17">
      <c r="B1326" s="2372"/>
      <c r="C1326" s="2344" t="s">
        <v>1803</v>
      </c>
      <c r="D1326" s="519" t="s">
        <v>2005</v>
      </c>
      <c r="E1326" s="519"/>
      <c r="F1326" s="519"/>
      <c r="G1326" s="519"/>
      <c r="H1326" s="519"/>
      <c r="I1326" s="2079"/>
      <c r="K1326" s="2344" t="s">
        <v>1543</v>
      </c>
      <c r="L1326" s="2367" t="str">
        <f>'Part VIII-Threshold Criteria'!L241</f>
        <v>Building</v>
      </c>
      <c r="M1326" s="2367"/>
      <c r="Q1326" s="2371">
        <f>'Part VIII-Threshold Criteria'!Q241</f>
        <v>0</v>
      </c>
    </row>
    <row r="1327" spans="1:17" ht="13.5">
      <c r="B1327" s="2372"/>
      <c r="C1327" s="2344" t="s">
        <v>1804</v>
      </c>
      <c r="D1327" s="2307" t="s">
        <v>2829</v>
      </c>
      <c r="E1327" s="2307"/>
      <c r="F1327" s="2307"/>
      <c r="G1327" s="2307"/>
      <c r="H1327" s="2307"/>
      <c r="I1327" s="2079"/>
      <c r="K1327" s="2344" t="s">
        <v>1544</v>
      </c>
      <c r="L1327" s="2367" t="str">
        <f>'Part VIII-Threshold Criteria'!L242</f>
        <v>Covered Porch</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9"/>
      <c r="K1328" s="2344" t="s">
        <v>1545</v>
      </c>
      <c r="L1328" s="2367" t="str">
        <f>'Part VIII-Threshold Criteria'!L243</f>
        <v>Washer and dryer in each unit</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2061</v>
      </c>
      <c r="C1330" s="519" t="s">
        <v>2596</v>
      </c>
      <c r="D1330" s="519"/>
      <c r="E1330" s="519"/>
      <c r="F1330" s="519"/>
      <c r="G1330" s="519"/>
      <c r="H1330" s="519"/>
      <c r="I1330" s="519"/>
      <c r="J1330" s="519"/>
      <c r="K1330" s="2079"/>
      <c r="L1330" s="2079"/>
      <c r="M1330" s="2079"/>
      <c r="N1330" s="2079"/>
      <c r="O1330" s="2344" t="s">
        <v>2061</v>
      </c>
      <c r="P1330" s="2371" t="str">
        <f>'Part VIII-Threshold Criteria'!P245</f>
        <v>Agree</v>
      </c>
      <c r="Q1330" s="2371">
        <f>'Part VIII-Threshold Criteria'!Q245</f>
        <v>0</v>
      </c>
    </row>
    <row r="1331" spans="1:17">
      <c r="B1331" s="2372"/>
      <c r="C1331" s="519" t="s">
        <v>4435</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804</v>
      </c>
      <c r="J1332" s="2074" t="s">
        <v>805</v>
      </c>
      <c r="L1332" s="519" t="s">
        <v>2831</v>
      </c>
      <c r="M1332" s="2079"/>
      <c r="N1332" s="2079"/>
      <c r="O1332" s="2428"/>
      <c r="P1332" s="2204" t="s">
        <v>804</v>
      </c>
      <c r="Q1332" s="2074" t="s">
        <v>805</v>
      </c>
    </row>
    <row r="1333" spans="1:17" ht="22.5">
      <c r="A1333" s="2079"/>
      <c r="B1333" s="2371"/>
      <c r="C1333" s="2344" t="s">
        <v>1803</v>
      </c>
      <c r="D1333" s="2373" t="str">
        <f>'Part VIII-Threshold Criteria'!D248</f>
        <v>Computer Center</v>
      </c>
      <c r="E1333" s="2373"/>
      <c r="F1333" s="2373"/>
      <c r="G1333" s="2373"/>
      <c r="H1333" s="2373"/>
      <c r="I1333" s="2371">
        <f>'Part VIII-Threshold Criteria'!I248</f>
        <v>0</v>
      </c>
      <c r="J1333" s="2371">
        <f>'Part VIII-Threshold Criteria'!J248</f>
        <v>0</v>
      </c>
      <c r="K1333" s="2344" t="s">
        <v>1805</v>
      </c>
      <c r="L1333" s="2373" t="str">
        <f>'Part VIII-Threshold Criteria'!L248</f>
        <v>Equipped Playground</v>
      </c>
      <c r="M1333" s="2373"/>
      <c r="N1333" s="2373"/>
      <c r="O1333" s="2373"/>
      <c r="P1333" s="2371">
        <f>'Part VIII-Threshold Criteria'!P248</f>
        <v>0</v>
      </c>
      <c r="Q1333" s="2371">
        <f>'Part VIII-Threshold Criteria'!Q248</f>
        <v>0</v>
      </c>
    </row>
    <row r="1334" spans="1:17" ht="33.75">
      <c r="A1334" s="2079"/>
      <c r="B1334" s="2371"/>
      <c r="C1334" s="2344" t="s">
        <v>1804</v>
      </c>
      <c r="D1334" s="2373" t="str">
        <f>'Part VIII-Threshold Criteria'!D249</f>
        <v>Equipped Fitness Facility</v>
      </c>
      <c r="E1334" s="2373"/>
      <c r="F1334" s="2373"/>
      <c r="G1334" s="2373"/>
      <c r="H1334" s="2373"/>
      <c r="I1334" s="2371">
        <f>'Part VIII-Threshold Criteria'!I249</f>
        <v>0</v>
      </c>
      <c r="J1334" s="2371">
        <f>'Part VIII-Threshold Criteria'!J249</f>
        <v>0</v>
      </c>
      <c r="K1334" s="2344" t="s">
        <v>2448</v>
      </c>
      <c r="L1334" s="2373">
        <f>'Part VIII-Threshold Criteria'!L249</f>
        <v>0</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779</v>
      </c>
      <c r="C1336" s="519" t="s">
        <v>1431</v>
      </c>
      <c r="D1336" s="519"/>
      <c r="E1336" s="519"/>
      <c r="F1336" s="519"/>
      <c r="G1336" s="519"/>
      <c r="H1336" s="519"/>
      <c r="I1336" s="519"/>
      <c r="J1336" s="519"/>
      <c r="K1336" s="2079"/>
      <c r="L1336" s="519"/>
      <c r="M1336" s="519"/>
      <c r="O1336" s="2344" t="s">
        <v>779</v>
      </c>
      <c r="P1336" s="2371" t="str">
        <f>'Part VIII-Threshold Criteria'!P251</f>
        <v>Agree</v>
      </c>
      <c r="Q1336" s="2371">
        <f>'Part VIII-Threshold Criteria'!Q251</f>
        <v>0</v>
      </c>
    </row>
    <row r="1337" spans="1:17">
      <c r="B1337" s="2372"/>
      <c r="C1337" s="2344" t="s">
        <v>1803</v>
      </c>
      <c r="D1337" s="519" t="s">
        <v>3723</v>
      </c>
      <c r="E1337" s="519"/>
      <c r="F1337" s="519"/>
      <c r="G1337" s="519"/>
      <c r="H1337" s="519"/>
      <c r="I1337" s="2079"/>
      <c r="J1337" s="2079"/>
      <c r="K1337" s="2079"/>
      <c r="L1337" s="2079"/>
      <c r="M1337" s="2079"/>
      <c r="O1337" s="2344" t="s">
        <v>1803</v>
      </c>
      <c r="P1337" s="2371" t="str">
        <f>'Part VIII-Threshold Criteria'!P252</f>
        <v>Yes</v>
      </c>
      <c r="Q1337" s="2371">
        <f>'Part VIII-Threshold Criteria'!Q252</f>
        <v>0</v>
      </c>
    </row>
    <row r="1338" spans="1:17">
      <c r="C1338" s="2344" t="s">
        <v>1804</v>
      </c>
      <c r="D1338" s="2307" t="s">
        <v>2930</v>
      </c>
      <c r="E1338" s="2307"/>
      <c r="F1338" s="2307"/>
      <c r="G1338" s="2307"/>
      <c r="H1338" s="2307"/>
      <c r="I1338" s="2079"/>
      <c r="J1338" s="2079"/>
      <c r="K1338" s="2079"/>
      <c r="L1338" s="2079"/>
      <c r="M1338" s="2079"/>
      <c r="O1338" s="2344" t="s">
        <v>1804</v>
      </c>
      <c r="P1338" s="2371" t="str">
        <f>'Part VIII-Threshold Criteria'!P253</f>
        <v>Yes</v>
      </c>
      <c r="Q1338" s="2371">
        <f>'Part VIII-Threshold Criteria'!Q253</f>
        <v>0</v>
      </c>
    </row>
    <row r="1339" spans="1:17">
      <c r="C1339" s="2344" t="s">
        <v>1805</v>
      </c>
      <c r="D1339" s="2307" t="s">
        <v>2931</v>
      </c>
      <c r="E1339" s="2307"/>
      <c r="F1339" s="2307"/>
      <c r="G1339" s="2307"/>
      <c r="H1339" s="2307"/>
      <c r="I1339" s="2079"/>
      <c r="J1339" s="2079"/>
      <c r="K1339" s="2079"/>
      <c r="L1339" s="2079"/>
      <c r="M1339" s="2079"/>
      <c r="O1339" s="2344" t="s">
        <v>1805</v>
      </c>
      <c r="P1339" s="2371" t="str">
        <f>'Part VIII-Threshold Criteria'!P254</f>
        <v>Yes</v>
      </c>
      <c r="Q1339" s="2371">
        <f>'Part VIII-Threshold Criteria'!Q254</f>
        <v>0</v>
      </c>
    </row>
    <row r="1340" spans="1:17">
      <c r="B1340" s="2372"/>
      <c r="C1340" s="2344" t="s">
        <v>2448</v>
      </c>
      <c r="D1340" s="2307" t="s">
        <v>2932</v>
      </c>
      <c r="E1340" s="2307"/>
      <c r="F1340" s="2307"/>
      <c r="G1340" s="2307"/>
      <c r="H1340" s="2307"/>
      <c r="I1340" s="2079"/>
      <c r="J1340" s="2079"/>
      <c r="K1340" s="2079"/>
      <c r="L1340" s="2079"/>
      <c r="M1340" s="2079"/>
      <c r="O1340" s="2344" t="s">
        <v>2448</v>
      </c>
      <c r="P1340" s="2371" t="str">
        <f>'Part VIII-Threshold Criteria'!P255</f>
        <v>Yes</v>
      </c>
      <c r="Q1340" s="2371">
        <f>'Part VIII-Threshold Criteria'!Q255</f>
        <v>0</v>
      </c>
    </row>
    <row r="1341" spans="1:17">
      <c r="B1341" s="2372"/>
      <c r="C1341" s="2344" t="s">
        <v>1606</v>
      </c>
      <c r="D1341" s="2307" t="s">
        <v>2933</v>
      </c>
      <c r="E1341" s="2307"/>
      <c r="F1341" s="2307"/>
      <c r="G1341" s="2307"/>
      <c r="H1341" s="2307"/>
      <c r="I1341" s="2079"/>
      <c r="J1341" s="2079"/>
      <c r="K1341" s="2079"/>
      <c r="L1341" s="2079"/>
      <c r="M1341" s="2079"/>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9"/>
      <c r="J1342" s="2079"/>
      <c r="K1342" s="2079"/>
      <c r="L1342" s="2079"/>
      <c r="M1342" s="2079"/>
      <c r="O1342" s="2344" t="s">
        <v>2918</v>
      </c>
      <c r="P1342" s="2371" t="str">
        <f>'Part VIII-Threshold Criteria'!P257</f>
        <v>Yes</v>
      </c>
      <c r="Q1342" s="2371">
        <f>'Part VIII-Threshold Criteria'!Q257</f>
        <v>0</v>
      </c>
    </row>
    <row r="1343" spans="1:17">
      <c r="B1343" s="2372"/>
      <c r="C1343" s="2344"/>
      <c r="D1343" s="519" t="s">
        <v>1546</v>
      </c>
      <c r="E1343" s="519"/>
      <c r="F1343" s="519"/>
      <c r="G1343" s="519"/>
      <c r="H1343" s="519"/>
      <c r="I1343" s="2079"/>
      <c r="J1343" s="2079"/>
      <c r="K1343" s="2079"/>
      <c r="L1343" s="2079"/>
      <c r="M1343" s="2079"/>
      <c r="O1343" s="2344" t="s">
        <v>2919</v>
      </c>
      <c r="P1343" s="2371" t="str">
        <f>'Part VIII-Threshold Criteria'!P258</f>
        <v>No</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2193</v>
      </c>
      <c r="C1345" s="519" t="s">
        <v>4097</v>
      </c>
      <c r="D1345" s="519"/>
      <c r="E1345" s="519"/>
      <c r="F1345" s="519"/>
      <c r="G1345" s="519"/>
      <c r="H1345" s="519"/>
      <c r="I1345" s="519"/>
      <c r="J1345" s="519"/>
      <c r="K1345" s="2079"/>
      <c r="L1345" s="519"/>
      <c r="M1345" s="519"/>
      <c r="O1345" s="2344" t="s">
        <v>2193</v>
      </c>
      <c r="P1345" s="2371" t="str">
        <f>'Part VIII-Threshold Criteria'!P260</f>
        <v>N/A</v>
      </c>
      <c r="Q1345" s="2371">
        <f>'Part VIII-Threshold Criteria'!Q260</f>
        <v>0</v>
      </c>
    </row>
    <row r="1346" spans="1:17">
      <c r="B1346" s="2372"/>
      <c r="C1346" s="2344" t="s">
        <v>1803</v>
      </c>
      <c r="D1346" s="519" t="s">
        <v>1302</v>
      </c>
      <c r="E1346" s="2079"/>
      <c r="F1346" s="2079"/>
      <c r="G1346" s="519"/>
      <c r="H1346" s="2307"/>
      <c r="I1346" s="2079"/>
      <c r="J1346" s="2307"/>
      <c r="K1346" s="2079"/>
      <c r="L1346" s="2307"/>
      <c r="M1346" s="2307"/>
      <c r="O1346" s="2344" t="s">
        <v>1803</v>
      </c>
      <c r="P1346" s="2371">
        <f>'Part VIII-Threshold Criteria'!P261</f>
        <v>0</v>
      </c>
      <c r="Q1346" s="2371">
        <f>'Part VIII-Threshold Criteria'!Q261</f>
        <v>0</v>
      </c>
    </row>
    <row r="1347" spans="1:17">
      <c r="B1347" s="2372"/>
      <c r="C1347" s="2344" t="s">
        <v>1804</v>
      </c>
      <c r="D1347" s="519" t="s">
        <v>151</v>
      </c>
      <c r="E1347" s="2079"/>
      <c r="F1347" s="2079"/>
      <c r="G1347" s="2307"/>
      <c r="H1347" s="2307"/>
      <c r="I1347" s="2079"/>
      <c r="J1347" s="2307"/>
      <c r="K1347" s="2079"/>
      <c r="L1347" s="2307"/>
      <c r="M1347" s="2307"/>
      <c r="O1347" s="2344" t="s">
        <v>1804</v>
      </c>
      <c r="P1347" s="2371">
        <f>'Part VIII-Threshold Criteria'!P262</f>
        <v>0</v>
      </c>
      <c r="Q1347" s="2371">
        <f>'Part VIII-Threshold Criteria'!Q262</f>
        <v>0</v>
      </c>
    </row>
    <row r="1348" spans="1:17">
      <c r="B1348" s="2372"/>
      <c r="C1348" s="2344" t="s">
        <v>1805</v>
      </c>
      <c r="D1348" s="2307" t="s">
        <v>4053</v>
      </c>
      <c r="E1348" s="2079"/>
      <c r="F1348" s="2079"/>
      <c r="G1348" s="2307"/>
      <c r="H1348" s="2307"/>
      <c r="I1348" s="2079"/>
      <c r="J1348" s="2307"/>
      <c r="K1348" s="2079"/>
      <c r="L1348" s="2307"/>
      <c r="M1348" s="2307"/>
      <c r="O1348" s="2344" t="s">
        <v>2454</v>
      </c>
      <c r="P1348" s="2371">
        <f>'Part VIII-Threshold Criteria'!P263</f>
        <v>0</v>
      </c>
      <c r="Q1348" s="2371">
        <f>'Part VIII-Threshold Criteria'!Q263</f>
        <v>0</v>
      </c>
    </row>
    <row r="1349" spans="1:17">
      <c r="B1349" s="519"/>
      <c r="C1349" s="2079"/>
      <c r="D1349" s="2307" t="s">
        <v>1334</v>
      </c>
      <c r="E1349" s="2079"/>
      <c r="F1349" s="2079"/>
      <c r="G1349" s="2307"/>
      <c r="H1349" s="2307"/>
      <c r="I1349" s="2079"/>
      <c r="J1349" s="2307"/>
      <c r="K1349" s="2079"/>
      <c r="L1349" s="2307"/>
      <c r="M1349" s="2307"/>
      <c r="O1349" s="2344" t="s">
        <v>2455</v>
      </c>
      <c r="P1349" s="2371">
        <f>'Part VIII-Threshold Criteria'!P264</f>
        <v>0</v>
      </c>
      <c r="Q1349" s="2371">
        <f>'Part VIII-Threshold Criteria'!Q264</f>
        <v>0</v>
      </c>
    </row>
    <row r="1350" spans="1:17">
      <c r="B1350" s="2308" t="s">
        <v>1936</v>
      </c>
      <c r="D1350" s="2308"/>
      <c r="E1350" s="2308"/>
      <c r="F1350" s="2308"/>
      <c r="G1350" s="2308"/>
      <c r="H1350" s="2307"/>
      <c r="I1350" s="2368"/>
      <c r="J1350" s="2368"/>
      <c r="K1350" s="2368"/>
      <c r="L1350" s="2268"/>
      <c r="M1350" s="2268"/>
      <c r="N1350" s="2268"/>
      <c r="O1350" s="2268"/>
      <c r="P1350" s="2268"/>
      <c r="Q1350" s="2268"/>
    </row>
    <row r="1351" spans="1:17" ht="45">
      <c r="A1351" s="2373" t="str">
        <f>'Part VIII-Threshold Criteria'!A266</f>
        <v>This is a Family development.</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1937</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2756</v>
      </c>
      <c r="C1355" s="2078"/>
      <c r="D1355" s="2367"/>
      <c r="E1355" s="2367"/>
      <c r="F1355" s="2367"/>
      <c r="G1355" s="2367"/>
      <c r="H1355" s="2376"/>
      <c r="I1355" s="2376"/>
      <c r="J1355" s="2376"/>
      <c r="K1355" s="2376"/>
      <c r="L1355" s="2376"/>
      <c r="M1355" s="2376"/>
      <c r="O1355" s="2369" t="s">
        <v>1938</v>
      </c>
      <c r="P1355" s="2276">
        <f>'Part VIII-Threshold Criteria'!P270</f>
        <v>0</v>
      </c>
      <c r="Q1355" s="2276"/>
    </row>
    <row r="1357" spans="1:17">
      <c r="B1357" s="2372" t="s">
        <v>2058</v>
      </c>
      <c r="C1357" s="519" t="s">
        <v>1315</v>
      </c>
      <c r="D1357" s="2079"/>
      <c r="E1357" s="519"/>
      <c r="F1357" s="519"/>
      <c r="G1357" s="519"/>
      <c r="H1357" s="519"/>
      <c r="I1357" s="2079"/>
      <c r="J1357" s="2079"/>
      <c r="K1357" s="2344" t="s">
        <v>2058</v>
      </c>
      <c r="L1357" s="2367" t="str">
        <f>'Part VIII-Threshold Criteria'!L272</f>
        <v>&lt;&lt;Select&gt;&gt;</v>
      </c>
      <c r="M1357" s="2367"/>
      <c r="N1357" s="2367"/>
      <c r="O1357" s="2367"/>
      <c r="P1357" s="2367" t="str">
        <f>'Part VIII-Threshold Criteria'!P272</f>
        <v>&lt;&lt;Select&gt;&gt;</v>
      </c>
      <c r="Q1357" s="2367"/>
    </row>
    <row r="1358" spans="1:17">
      <c r="B1358" s="2372" t="s">
        <v>2061</v>
      </c>
      <c r="C1358" s="519" t="s">
        <v>2934</v>
      </c>
      <c r="D1358" s="519"/>
      <c r="E1358" s="519"/>
      <c r="F1358" s="519"/>
      <c r="G1358" s="519"/>
      <c r="H1358" s="519"/>
      <c r="I1358" s="2079"/>
      <c r="J1358" s="2079"/>
      <c r="K1358" s="2344" t="s">
        <v>2061</v>
      </c>
      <c r="L1358" s="2429">
        <f>'Part VIII-Threshold Criteria'!L273</f>
        <v>0</v>
      </c>
      <c r="M1358" s="2429"/>
      <c r="N1358" s="2429"/>
      <c r="O1358" s="2429"/>
      <c r="P1358" s="2429">
        <f>'Part VIII-Threshold Criteria'!P273</f>
        <v>0</v>
      </c>
      <c r="Q1358" s="2429"/>
    </row>
    <row r="1359" spans="1:17">
      <c r="B1359" s="2372" t="s">
        <v>779</v>
      </c>
      <c r="C1359" s="519" t="s">
        <v>2019</v>
      </c>
      <c r="D1359" s="519"/>
      <c r="E1359" s="519"/>
      <c r="F1359" s="519"/>
      <c r="G1359" s="519"/>
      <c r="H1359" s="519"/>
      <c r="I1359" s="2079"/>
      <c r="J1359" s="2079"/>
      <c r="K1359" s="2344" t="s">
        <v>779</v>
      </c>
      <c r="L1359" s="2367">
        <f>'Part VIII-Threshold Criteria'!L274</f>
        <v>0</v>
      </c>
      <c r="M1359" s="2367"/>
      <c r="N1359" s="2367"/>
      <c r="O1359" s="2367"/>
      <c r="P1359" s="2367">
        <f>'Part VIII-Threshold Criteria'!P274</f>
        <v>0</v>
      </c>
      <c r="Q1359" s="2367"/>
    </row>
    <row r="1360" spans="1:17">
      <c r="B1360" s="2372" t="s">
        <v>2193</v>
      </c>
      <c r="C1360" s="519" t="s">
        <v>2631</v>
      </c>
      <c r="D1360" s="519"/>
      <c r="E1360" s="519"/>
      <c r="F1360" s="519"/>
      <c r="G1360" s="519"/>
      <c r="H1360" s="519"/>
      <c r="I1360" s="2079"/>
      <c r="J1360" s="2079"/>
      <c r="K1360" s="2079"/>
      <c r="L1360" s="2079"/>
      <c r="M1360" s="2079"/>
      <c r="O1360" s="2344" t="s">
        <v>2193</v>
      </c>
      <c r="P1360" s="2371">
        <f>'Part VIII-Threshold Criteria'!P275</f>
        <v>0</v>
      </c>
      <c r="Q1360" s="2371">
        <f>'Part VIII-Threshold Criteria'!Q275</f>
        <v>0</v>
      </c>
    </row>
    <row r="1361" spans="1:17" ht="12.75" customHeight="1">
      <c r="B1361" s="2370" t="s">
        <v>1801</v>
      </c>
      <c r="C1361" s="2373" t="s">
        <v>4436</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1936</v>
      </c>
      <c r="D1362" s="2308"/>
      <c r="E1362" s="2308"/>
      <c r="F1362" s="2308"/>
      <c r="G1362" s="2308"/>
      <c r="H1362" s="2307"/>
      <c r="I1362" s="2368"/>
      <c r="J1362" s="2368"/>
      <c r="K1362" s="2368"/>
      <c r="L1362" s="2268"/>
      <c r="M1362" s="2268"/>
      <c r="N1362" s="2268"/>
      <c r="O1362" s="2268"/>
      <c r="P1362" s="2268"/>
      <c r="Q1362" s="2268"/>
    </row>
    <row r="1363" spans="1:17" ht="67.5">
      <c r="A1363" s="2373" t="str">
        <f>'Part VIII-Threshold Criteria'!A278</f>
        <v>n/a - This is a newconstruction development.</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1937</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2757</v>
      </c>
      <c r="C1367" s="2078"/>
      <c r="D1367" s="2367"/>
      <c r="E1367" s="2367"/>
      <c r="F1367" s="2367"/>
      <c r="G1367" s="2367"/>
      <c r="H1367" s="2376"/>
      <c r="I1367" s="2376"/>
      <c r="J1367" s="2376"/>
      <c r="K1367" s="2376"/>
      <c r="L1367" s="2376"/>
      <c r="M1367" s="2376"/>
      <c r="O1367" s="2369" t="s">
        <v>1938</v>
      </c>
      <c r="P1367" s="2276">
        <f>'Part VIII-Threshold Criteria'!P282</f>
        <v>0</v>
      </c>
      <c r="Q1367" s="2276"/>
    </row>
    <row r="1369" spans="1:17" ht="12.75" customHeight="1">
      <c r="A1369" s="2413"/>
      <c r="B1369" s="2370" t="s">
        <v>2058</v>
      </c>
      <c r="C1369" s="2373" t="s">
        <v>2935</v>
      </c>
      <c r="D1369" s="2373"/>
      <c r="E1369" s="2373"/>
      <c r="F1369" s="2373"/>
      <c r="G1369" s="2373"/>
      <c r="H1369" s="2373"/>
      <c r="I1369" s="2373"/>
      <c r="J1369" s="2373"/>
      <c r="K1369" s="2373"/>
      <c r="L1369" s="2373"/>
      <c r="M1369" s="2373"/>
      <c r="N1369" s="2373"/>
      <c r="O1369" s="2414" t="s">
        <v>2058</v>
      </c>
      <c r="P1369" s="2371" t="str">
        <f>'Part VIII-Threshold Criteria'!P284</f>
        <v>Yes</v>
      </c>
      <c r="Q1369" s="2371">
        <f>'Part VIII-Threshold Criteria'!Q284</f>
        <v>0</v>
      </c>
    </row>
    <row r="1370" spans="1:17">
      <c r="B1370" s="2372" t="s">
        <v>2061</v>
      </c>
      <c r="C1370" s="519" t="s">
        <v>1457</v>
      </c>
      <c r="D1370" s="519"/>
      <c r="E1370" s="519"/>
      <c r="F1370" s="519"/>
      <c r="G1370" s="519"/>
      <c r="H1370" s="519"/>
      <c r="I1370" s="519"/>
      <c r="J1370" s="519"/>
      <c r="K1370" s="519"/>
      <c r="L1370" s="519"/>
      <c r="M1370" s="519"/>
      <c r="O1370" s="2344" t="s">
        <v>2061</v>
      </c>
      <c r="P1370" s="2371" t="str">
        <f>'Part VIII-Threshold Criteria'!P285</f>
        <v>Yes</v>
      </c>
      <c r="Q1370" s="2371">
        <f>'Part VIII-Threshold Criteria'!Q285</f>
        <v>0</v>
      </c>
    </row>
    <row r="1371" spans="1:17">
      <c r="B1371" s="2308" t="s">
        <v>1936</v>
      </c>
      <c r="D1371" s="2308"/>
      <c r="E1371" s="2308"/>
      <c r="F1371" s="2308"/>
      <c r="G1371" s="2308"/>
      <c r="H1371" s="2307"/>
      <c r="I1371" s="2368"/>
      <c r="J1371" s="2368"/>
      <c r="K1371" s="2368"/>
      <c r="L1371" s="2268"/>
      <c r="M1371" s="2268"/>
      <c r="N1371" s="2268"/>
      <c r="O1371" s="2268"/>
      <c r="P1371" s="2268"/>
      <c r="Q1371" s="2268"/>
    </row>
    <row r="1372" spans="1:17" ht="33.75">
      <c r="A1372" s="2373" t="str">
        <f>'Part VIII-Threshold Criteria'!A287</f>
        <v>Please see site plan in tab 16.</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1937</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2758</v>
      </c>
      <c r="C1375" s="2248"/>
      <c r="D1375" s="2376"/>
      <c r="E1375" s="2376"/>
      <c r="F1375" s="2376"/>
      <c r="G1375" s="2376"/>
      <c r="H1375" s="2376"/>
      <c r="I1375" s="2376"/>
      <c r="J1375" s="2376"/>
      <c r="K1375" s="2376"/>
      <c r="L1375" s="2376"/>
      <c r="M1375" s="2376"/>
      <c r="O1375" s="2369" t="s">
        <v>1938</v>
      </c>
      <c r="P1375" s="2276">
        <f>'Part VIII-Threshold Criteria'!P290</f>
        <v>0</v>
      </c>
      <c r="Q1375" s="2276"/>
    </row>
    <row r="1377" spans="1:17" ht="12.75" customHeight="1">
      <c r="A1377" s="2413"/>
      <c r="B1377" s="2370" t="s">
        <v>2058</v>
      </c>
      <c r="C1377" s="2373" t="s">
        <v>2936</v>
      </c>
      <c r="D1377" s="2176"/>
      <c r="E1377" s="2176"/>
      <c r="F1377" s="2176"/>
      <c r="G1377" s="2176"/>
      <c r="H1377" s="2176"/>
      <c r="I1377" s="2176"/>
      <c r="J1377" s="2176"/>
      <c r="K1377" s="2176"/>
      <c r="L1377" s="2176"/>
      <c r="M1377" s="2176"/>
      <c r="N1377" s="2176"/>
      <c r="O1377" s="2414" t="s">
        <v>2058</v>
      </c>
      <c r="P1377" s="2371" t="str">
        <f>'Part VIII-Threshold Criteria'!P292</f>
        <v>Agree</v>
      </c>
      <c r="Q1377" s="2371">
        <f>'Part VIII-Threshold Criteria'!Q292</f>
        <v>0</v>
      </c>
    </row>
    <row r="1378" spans="1:17" ht="12.75" customHeight="1">
      <c r="A1378" s="2413"/>
      <c r="B1378" s="2370" t="s">
        <v>2061</v>
      </c>
      <c r="C1378" s="2373" t="s">
        <v>2937</v>
      </c>
      <c r="D1378" s="2176"/>
      <c r="E1378" s="2176"/>
      <c r="F1378" s="2176"/>
      <c r="G1378" s="2176"/>
      <c r="H1378" s="2176"/>
      <c r="I1378" s="2176"/>
      <c r="J1378" s="2176"/>
      <c r="K1378" s="2176"/>
      <c r="L1378" s="2176"/>
      <c r="M1378" s="2176"/>
      <c r="N1378" s="2176"/>
      <c r="O1378" s="2414" t="s">
        <v>2061</v>
      </c>
      <c r="P1378" s="2371" t="str">
        <f>'Part VIII-Threshold Criteria'!P293</f>
        <v>Agree</v>
      </c>
      <c r="Q1378" s="2371">
        <f>'Part VIII-Threshold Criteria'!Q293</f>
        <v>0</v>
      </c>
    </row>
    <row r="1379" spans="1:17">
      <c r="B1379" s="2308" t="s">
        <v>1936</v>
      </c>
      <c r="D1379" s="2308"/>
      <c r="E1379" s="2308"/>
      <c r="F1379" s="2308"/>
      <c r="G1379" s="2308"/>
      <c r="H1379" s="2307"/>
      <c r="I1379" s="2368"/>
      <c r="J1379" s="2368"/>
      <c r="K1379" s="2368"/>
      <c r="L1379" s="2268"/>
      <c r="M1379" s="2268"/>
      <c r="N1379" s="2268"/>
      <c r="O1379" s="2268"/>
      <c r="P1379" s="2268"/>
      <c r="Q1379" s="2268"/>
    </row>
    <row r="1380" spans="1:17" ht="101.25">
      <c r="A1380" s="2373" t="str">
        <f>'Part VIII-Threshold Criteria'!A295</f>
        <v>The development will meet all energy requirements of the QAP and architectural manual.</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1937</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2759</v>
      </c>
      <c r="C1383" s="2430"/>
      <c r="D1383" s="2431"/>
      <c r="E1383" s="2376"/>
      <c r="F1383" s="2376"/>
      <c r="G1383" s="2376"/>
      <c r="H1383" s="2376"/>
      <c r="I1383" s="2376"/>
      <c r="J1383" s="2376"/>
      <c r="K1383" s="2376"/>
      <c r="L1383" s="2376"/>
      <c r="M1383" s="2376"/>
      <c r="O1383" s="2369" t="s">
        <v>1938</v>
      </c>
      <c r="P1383" s="2276">
        <f>'Part VIII-Threshold Criteria'!P298</f>
        <v>0</v>
      </c>
      <c r="Q1383" s="2276"/>
    </row>
    <row r="1385" spans="1:17" ht="12.75" customHeight="1">
      <c r="B1385" s="2370" t="s">
        <v>2058</v>
      </c>
      <c r="C1385" s="2414" t="s">
        <v>1803</v>
      </c>
      <c r="D1385" s="2373" t="s">
        <v>3735</v>
      </c>
      <c r="E1385" s="2373"/>
      <c r="F1385" s="2373"/>
      <c r="G1385" s="2373"/>
      <c r="H1385" s="2373"/>
      <c r="I1385" s="2373"/>
      <c r="J1385" s="2373"/>
      <c r="K1385" s="2373"/>
      <c r="L1385" s="2373"/>
      <c r="M1385" s="2373"/>
      <c r="N1385" s="2373"/>
      <c r="O1385" s="2414" t="s">
        <v>2833</v>
      </c>
      <c r="P1385" s="2371" t="str">
        <f>'Part VIII-Threshold Criteria'!P300</f>
        <v>Yes</v>
      </c>
      <c r="Q1385" s="2371">
        <f>'Part VIII-Threshold Criteria'!Q300</f>
        <v>0</v>
      </c>
    </row>
    <row r="1386" spans="1:17" ht="12.75" customHeight="1">
      <c r="A1386" s="2413"/>
      <c r="B1386" s="2370"/>
      <c r="C1386" s="2414" t="s">
        <v>1804</v>
      </c>
      <c r="D1386" s="2373" t="s">
        <v>3719</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9"/>
      <c r="B1387" s="2372"/>
      <c r="C1387" s="2344" t="s">
        <v>1805</v>
      </c>
      <c r="D1387" s="2336" t="s">
        <v>4054</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9"/>
      <c r="B1388" s="2370" t="s">
        <v>2061</v>
      </c>
      <c r="C1388" s="2414" t="s">
        <v>1803</v>
      </c>
      <c r="D1388" s="2373" t="s">
        <v>4055</v>
      </c>
      <c r="E1388" s="2373"/>
      <c r="F1388" s="2373"/>
      <c r="G1388" s="2373"/>
      <c r="H1388" s="2373"/>
      <c r="I1388" s="2373"/>
      <c r="J1388" s="2373"/>
      <c r="K1388" s="2373"/>
      <c r="L1388" s="2373"/>
      <c r="M1388" s="2373"/>
      <c r="N1388" s="2373"/>
      <c r="O1388" s="2344" t="s">
        <v>4057</v>
      </c>
      <c r="P1388" s="2371" t="str">
        <f>'Part VIII-Threshold Criteria'!P303</f>
        <v>Yes</v>
      </c>
      <c r="Q1388" s="2371">
        <f>'Part VIII-Threshold Criteria'!Q303</f>
        <v>0</v>
      </c>
    </row>
    <row r="1389" spans="1:17" ht="12.75" customHeight="1">
      <c r="A1389" s="2079"/>
      <c r="B1389" s="2370"/>
      <c r="C1389" s="2414"/>
      <c r="D1389" s="2373" t="s">
        <v>4056</v>
      </c>
      <c r="E1389" s="2373"/>
      <c r="F1389" s="2373"/>
      <c r="G1389" s="2373"/>
      <c r="H1389" s="2373"/>
      <c r="I1389" s="2373"/>
      <c r="J1389" s="2373"/>
      <c r="K1389" s="2373"/>
      <c r="L1389" s="2373"/>
      <c r="M1389" s="2373"/>
      <c r="N1389" s="2373"/>
      <c r="O1389" s="2344" t="s">
        <v>2195</v>
      </c>
      <c r="P1389" s="2371" t="str">
        <f>'Part VIII-Threshold Criteria'!P304</f>
        <v>Yes</v>
      </c>
      <c r="Q1389" s="2371">
        <f>'Part VIII-Threshold Criteria'!Q304</f>
        <v>0</v>
      </c>
    </row>
    <row r="1390" spans="1:17" ht="12.75" customHeight="1">
      <c r="A1390" s="2079"/>
      <c r="B1390" s="2370"/>
      <c r="C1390" s="2414" t="s">
        <v>1804</v>
      </c>
      <c r="D1390" s="2373" t="s">
        <v>2832</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9"/>
      <c r="B1391" s="2370" t="s">
        <v>779</v>
      </c>
      <c r="C1391" s="2373" t="s">
        <v>4059</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9"/>
      <c r="B1392" s="2370"/>
      <c r="C1392" s="2396" t="s">
        <v>4060</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4058</v>
      </c>
      <c r="E1393" s="2373"/>
      <c r="F1393" s="2373"/>
      <c r="G1393" s="2373"/>
      <c r="H1393" s="2373"/>
      <c r="I1393" s="2373"/>
      <c r="J1393" s="2373"/>
      <c r="K1393" s="2373"/>
      <c r="L1393" s="2373"/>
      <c r="M1393" s="2373"/>
      <c r="N1393" s="2373"/>
      <c r="O1393" s="2414" t="s">
        <v>4063</v>
      </c>
      <c r="P1393" s="2371" t="str">
        <f>'Part VIII-Threshold Criteria'!P308</f>
        <v>Yes</v>
      </c>
      <c r="Q1393" s="2371">
        <f>'Part VIII-Threshold Criteria'!Q308</f>
        <v>0</v>
      </c>
    </row>
    <row r="1394" spans="1:17" ht="12.75" customHeight="1">
      <c r="A1394" s="2413"/>
      <c r="B1394" s="2370"/>
      <c r="C1394" s="2414" t="s">
        <v>1804</v>
      </c>
      <c r="D1394" s="2373" t="s">
        <v>4131</v>
      </c>
      <c r="E1394" s="2373"/>
      <c r="F1394" s="2373"/>
      <c r="G1394" s="2373"/>
      <c r="H1394" s="2373"/>
      <c r="I1394" s="2373"/>
      <c r="J1394" s="2373"/>
      <c r="K1394" s="2373"/>
      <c r="L1394" s="2373"/>
      <c r="M1394" s="2373"/>
      <c r="N1394" s="2373"/>
      <c r="O1394" s="2414" t="s">
        <v>4064</v>
      </c>
      <c r="P1394" s="2371" t="str">
        <f>'Part VIII-Threshold Criteria'!P309</f>
        <v>Yes</v>
      </c>
      <c r="Q1394" s="2371">
        <f>'Part VIII-Threshold Criteria'!Q309</f>
        <v>0</v>
      </c>
    </row>
    <row r="1395" spans="1:17" ht="12.75" customHeight="1">
      <c r="A1395" s="2413"/>
      <c r="B1395" s="2370"/>
      <c r="C1395" s="2414" t="s">
        <v>1805</v>
      </c>
      <c r="D1395" s="2373" t="s">
        <v>4061</v>
      </c>
      <c r="E1395" s="2373"/>
      <c r="F1395" s="2373"/>
      <c r="G1395" s="2373"/>
      <c r="H1395" s="2373"/>
      <c r="I1395" s="2373"/>
      <c r="J1395" s="2373"/>
      <c r="K1395" s="2373"/>
      <c r="L1395" s="2373"/>
      <c r="M1395" s="2373"/>
      <c r="N1395" s="2373"/>
      <c r="O1395" s="2414" t="s">
        <v>4065</v>
      </c>
      <c r="P1395" s="2371" t="str">
        <f>'Part VIII-Threshold Criteria'!P310</f>
        <v>Yes</v>
      </c>
      <c r="Q1395" s="2371">
        <f>'Part VIII-Threshold Criteria'!Q310</f>
        <v>0</v>
      </c>
    </row>
    <row r="1396" spans="1:17" ht="12.75" customHeight="1">
      <c r="A1396" s="2413"/>
      <c r="B1396" s="2370"/>
      <c r="C1396" s="2414" t="s">
        <v>2448</v>
      </c>
      <c r="D1396" s="2373" t="s">
        <v>4062</v>
      </c>
      <c r="E1396" s="2373"/>
      <c r="F1396" s="2373"/>
      <c r="G1396" s="2373"/>
      <c r="H1396" s="2373"/>
      <c r="I1396" s="2373"/>
      <c r="J1396" s="2373"/>
      <c r="K1396" s="2373"/>
      <c r="L1396" s="2373"/>
      <c r="M1396" s="2373"/>
      <c r="N1396" s="2373"/>
      <c r="O1396" s="2414" t="s">
        <v>4066</v>
      </c>
      <c r="P1396" s="2371" t="str">
        <f>'Part VIII-Threshold Criteria'!P311</f>
        <v>Yes</v>
      </c>
      <c r="Q1396" s="2371">
        <f>'Part VIII-Threshold Criteria'!Q311</f>
        <v>0</v>
      </c>
    </row>
    <row r="1397" spans="1:17">
      <c r="B1397" s="2308" t="s">
        <v>1936</v>
      </c>
      <c r="D1397" s="2308"/>
      <c r="E1397" s="2308"/>
      <c r="F1397" s="2308"/>
      <c r="G1397" s="2308"/>
      <c r="H1397" s="2307"/>
      <c r="I1397" s="2368"/>
      <c r="J1397" s="2368"/>
      <c r="K1397" s="2368"/>
      <c r="L1397" s="2268"/>
      <c r="M1397" s="2268"/>
      <c r="N1397" s="2268"/>
      <c r="O1397" s="2268"/>
      <c r="P1397" s="2268"/>
      <c r="Q1397" s="2268"/>
    </row>
    <row r="1398" spans="1:17" ht="78.75">
      <c r="A1398" s="2373" t="str">
        <f>'Part VIII-Threshold Criteria'!A313</f>
        <v>The development will meet all accessibility requirements.</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1937</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2760</v>
      </c>
      <c r="C1401" s="2078"/>
      <c r="D1401" s="2078"/>
      <c r="E1401" s="2078"/>
      <c r="F1401" s="2078"/>
      <c r="G1401" s="2078"/>
      <c r="H1401" s="2376"/>
      <c r="I1401" s="2376"/>
      <c r="J1401" s="2376"/>
      <c r="K1401" s="2376"/>
      <c r="L1401" s="2376"/>
      <c r="M1401" s="2376"/>
      <c r="O1401" s="2369" t="s">
        <v>1938</v>
      </c>
      <c r="P1401" s="2276">
        <f>'Part VIII-Threshold Criteria'!P316</f>
        <v>0</v>
      </c>
      <c r="Q1401" s="2276"/>
    </row>
    <row r="1402" spans="1:17">
      <c r="B1402" s="504" t="s">
        <v>2332</v>
      </c>
      <c r="P1402" s="2371" t="str">
        <f>'Part VIII-Threshold Criteria'!P317</f>
        <v>No</v>
      </c>
      <c r="Q1402" s="2371">
        <f>'Part VIII-Threshold Criteria'!Q317</f>
        <v>0</v>
      </c>
    </row>
    <row r="1403" spans="1:17">
      <c r="B1403" s="2422" t="s">
        <v>2290</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2058</v>
      </c>
      <c r="C1404" s="2404" t="s">
        <v>4437</v>
      </c>
      <c r="D1404" s="2307"/>
      <c r="E1404" s="2307"/>
      <c r="F1404" s="2307"/>
      <c r="G1404" s="2307"/>
      <c r="H1404" s="2307"/>
      <c r="I1404" s="2307"/>
      <c r="J1404" s="2307"/>
      <c r="K1404" s="2307"/>
      <c r="L1404" s="2307"/>
      <c r="M1404" s="2307"/>
      <c r="N1404" s="2414"/>
    </row>
    <row r="1405" spans="1:17" ht="12.75" customHeight="1">
      <c r="A1405" s="2409"/>
      <c r="C1405" s="2373" t="s">
        <v>3020</v>
      </c>
      <c r="D1405" s="2373"/>
      <c r="E1405" s="2373"/>
      <c r="F1405" s="2373"/>
      <c r="G1405" s="2373"/>
      <c r="H1405" s="2373"/>
      <c r="I1405" s="2373"/>
      <c r="J1405" s="2373"/>
      <c r="K1405" s="2373"/>
      <c r="L1405" s="2373"/>
      <c r="M1405" s="2373"/>
      <c r="N1405" s="2373"/>
      <c r="O1405" s="2414" t="s">
        <v>2058</v>
      </c>
      <c r="P1405" s="2371">
        <f>'Part VIII-Threshold Criteria'!P320</f>
        <v>0</v>
      </c>
      <c r="Q1405" s="2371">
        <f>'Part VIII-Threshold Criteria'!Q320</f>
        <v>0</v>
      </c>
    </row>
    <row r="1406" spans="1:17" ht="12.75" customHeight="1">
      <c r="B1406" s="2370" t="s">
        <v>2061</v>
      </c>
      <c r="C1406" s="2410" t="s">
        <v>477</v>
      </c>
      <c r="D1406" s="2410"/>
      <c r="E1406" s="2410"/>
      <c r="F1406" s="2410"/>
      <c r="G1406" s="2410"/>
      <c r="H1406" s="2410"/>
      <c r="I1406" s="2410"/>
      <c r="J1406" s="2410"/>
      <c r="K1406" s="2410"/>
      <c r="L1406" s="2410"/>
      <c r="M1406" s="2410"/>
      <c r="O1406" s="2414" t="s">
        <v>2061</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1803</v>
      </c>
      <c r="P1407" s="2371" t="str">
        <f>'Part VIII-Threshold Criteria'!P322</f>
        <v>Yes</v>
      </c>
      <c r="Q1407" s="2371">
        <f>'Part VIII-Threshold Criteria'!Q322</f>
        <v>0</v>
      </c>
    </row>
    <row r="1408" spans="1:17" ht="12.75" customHeight="1">
      <c r="A1408" s="2409"/>
      <c r="C1408" s="2415" t="s">
        <v>1804</v>
      </c>
      <c r="D1408" s="2373" t="s">
        <v>1171</v>
      </c>
      <c r="E1408" s="2176"/>
      <c r="F1408" s="2176"/>
      <c r="G1408" s="2373"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4438</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t="str">
        <f>'Part VIII-Threshold Criteria'!D326</f>
        <v>n/a</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t="str">
        <f>'Part VIII-Threshold Criteria'!D327</f>
        <v>n/a</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1936</v>
      </c>
      <c r="D1414" s="2308"/>
      <c r="E1414" s="2308"/>
      <c r="F1414" s="2308"/>
      <c r="G1414" s="2308"/>
      <c r="H1414" s="2307"/>
      <c r="I1414" s="2368"/>
      <c r="J1414" s="2368"/>
      <c r="K1414" s="2368"/>
      <c r="L1414" s="2268"/>
      <c r="M1414" s="2268"/>
      <c r="N1414" s="2268"/>
      <c r="O1414" s="2268"/>
      <c r="P1414" s="2268"/>
      <c r="Q1414" s="2268"/>
    </row>
    <row r="1415" spans="1:17" ht="78.75">
      <c r="A1415" s="2373" t="str">
        <f>'Part VIII-Threshold Criteria'!A330</f>
        <v>The development will meet all architectural design and standards.</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1937</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3025</v>
      </c>
      <c r="C1418" s="2248"/>
      <c r="D1418" s="2376"/>
      <c r="E1418" s="2376"/>
      <c r="F1418" s="2376"/>
      <c r="G1418" s="2376"/>
      <c r="H1418" s="2376"/>
      <c r="O1418" s="2369" t="s">
        <v>1938</v>
      </c>
      <c r="P1418" s="2276">
        <f>'Part VIII-Threshold Criteria'!P333</f>
        <v>0</v>
      </c>
      <c r="Q1418" s="2276"/>
    </row>
    <row r="1419" spans="1:17">
      <c r="B1419" s="504" t="s">
        <v>3026</v>
      </c>
      <c r="P1419" s="2371" t="str">
        <f>'Part VIII-Threshold Criteria'!P334</f>
        <v>Yes</v>
      </c>
      <c r="Q1419" s="2371">
        <f>'Part VIII-Threshold Criteria'!Q334</f>
        <v>0</v>
      </c>
    </row>
    <row r="1420" spans="1:17">
      <c r="B1420" s="504" t="s">
        <v>2431</v>
      </c>
      <c r="P1420" s="2371" t="str">
        <f>'Part VIII-Threshold Criteria'!P335</f>
        <v>No</v>
      </c>
      <c r="Q1420" s="2371">
        <f>'Part VIII-Threshold Criteria'!Q335</f>
        <v>0</v>
      </c>
    </row>
    <row r="1421" spans="1:17">
      <c r="B1421" s="504" t="s">
        <v>3027</v>
      </c>
      <c r="M1421" s="2318" t="str">
        <f>'Part VIII-Threshold Criteria'!M336</f>
        <v>Qualified w/out Conditions</v>
      </c>
      <c r="N1421" s="2318"/>
      <c r="O1421" s="2318"/>
    </row>
    <row r="1422" spans="1:17">
      <c r="B1422" s="2418" t="s">
        <v>2432</v>
      </c>
      <c r="M1422" s="2318" t="str">
        <f>'Part VIII-Threshold Criteria'!M337</f>
        <v>&lt;&lt; Select Designation &gt;&gt;</v>
      </c>
      <c r="N1422" s="2318"/>
      <c r="O1422" s="2318"/>
    </row>
    <row r="1423" spans="1:17">
      <c r="B1423" s="2308" t="s">
        <v>1936</v>
      </c>
      <c r="D1423" s="2308"/>
      <c r="E1423" s="2308"/>
      <c r="F1423" s="2308"/>
      <c r="G1423" s="2308"/>
      <c r="H1423" s="2307"/>
      <c r="I1423" s="2368"/>
      <c r="J1423" s="2368"/>
      <c r="K1423" s="2368"/>
      <c r="L1423" s="2268"/>
      <c r="M1423" s="2268"/>
      <c r="N1423" s="2268"/>
      <c r="O1423" s="2268"/>
      <c r="P1423" s="2268"/>
      <c r="Q1423" s="2268"/>
    </row>
    <row r="1424" spans="1:17" ht="112.5">
      <c r="A1424" s="2373" t="str">
        <f>'Part VIII-Threshold Criteria'!A339</f>
        <v>The project team is qualified w/o conditions. See tab 20 for qualification determination letter.</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1937</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2761</v>
      </c>
      <c r="C1427" s="2078"/>
      <c r="D1427" s="2367"/>
      <c r="E1427" s="2376"/>
      <c r="F1427" s="2376"/>
      <c r="G1427" s="2376"/>
      <c r="H1427" s="2376"/>
      <c r="I1427" s="2376"/>
      <c r="J1427" s="2376"/>
      <c r="K1427" s="2376"/>
      <c r="L1427" s="2376"/>
      <c r="M1427" s="2376"/>
      <c r="O1427" s="2369" t="s">
        <v>1938</v>
      </c>
      <c r="P1427" s="2276">
        <f>'Part VIII-Threshold Criteria'!P342</f>
        <v>0</v>
      </c>
      <c r="Q1427" s="2276"/>
    </row>
    <row r="1428" spans="1:17" ht="12.75" customHeight="1">
      <c r="B1428" s="2370" t="s">
        <v>2058</v>
      </c>
      <c r="C1428" s="2373" t="s">
        <v>4090</v>
      </c>
      <c r="D1428" s="2373"/>
      <c r="E1428" s="2373"/>
      <c r="F1428" s="2373"/>
      <c r="G1428" s="2373"/>
      <c r="H1428" s="2373"/>
      <c r="I1428" s="2373"/>
      <c r="J1428" s="2373"/>
      <c r="K1428" s="2373"/>
      <c r="L1428" s="2373"/>
      <c r="M1428" s="2373"/>
      <c r="N1428" s="2373"/>
      <c r="O1428" s="2414" t="s">
        <v>2058</v>
      </c>
      <c r="P1428" s="2371" t="str">
        <f>'Part VIII-Threshold Criteria'!P343</f>
        <v>Yes</v>
      </c>
      <c r="Q1428" s="2371">
        <f>'Part VIII-Threshold Criteria'!Q343</f>
        <v>0</v>
      </c>
    </row>
    <row r="1429" spans="1:17" ht="12.75" customHeight="1">
      <c r="B1429" s="2370" t="s">
        <v>2061</v>
      </c>
      <c r="C1429" s="2373" t="s">
        <v>4091</v>
      </c>
      <c r="D1429" s="2373"/>
      <c r="E1429" s="2373"/>
      <c r="F1429" s="2373"/>
      <c r="G1429" s="2373"/>
      <c r="H1429" s="2373"/>
      <c r="I1429" s="2373"/>
      <c r="J1429" s="2373"/>
      <c r="K1429" s="2373"/>
      <c r="L1429" s="2373"/>
      <c r="M1429" s="2373"/>
      <c r="N1429" s="2373"/>
      <c r="O1429" s="2414" t="s">
        <v>2061</v>
      </c>
      <c r="P1429" s="2371" t="str">
        <f>'Part VIII-Threshold Criteria'!P344</f>
        <v>No</v>
      </c>
      <c r="Q1429" s="2371">
        <f>'Part VIII-Threshold Criteria'!Q344</f>
        <v>0</v>
      </c>
    </row>
    <row r="1430" spans="1:17" ht="12.75" customHeight="1">
      <c r="B1430" s="2370" t="s">
        <v>779</v>
      </c>
      <c r="C1430" s="2373" t="s">
        <v>3736</v>
      </c>
      <c r="D1430" s="2373"/>
      <c r="E1430" s="2373"/>
      <c r="F1430" s="2373"/>
      <c r="G1430" s="2373"/>
      <c r="H1430" s="2373"/>
      <c r="I1430" s="2373"/>
      <c r="J1430" s="2373"/>
      <c r="K1430" s="2373"/>
      <c r="L1430" s="2373"/>
      <c r="M1430" s="2373"/>
      <c r="N1430" s="2373"/>
      <c r="O1430" s="2414" t="s">
        <v>779</v>
      </c>
      <c r="P1430" s="2371">
        <f>'Part VIII-Threshold Criteria'!P345</f>
        <v>0</v>
      </c>
      <c r="Q1430" s="2371">
        <f>'Part VIII-Threshold Criteria'!Q345</f>
        <v>0</v>
      </c>
    </row>
    <row r="1431" spans="1:17">
      <c r="B1431" s="2308" t="s">
        <v>1936</v>
      </c>
      <c r="D1431" s="2308"/>
      <c r="E1431" s="2308"/>
      <c r="F1431" s="2308"/>
      <c r="G1431" s="2308"/>
      <c r="H1431" s="2307"/>
      <c r="I1431" s="2368"/>
      <c r="J1431" s="2368"/>
      <c r="K1431" s="2368"/>
      <c r="L1431" s="2268"/>
      <c r="M1431" s="2268"/>
      <c r="N1431" s="2268"/>
      <c r="O1431" s="2268"/>
      <c r="P1431" s="2268"/>
      <c r="Q1431" s="2268"/>
    </row>
    <row r="1432" spans="1:17" ht="67.5">
      <c r="A1432" s="2373" t="str">
        <f>'Part VIII-Threshold Criteria'!A347</f>
        <v>All compliance history was submitted in the pre-application.</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1937</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2782</v>
      </c>
      <c r="C1436" s="2078"/>
      <c r="D1436" s="2078"/>
      <c r="E1436" s="2078"/>
      <c r="F1436" s="2078"/>
      <c r="G1436" s="2078"/>
      <c r="H1436" s="2376"/>
      <c r="I1436" s="2376"/>
      <c r="J1436" s="2376"/>
      <c r="K1436" s="2376"/>
      <c r="L1436" s="2376"/>
      <c r="M1436" s="2376"/>
      <c r="O1436" s="2369" t="s">
        <v>1938</v>
      </c>
      <c r="P1436" s="2276">
        <f>'Part VIII-Threshold Criteria'!P351</f>
        <v>0</v>
      </c>
      <c r="Q1436" s="2276"/>
    </row>
    <row r="1437" spans="1:17">
      <c r="B1437" s="2372" t="s">
        <v>2058</v>
      </c>
      <c r="C1437" s="519" t="s">
        <v>2780</v>
      </c>
      <c r="D1437" s="2265"/>
      <c r="E1437" s="2265"/>
      <c r="F1437" s="2265"/>
      <c r="G1437" s="2265"/>
      <c r="H1437" s="2265"/>
      <c r="I1437" s="2079"/>
      <c r="J1437" s="2344" t="s">
        <v>2058</v>
      </c>
      <c r="K1437" s="2367">
        <f>'Part VIII-Threshold Criteria'!K352</f>
        <v>0</v>
      </c>
      <c r="L1437" s="2367"/>
      <c r="M1437" s="2367"/>
      <c r="N1437" s="2367"/>
      <c r="O1437" s="2367"/>
      <c r="P1437" s="2367"/>
      <c r="Q1437" s="2371">
        <f>'Part VIII-Threshold Criteria'!Q352</f>
        <v>0</v>
      </c>
    </row>
    <row r="1438" spans="1:17" ht="12.75" customHeight="1">
      <c r="B1438" s="2370" t="s">
        <v>2061</v>
      </c>
      <c r="C1438" s="2336" t="s">
        <v>3891</v>
      </c>
      <c r="D1438" s="2336"/>
      <c r="E1438" s="2336"/>
      <c r="F1438" s="2336"/>
      <c r="G1438" s="2336"/>
      <c r="H1438" s="2336"/>
      <c r="I1438" s="2336"/>
      <c r="J1438" s="2336"/>
      <c r="K1438" s="2336"/>
      <c r="L1438" s="2336"/>
      <c r="M1438" s="2336"/>
      <c r="N1438" s="2336"/>
      <c r="O1438" s="2414" t="s">
        <v>2061</v>
      </c>
      <c r="P1438" s="2371">
        <f>'Part VIII-Threshold Criteria'!P353</f>
        <v>0</v>
      </c>
      <c r="Q1438" s="2371">
        <f>'Part VIII-Threshold Criteria'!Q353</f>
        <v>0</v>
      </c>
    </row>
    <row r="1439" spans="1:17" ht="12.75" customHeight="1">
      <c r="B1439" s="2370" t="s">
        <v>779</v>
      </c>
      <c r="C1439" s="2373" t="s">
        <v>3892</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2193</v>
      </c>
      <c r="C1440" s="519" t="s">
        <v>2781</v>
      </c>
      <c r="D1440" s="519"/>
      <c r="E1440" s="519"/>
      <c r="F1440" s="519"/>
      <c r="G1440" s="519"/>
      <c r="H1440" s="519"/>
      <c r="I1440" s="519"/>
      <c r="J1440" s="519"/>
      <c r="K1440" s="519"/>
      <c r="L1440" s="519"/>
      <c r="M1440" s="519"/>
      <c r="O1440" s="2344" t="s">
        <v>2193</v>
      </c>
      <c r="P1440" s="2371">
        <f>'Part VIII-Threshold Criteria'!P355</f>
        <v>0</v>
      </c>
      <c r="Q1440" s="2371">
        <f>'Part VIII-Threshold Criteria'!Q355</f>
        <v>0</v>
      </c>
    </row>
    <row r="1441" spans="1:17" ht="12.75" customHeight="1">
      <c r="A1441" s="2413"/>
      <c r="B1441" s="2370" t="s">
        <v>1801</v>
      </c>
      <c r="C1441" s="2373" t="s">
        <v>3893</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2783</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3894</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2021</v>
      </c>
      <c r="C1444" s="2373" t="s">
        <v>3895</v>
      </c>
      <c r="D1444" s="2373"/>
      <c r="E1444" s="2373"/>
      <c r="F1444" s="2373"/>
      <c r="G1444" s="2373"/>
      <c r="H1444" s="2373"/>
      <c r="I1444" s="2373"/>
      <c r="J1444" s="2373"/>
      <c r="K1444" s="2373"/>
      <c r="L1444" s="2373"/>
      <c r="M1444" s="2373"/>
      <c r="N1444" s="2373"/>
      <c r="O1444" s="2414" t="s">
        <v>2021</v>
      </c>
      <c r="P1444" s="2371">
        <f>'Part VIII-Threshold Criteria'!P359</f>
        <v>0</v>
      </c>
      <c r="Q1444" s="2371">
        <f>'Part VIII-Threshold Criteria'!Q359</f>
        <v>0</v>
      </c>
    </row>
    <row r="1445" spans="1:17" ht="12.75" customHeight="1">
      <c r="B1445" s="2370" t="s">
        <v>3559</v>
      </c>
      <c r="C1445" s="2381" t="s">
        <v>3896</v>
      </c>
      <c r="D1445" s="2381"/>
      <c r="E1445" s="2381"/>
      <c r="F1445" s="2381"/>
      <c r="G1445" s="2381"/>
      <c r="H1445" s="2381"/>
      <c r="I1445" s="2381"/>
      <c r="J1445" s="2381"/>
      <c r="K1445" s="2381"/>
      <c r="L1445" s="2381"/>
      <c r="M1445" s="2381"/>
      <c r="N1445" s="2381"/>
      <c r="O1445" s="2414" t="s">
        <v>3559</v>
      </c>
      <c r="P1445" s="2371">
        <f>'Part VIII-Threshold Criteria'!P360</f>
        <v>0</v>
      </c>
      <c r="Q1445" s="2371">
        <f>'Part VIII-Threshold Criteria'!Q360</f>
        <v>0</v>
      </c>
    </row>
    <row r="1446" spans="1:17">
      <c r="B1446" s="2308" t="s">
        <v>1936</v>
      </c>
      <c r="D1446" s="2308"/>
      <c r="E1446" s="2308"/>
      <c r="F1446" s="2308"/>
      <c r="G1446" s="2308"/>
      <c r="H1446" s="2307"/>
      <c r="I1446" s="2368"/>
      <c r="J1446" s="2368"/>
      <c r="K1446" s="2368"/>
      <c r="L1446" s="2268"/>
      <c r="M1446" s="2268"/>
      <c r="N1446" s="2268"/>
      <c r="O1446" s="2268"/>
      <c r="P1446" s="2268"/>
      <c r="Q1446" s="2268"/>
    </row>
    <row r="1447" spans="1:17" ht="56.25">
      <c r="A1447" s="2373" t="str">
        <f>'Part VIII-Threshold Criteria'!A362</f>
        <v>n/a -This development is not for a non-profit entity.</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1937</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2784</v>
      </c>
      <c r="C1451" s="2078"/>
      <c r="D1451" s="2078"/>
      <c r="E1451" s="2078"/>
      <c r="F1451" s="2078"/>
      <c r="G1451" s="2078"/>
      <c r="H1451" s="2376"/>
      <c r="I1451" s="2376"/>
      <c r="J1451" s="2376"/>
      <c r="O1451" s="2369" t="s">
        <v>1938</v>
      </c>
      <c r="P1451" s="2276">
        <f>'Part VIII-Threshold Criteria'!P366</f>
        <v>0</v>
      </c>
      <c r="Q1451" s="2276"/>
    </row>
    <row r="1452" spans="1:17">
      <c r="B1452" s="2372" t="s">
        <v>2058</v>
      </c>
      <c r="C1452" s="519" t="s">
        <v>1071</v>
      </c>
      <c r="E1452" s="2367">
        <f>'Part VIII-Threshold Criteria'!E367</f>
        <v>0</v>
      </c>
      <c r="F1452" s="2367"/>
      <c r="G1452" s="2367"/>
      <c r="H1452" s="2367"/>
      <c r="I1452" s="2367"/>
      <c r="J1452" s="519" t="s">
        <v>2765</v>
      </c>
      <c r="K1452" s="519"/>
      <c r="L1452" s="519"/>
      <c r="M1452" s="2367">
        <f>'Part VIII-Threshold Criteria'!M367</f>
        <v>0</v>
      </c>
      <c r="N1452" s="2367"/>
      <c r="O1452" s="2367"/>
      <c r="P1452" s="2367"/>
      <c r="Q1452" s="2367"/>
    </row>
    <row r="1453" spans="1:17">
      <c r="B1453" s="2372" t="s">
        <v>2061</v>
      </c>
      <c r="C1453" s="519" t="s">
        <v>3720</v>
      </c>
      <c r="D1453" s="519"/>
      <c r="E1453" s="519"/>
      <c r="F1453" s="519"/>
      <c r="G1453" s="519"/>
      <c r="H1453" s="519"/>
      <c r="I1453" s="519"/>
      <c r="J1453" s="519"/>
      <c r="K1453" s="519"/>
      <c r="L1453" s="2307"/>
      <c r="M1453" s="2307"/>
      <c r="O1453" s="2344" t="s">
        <v>2061</v>
      </c>
      <c r="P1453" s="2371">
        <f>'Part VIII-Threshold Criteria'!P368</f>
        <v>0</v>
      </c>
      <c r="Q1453" s="2371">
        <f>'Part VIII-Threshold Criteria'!Q368</f>
        <v>0</v>
      </c>
    </row>
    <row r="1454" spans="1:17" ht="12.75" customHeight="1">
      <c r="B1454" s="2370" t="s">
        <v>779</v>
      </c>
      <c r="C1454" s="2336" t="s">
        <v>3737</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2193</v>
      </c>
      <c r="C1455" s="504" t="s">
        <v>4151</v>
      </c>
      <c r="G1455" s="2302"/>
      <c r="H1455" s="2302"/>
      <c r="I1455" s="2302"/>
      <c r="J1455" s="2307" t="s">
        <v>4152</v>
      </c>
      <c r="L1455" s="2302"/>
      <c r="M1455" s="2433">
        <f>'Part III-Sources of Funds'!E1009</f>
        <v>0</v>
      </c>
      <c r="N1455" s="2433"/>
      <c r="O1455" s="2344" t="s">
        <v>2193</v>
      </c>
      <c r="P1455" s="2371">
        <f>'Part VIII-Threshold Criteria'!P370</f>
        <v>0</v>
      </c>
      <c r="Q1455" s="2371">
        <f>'Part VIII-Threshold Criteria'!Q370</f>
        <v>0</v>
      </c>
    </row>
    <row r="1456" spans="1:17">
      <c r="B1456" s="2308" t="s">
        <v>1936</v>
      </c>
      <c r="D1456" s="2308"/>
      <c r="E1456" s="2308"/>
      <c r="F1456" s="2308"/>
      <c r="G1456" s="2308"/>
      <c r="H1456" s="2307"/>
      <c r="I1456" s="2368"/>
      <c r="J1456" s="2368"/>
      <c r="K1456" s="2368"/>
      <c r="L1456" s="2268"/>
      <c r="M1456" s="2268"/>
      <c r="N1456" s="2268"/>
      <c r="O1456" s="2268"/>
      <c r="P1456" s="2268"/>
      <c r="Q1456" s="2268"/>
    </row>
    <row r="1457" spans="1:17" ht="56.25">
      <c r="A1457" s="2373" t="str">
        <f>'Part VIII-Threshold Criteria'!A372</f>
        <v>n/a - This development is not in the CHDO set aside.</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1937</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2762</v>
      </c>
      <c r="C1461" s="2078"/>
      <c r="D1461" s="2078"/>
      <c r="E1461" s="2376"/>
      <c r="G1461" s="2396" t="s">
        <v>729</v>
      </c>
      <c r="H1461" s="2376"/>
      <c r="I1461" s="2376"/>
      <c r="J1461" s="2376"/>
      <c r="K1461" s="2376"/>
      <c r="L1461" s="2376"/>
      <c r="M1461" s="2376"/>
      <c r="O1461" s="2369" t="s">
        <v>1938</v>
      </c>
      <c r="P1461" s="2276">
        <f>'Part VIII-Threshold Criteria'!P376</f>
        <v>0</v>
      </c>
      <c r="Q1461" s="2276"/>
    </row>
    <row r="1462" spans="1:17">
      <c r="A1462" s="2409"/>
      <c r="B1462" s="2372" t="s">
        <v>2058</v>
      </c>
      <c r="C1462" s="519" t="s">
        <v>2767</v>
      </c>
      <c r="D1462" s="2373"/>
      <c r="E1462" s="2373"/>
      <c r="H1462" s="2396"/>
      <c r="O1462" s="2344" t="s">
        <v>2058</v>
      </c>
      <c r="P1462" s="2371">
        <f>'Part VIII-Threshold Criteria'!P377</f>
        <v>0</v>
      </c>
      <c r="Q1462" s="2371">
        <f>'Part VIII-Threshold Criteria'!Q377</f>
        <v>0</v>
      </c>
    </row>
    <row r="1463" spans="1:17">
      <c r="A1463" s="2409"/>
      <c r="B1463" s="2372" t="s">
        <v>2061</v>
      </c>
      <c r="C1463" s="519" t="s">
        <v>3897</v>
      </c>
      <c r="D1463" s="2373"/>
      <c r="E1463" s="2373"/>
      <c r="O1463" s="2344" t="s">
        <v>2061</v>
      </c>
      <c r="P1463" s="2371">
        <f>'Part VIII-Threshold Criteria'!P378</f>
        <v>0</v>
      </c>
      <c r="Q1463" s="2371">
        <f>'Part VIII-Threshold Criteria'!Q378</f>
        <v>0</v>
      </c>
    </row>
    <row r="1464" spans="1:17">
      <c r="A1464" s="2409"/>
      <c r="B1464" s="2372" t="s">
        <v>779</v>
      </c>
      <c r="C1464" s="519" t="s">
        <v>3898</v>
      </c>
      <c r="D1464" s="2373"/>
      <c r="E1464" s="2373"/>
      <c r="O1464" s="2344" t="s">
        <v>779</v>
      </c>
      <c r="P1464" s="2371">
        <f>'Part VIII-Threshold Criteria'!P379</f>
        <v>0</v>
      </c>
      <c r="Q1464" s="2371">
        <f>'Part VIII-Threshold Criteria'!Q379</f>
        <v>0</v>
      </c>
    </row>
    <row r="1465" spans="1:17">
      <c r="A1465" s="2409"/>
      <c r="B1465" s="2372" t="s">
        <v>2193</v>
      </c>
      <c r="C1465" s="519" t="s">
        <v>3899</v>
      </c>
      <c r="E1465" s="2396"/>
      <c r="O1465" s="2344" t="s">
        <v>2193</v>
      </c>
      <c r="P1465" s="2371">
        <f>'Part VIII-Threshold Criteria'!P380</f>
        <v>0</v>
      </c>
      <c r="Q1465" s="2371">
        <f>'Part VIII-Threshold Criteria'!Q380</f>
        <v>0</v>
      </c>
    </row>
    <row r="1466" spans="1:17">
      <c r="B1466" s="2372" t="s">
        <v>1801</v>
      </c>
      <c r="C1466" s="519" t="s">
        <v>2157</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1936</v>
      </c>
      <c r="D1467" s="2308"/>
      <c r="E1467" s="2308"/>
      <c r="F1467" s="2308"/>
      <c r="G1467" s="2308"/>
      <c r="H1467" s="2307"/>
      <c r="I1467" s="2368"/>
      <c r="J1467" s="2368"/>
      <c r="K1467" s="2368"/>
      <c r="L1467" s="2268"/>
      <c r="M1467" s="2268"/>
      <c r="N1467" s="2268"/>
      <c r="O1467" s="2268"/>
      <c r="P1467" s="2268"/>
      <c r="Q1467" s="2268"/>
    </row>
    <row r="1468" spans="1:17" ht="56.25">
      <c r="A1468" s="2373" t="str">
        <f>'Part VIII-Threshold Criteria'!A383</f>
        <v>n/a - This development is not for a non-profit entity.</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1937</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2763</v>
      </c>
      <c r="C1472" s="2078"/>
      <c r="D1472" s="2078"/>
      <c r="E1472" s="2078"/>
      <c r="F1472" s="2078"/>
      <c r="G1472" s="2078"/>
      <c r="H1472" s="2376"/>
      <c r="I1472" s="2376"/>
      <c r="J1472" s="2376"/>
      <c r="K1472" s="2376"/>
      <c r="L1472" s="2376"/>
      <c r="M1472" s="2376"/>
      <c r="O1472" s="2369" t="s">
        <v>1938</v>
      </c>
      <c r="P1472" s="2276">
        <f>'Part VIII-Threshold Criteria'!P387</f>
        <v>0</v>
      </c>
      <c r="Q1472" s="2276"/>
    </row>
    <row r="1473" spans="1:17">
      <c r="A1473" s="2079"/>
      <c r="B1473" s="2372" t="s">
        <v>2058</v>
      </c>
      <c r="C1473" s="519" t="s">
        <v>782</v>
      </c>
      <c r="D1473" s="2079"/>
      <c r="E1473" s="2079"/>
      <c r="F1473" s="2079"/>
      <c r="G1473" s="2079"/>
      <c r="H1473" s="2079"/>
      <c r="I1473" s="2079"/>
      <c r="J1473" s="2079"/>
      <c r="K1473" s="2079"/>
      <c r="L1473" s="2079"/>
      <c r="M1473" s="2079"/>
      <c r="N1473" s="2079"/>
      <c r="O1473" s="2344" t="s">
        <v>2058</v>
      </c>
      <c r="P1473" s="2371" t="str">
        <f>'Part VIII-Threshold Criteria'!P388</f>
        <v>No</v>
      </c>
      <c r="Q1473" s="2371">
        <f>'Part VIII-Threshold Criteria'!Q388</f>
        <v>0</v>
      </c>
    </row>
    <row r="1474" spans="1:17">
      <c r="A1474" s="2079"/>
      <c r="B1474" s="2372" t="s">
        <v>2061</v>
      </c>
      <c r="C1474" s="519" t="s">
        <v>3741</v>
      </c>
      <c r="D1474" s="2079"/>
      <c r="E1474" s="2079"/>
      <c r="F1474" s="2079"/>
      <c r="G1474" s="2079"/>
      <c r="H1474" s="2079"/>
      <c r="I1474" s="2079"/>
      <c r="J1474" s="2079"/>
      <c r="K1474" s="2079"/>
      <c r="L1474" s="2079"/>
      <c r="M1474" s="2079"/>
      <c r="N1474" s="2079"/>
      <c r="O1474" s="2344" t="s">
        <v>1502</v>
      </c>
      <c r="P1474" s="2371" t="str">
        <f>'Part VIII-Threshold Criteria'!P389</f>
        <v>Yes</v>
      </c>
      <c r="Q1474" s="2371">
        <f>'Part VIII-Threshold Criteria'!Q389</f>
        <v>0</v>
      </c>
    </row>
    <row r="1475" spans="1:17">
      <c r="A1475" s="2079"/>
      <c r="B1475" s="2372"/>
      <c r="C1475" s="519" t="s">
        <v>1540</v>
      </c>
      <c r="D1475" s="519"/>
      <c r="E1475" s="519"/>
      <c r="F1475" s="519"/>
      <c r="G1475" s="519"/>
      <c r="H1475" s="519"/>
      <c r="I1475" s="519"/>
      <c r="J1475" s="519"/>
      <c r="K1475" s="519"/>
      <c r="L1475" s="519"/>
      <c r="M1475" s="519"/>
      <c r="N1475" s="2079"/>
    </row>
    <row r="1476" spans="1:17">
      <c r="A1476" s="2079"/>
      <c r="B1476" s="2372"/>
      <c r="C1476" s="519" t="s">
        <v>1804</v>
      </c>
      <c r="D1476" s="519" t="s">
        <v>3738</v>
      </c>
      <c r="E1476" s="519"/>
      <c r="F1476" s="519"/>
      <c r="G1476" s="519"/>
      <c r="H1476" s="519"/>
      <c r="I1476" s="519"/>
      <c r="J1476" s="519"/>
      <c r="K1476" s="519"/>
      <c r="L1476" s="519"/>
      <c r="M1476" s="519"/>
      <c r="N1476" s="2079"/>
      <c r="O1476" s="2344" t="s">
        <v>1804</v>
      </c>
      <c r="P1476" s="2371" t="str">
        <f>'Part VIII-Threshold Criteria'!P391</f>
        <v>No</v>
      </c>
      <c r="Q1476" s="2371">
        <f>'Part VIII-Threshold Criteria'!Q391</f>
        <v>0</v>
      </c>
    </row>
    <row r="1477" spans="1:17">
      <c r="A1477" s="2079"/>
      <c r="B1477" s="2372"/>
      <c r="C1477" s="519" t="s">
        <v>3858</v>
      </c>
      <c r="D1477" s="519" t="s">
        <v>3859</v>
      </c>
      <c r="E1477" s="519"/>
      <c r="F1477" s="519"/>
      <c r="G1477" s="519"/>
      <c r="H1477" s="519"/>
      <c r="I1477" s="519"/>
      <c r="J1477" s="519"/>
      <c r="K1477" s="519"/>
      <c r="L1477" s="519"/>
      <c r="M1477" s="519"/>
      <c r="N1477" s="2079"/>
      <c r="O1477" s="2344" t="s">
        <v>1805</v>
      </c>
      <c r="P1477" s="2371" t="str">
        <f>'Part VIII-Threshold Criteria'!P392</f>
        <v>No</v>
      </c>
      <c r="Q1477" s="2371">
        <f>'Part VIII-Threshold Criteria'!Q392</f>
        <v>0</v>
      </c>
    </row>
    <row r="1478" spans="1:17" ht="12.75" customHeight="1">
      <c r="A1478" s="2079"/>
      <c r="B1478" s="2372" t="s">
        <v>779</v>
      </c>
      <c r="C1478" s="2336" t="s">
        <v>2280</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9"/>
      <c r="B1479" s="2372" t="s">
        <v>2193</v>
      </c>
      <c r="C1479" s="2307" t="s">
        <v>2938</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2281</v>
      </c>
      <c r="D1480" s="519"/>
      <c r="E1480" s="2079"/>
      <c r="F1480" s="2307"/>
      <c r="G1480" s="2268">
        <f>'Part VIII-Threshold Criteria'!G395</f>
        <v>0</v>
      </c>
      <c r="H1480" s="2261">
        <f>'Part VIII-Threshold Criteria'!H395</f>
        <v>0</v>
      </c>
      <c r="J1480" s="519" t="s">
        <v>2284</v>
      </c>
      <c r="K1480" s="2307"/>
      <c r="N1480" s="2268">
        <f>'Part VIII-Threshold Criteria'!N395</f>
        <v>0</v>
      </c>
      <c r="O1480" s="2261">
        <f>'Part VIII-Threshold Criteria'!O395</f>
        <v>0</v>
      </c>
    </row>
    <row r="1481" spans="1:17">
      <c r="A1481" s="2079"/>
      <c r="B1481" s="2372"/>
      <c r="C1481" s="519" t="s">
        <v>2282</v>
      </c>
      <c r="D1481" s="519"/>
      <c r="E1481" s="2079"/>
      <c r="F1481" s="2307"/>
      <c r="G1481" s="2268">
        <f>'Part VIII-Threshold Criteria'!G396</f>
        <v>0</v>
      </c>
      <c r="H1481" s="2261">
        <f>'Part VIII-Threshold Criteria'!H396</f>
        <v>0</v>
      </c>
      <c r="J1481" s="519" t="s">
        <v>2285</v>
      </c>
      <c r="K1481" s="2307"/>
      <c r="N1481" s="2268">
        <f>'Part VIII-Threshold Criteria'!N396</f>
        <v>0</v>
      </c>
      <c r="O1481" s="2261">
        <f>'Part VIII-Threshold Criteria'!O396</f>
        <v>0</v>
      </c>
    </row>
    <row r="1482" spans="1:17">
      <c r="A1482" s="2079"/>
      <c r="B1482" s="2372"/>
      <c r="C1482" s="519" t="s">
        <v>2283</v>
      </c>
      <c r="D1482" s="519"/>
      <c r="E1482" s="2079"/>
      <c r="F1482" s="2307"/>
      <c r="G1482" s="2268">
        <f>'Part VIII-Threshold Criteria'!G397</f>
        <v>0</v>
      </c>
      <c r="H1482" s="2261">
        <f>'Part VIII-Threshold Criteria'!H397</f>
        <v>0</v>
      </c>
      <c r="K1482" s="2307"/>
      <c r="L1482" s="2307"/>
      <c r="M1482" s="2307"/>
      <c r="N1482" s="2079"/>
      <c r="O1482" s="2344"/>
    </row>
    <row r="1483" spans="1:17">
      <c r="A1483" s="2079"/>
      <c r="B1483" s="2372" t="s">
        <v>1801</v>
      </c>
      <c r="C1483" s="2307" t="s">
        <v>2470</v>
      </c>
      <c r="D1483" s="2307"/>
      <c r="E1483" s="2307"/>
      <c r="F1483" s="2307"/>
      <c r="G1483" s="2307"/>
      <c r="J1483" s="2079"/>
      <c r="K1483" s="2307"/>
      <c r="L1483" s="2307"/>
      <c r="M1483" s="2307"/>
      <c r="N1483" s="2079"/>
      <c r="O1483" s="2344"/>
      <c r="P1483" s="2344"/>
      <c r="Q1483" s="2344"/>
    </row>
    <row r="1484" spans="1:17">
      <c r="A1484" s="2079"/>
      <c r="B1484" s="2372"/>
      <c r="C1484" s="504" t="s">
        <v>2286</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9"/>
      <c r="B1485" s="2372"/>
      <c r="C1485" s="504" t="s">
        <v>1224</v>
      </c>
      <c r="D1485" s="2307"/>
      <c r="E1485" s="2307"/>
      <c r="F1485" s="2307"/>
      <c r="G1485" s="2371">
        <f>'Part VIII-Threshold Criteria'!G400</f>
        <v>0</v>
      </c>
      <c r="H1485" s="2371">
        <f>'Part VIII-Threshold Criteria'!H400</f>
        <v>0</v>
      </c>
      <c r="J1485" s="504" t="s">
        <v>2333</v>
      </c>
      <c r="N1485" s="2329">
        <f>'Part VIII-Threshold Criteria'!N400</f>
        <v>0</v>
      </c>
      <c r="O1485" s="2329"/>
      <c r="P1485" s="2329"/>
      <c r="Q1485" s="2329"/>
    </row>
    <row r="1486" spans="1:17">
      <c r="B1486" s="2308" t="s">
        <v>1936</v>
      </c>
      <c r="D1486" s="2308"/>
      <c r="E1486" s="2308"/>
      <c r="F1486" s="2308"/>
      <c r="G1486" s="2308"/>
      <c r="H1486" s="2307"/>
      <c r="I1486" s="2368"/>
      <c r="J1486" s="2368"/>
      <c r="K1486" s="2368"/>
      <c r="P1486" s="2268"/>
      <c r="Q1486" s="2268"/>
    </row>
    <row r="1487" spans="1:17" ht="90">
      <c r="A1487" s="2373" t="str">
        <f>'Part VIII-Threshold Criteria'!A402</f>
        <v>n/a - This is a new construction development, the property is vacant.</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1937</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2939</v>
      </c>
      <c r="C1491" s="2078"/>
      <c r="D1491" s="2367"/>
      <c r="E1491" s="2376"/>
      <c r="F1491" s="2376"/>
      <c r="G1491" s="2376"/>
      <c r="H1491" s="2376"/>
      <c r="O1491" s="2369" t="s">
        <v>1938</v>
      </c>
      <c r="P1491" s="2276">
        <f>'Part VIII-Threshold Criteria'!P406</f>
        <v>0</v>
      </c>
      <c r="Q1491" s="2276"/>
    </row>
    <row r="1492" spans="1:17">
      <c r="A1492" s="2248"/>
      <c r="B1492" s="2367" t="s">
        <v>3561</v>
      </c>
      <c r="C1492" s="2078"/>
      <c r="D1492" s="2367"/>
      <c r="E1492" s="2376"/>
      <c r="F1492" s="2376"/>
      <c r="G1492" s="2376"/>
      <c r="H1492" s="2376"/>
    </row>
    <row r="1493" spans="1:17" ht="12.75" customHeight="1">
      <c r="A1493" s="2413"/>
      <c r="B1493" s="2370" t="s">
        <v>2058</v>
      </c>
      <c r="C1493" s="2373" t="s">
        <v>3562</v>
      </c>
      <c r="D1493" s="2373"/>
      <c r="E1493" s="2373"/>
      <c r="F1493" s="2373"/>
      <c r="G1493" s="2373"/>
      <c r="H1493" s="2373"/>
      <c r="I1493" s="2373"/>
      <c r="J1493" s="2373"/>
      <c r="K1493" s="2373"/>
      <c r="L1493" s="2373"/>
      <c r="M1493" s="2373"/>
      <c r="N1493" s="2373"/>
      <c r="O1493" s="2414" t="s">
        <v>2058</v>
      </c>
      <c r="P1493" s="2371" t="str">
        <f>'Part VIII-Threshold Criteria'!P408</f>
        <v>Agree</v>
      </c>
      <c r="Q1493" s="2371">
        <f>'Part VIII-Threshold Criteria'!Q408</f>
        <v>0</v>
      </c>
    </row>
    <row r="1494" spans="1:17" ht="12.75" customHeight="1">
      <c r="A1494" s="2413"/>
      <c r="B1494" s="2370" t="s">
        <v>2061</v>
      </c>
      <c r="C1494" s="2373" t="s">
        <v>3739</v>
      </c>
      <c r="D1494" s="2373"/>
      <c r="E1494" s="2373"/>
      <c r="F1494" s="2373"/>
      <c r="G1494" s="2373"/>
      <c r="H1494" s="2373"/>
      <c r="I1494" s="2373"/>
      <c r="J1494" s="2373"/>
      <c r="K1494" s="2373"/>
      <c r="L1494" s="2373"/>
      <c r="M1494" s="2373"/>
      <c r="N1494" s="2373"/>
      <c r="O1494" s="2414" t="s">
        <v>2061</v>
      </c>
      <c r="P1494" s="2371" t="str">
        <f>'Part VIII-Threshold Criteria'!P409</f>
        <v>Agree</v>
      </c>
      <c r="Q1494" s="2371">
        <f>'Part VIII-Threshold Criteria'!Q409</f>
        <v>0</v>
      </c>
    </row>
    <row r="1495" spans="1:17" ht="12.75" customHeight="1">
      <c r="A1495" s="2413"/>
      <c r="B1495" s="2370" t="s">
        <v>779</v>
      </c>
      <c r="C1495" s="2373" t="s">
        <v>3740</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2193</v>
      </c>
      <c r="C1496" s="2373" t="s">
        <v>3563</v>
      </c>
      <c r="D1496" s="2373"/>
      <c r="E1496" s="2373"/>
      <c r="F1496" s="2373"/>
      <c r="G1496" s="2373"/>
      <c r="H1496" s="2373"/>
      <c r="I1496" s="2373"/>
      <c r="J1496" s="2373"/>
      <c r="K1496" s="2373"/>
      <c r="L1496" s="2373"/>
      <c r="M1496" s="2373"/>
      <c r="N1496" s="2373"/>
      <c r="O1496" s="2414" t="s">
        <v>2193</v>
      </c>
      <c r="P1496" s="2371" t="str">
        <f>'Part VIII-Threshold Criteria'!P411</f>
        <v>Agree</v>
      </c>
      <c r="Q1496" s="2371">
        <f>'Part VIII-Threshold Criteria'!Q411</f>
        <v>0</v>
      </c>
    </row>
    <row r="1497" spans="1:17" ht="12.75" customHeight="1">
      <c r="A1497" s="2413"/>
      <c r="B1497" s="2370" t="s">
        <v>1801</v>
      </c>
      <c r="C1497" s="2373" t="s">
        <v>3564</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3565</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2021</v>
      </c>
      <c r="C1499" s="2373" t="s">
        <v>3742</v>
      </c>
      <c r="D1499" s="2373"/>
      <c r="E1499" s="2373"/>
      <c r="F1499" s="2373"/>
      <c r="G1499" s="2373"/>
      <c r="H1499" s="2373"/>
      <c r="I1499" s="2373"/>
      <c r="J1499" s="2373"/>
      <c r="K1499" s="2373"/>
      <c r="L1499" s="2373"/>
      <c r="M1499" s="2373"/>
      <c r="N1499" s="2373"/>
      <c r="O1499" s="2414" t="s">
        <v>2021</v>
      </c>
      <c r="P1499" s="2371" t="str">
        <f>'Part VIII-Threshold Criteria'!P414</f>
        <v>Agree</v>
      </c>
      <c r="Q1499" s="2371">
        <f>'Part VIII-Threshold Criteria'!Q414</f>
        <v>0</v>
      </c>
    </row>
    <row r="1500" spans="1:17">
      <c r="B1500" s="2308" t="s">
        <v>1936</v>
      </c>
      <c r="D1500" s="2308"/>
      <c r="E1500" s="2308"/>
      <c r="F1500" s="2308"/>
      <c r="G1500" s="2308"/>
      <c r="H1500" s="2307"/>
      <c r="I1500" s="2368"/>
      <c r="J1500" s="2368"/>
      <c r="K1500" s="2368"/>
      <c r="L1500" s="2268"/>
      <c r="M1500" s="2268"/>
      <c r="N1500" s="2268"/>
      <c r="O1500" s="2268"/>
      <c r="P1500" s="2268"/>
      <c r="Q1500" s="2268"/>
    </row>
    <row r="1501" spans="1:17" ht="67.5">
      <c r="A1501" s="2373" t="str">
        <f>'Part VIII-Threshold Criteria'!A416</f>
        <v>Applicant agrees to Affirmatively Furthering Fair Housing.</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1937</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2764</v>
      </c>
      <c r="C1505" s="2078"/>
      <c r="D1505" s="2367"/>
      <c r="E1505" s="2376"/>
      <c r="F1505" s="2376"/>
      <c r="G1505" s="2376"/>
      <c r="H1505" s="2376"/>
      <c r="I1505" s="2376"/>
      <c r="J1505" s="2376"/>
      <c r="K1505" s="2376"/>
      <c r="L1505" s="2376"/>
      <c r="M1505" s="2376"/>
      <c r="O1505" s="2369" t="s">
        <v>1938</v>
      </c>
      <c r="P1505" s="2276">
        <f>'Part VIII-Threshold Criteria'!P420</f>
        <v>0</v>
      </c>
      <c r="Q1505" s="2276"/>
    </row>
    <row r="1506" spans="1:17">
      <c r="A1506" s="2248"/>
      <c r="B1506" s="2308" t="s">
        <v>1936</v>
      </c>
      <c r="D1506" s="2308"/>
      <c r="E1506" s="2308"/>
      <c r="F1506" s="2308"/>
      <c r="G1506" s="2308"/>
      <c r="H1506" s="2307"/>
      <c r="I1506" s="2368"/>
      <c r="J1506" s="2368"/>
      <c r="K1506" s="2368"/>
      <c r="L1506" s="2268"/>
      <c r="M1506" s="2268"/>
      <c r="N1506" s="2268"/>
      <c r="O1506" s="2268"/>
      <c r="P1506" s="2268"/>
      <c r="Q1506" s="2268"/>
    </row>
    <row r="1507" spans="1:17" ht="157.5">
      <c r="A1507" s="2373" t="str">
        <f>'Part VIII-Threshold Criteria'!A422</f>
        <v>Applicant agrees to optimal utilization of all resources. We utilized the GAP method to insure the project resources are efficient.</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1937</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2016-028 The Village on Park,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4045</v>
      </c>
      <c r="B1520" s="2273"/>
      <c r="C1520" s="2273"/>
      <c r="D1520" s="2273"/>
      <c r="E1520" s="2273"/>
      <c r="F1520" s="2273"/>
      <c r="G1520" s="2273"/>
      <c r="H1520" s="2273"/>
      <c r="I1520" s="2273"/>
      <c r="J1520" s="2273"/>
      <c r="K1520" s="2273"/>
      <c r="L1520" s="2273"/>
      <c r="M1520" s="2435" t="s">
        <v>2298</v>
      </c>
      <c r="N1520" s="2080"/>
      <c r="O1520" s="2257" t="s">
        <v>2297</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2298</v>
      </c>
      <c r="P1521" s="2254" t="s">
        <v>2298</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1272</v>
      </c>
      <c r="M1523" s="2438">
        <f>M1925</f>
        <v>103</v>
      </c>
      <c r="N1523" s="2332"/>
      <c r="O1523" s="2438">
        <f>O1925</f>
        <v>61</v>
      </c>
      <c r="P1523" s="2438">
        <f>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2062</v>
      </c>
      <c r="B1525" s="2440" t="s">
        <v>2902</v>
      </c>
      <c r="C1525" s="2078"/>
      <c r="D1525" s="2078"/>
      <c r="E1525" s="2078"/>
      <c r="F1525" s="2078"/>
      <c r="G1525" s="2079"/>
      <c r="H1525" s="2335" t="s">
        <v>4439</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2058</v>
      </c>
      <c r="B1527" s="2276" t="s">
        <v>1939</v>
      </c>
      <c r="C1527" s="2079"/>
      <c r="D1527" s="2260"/>
      <c r="E1527" s="2260"/>
      <c r="F1527" s="2368" t="s">
        <v>2671</v>
      </c>
      <c r="G1527" s="2307">
        <f>F1532</f>
        <v>0</v>
      </c>
      <c r="H1527" s="2074" t="s">
        <v>4067</v>
      </c>
      <c r="I1527" s="2079"/>
      <c r="J1527" s="2079"/>
      <c r="K1527" s="2079"/>
      <c r="L1527" s="2079"/>
      <c r="M1527" s="2080"/>
      <c r="N1527" s="2344" t="s">
        <v>2058</v>
      </c>
      <c r="O1527" s="2272">
        <f>'Part IX A-Scoring Criteria'!O10</f>
        <v>0</v>
      </c>
      <c r="P1527" s="2272">
        <f>F1532</f>
        <v>0</v>
      </c>
      <c r="Q1527" s="2079"/>
      <c r="R1527" s="2079"/>
      <c r="S1527" s="2079"/>
    </row>
    <row r="1528" spans="1:19" ht="15">
      <c r="A1528" s="2288"/>
      <c r="B1528" s="2260" t="s">
        <v>2191</v>
      </c>
      <c r="C1528" s="2442"/>
      <c r="D1528" s="2260"/>
      <c r="E1528" s="2260"/>
      <c r="F1528" s="2368" t="s">
        <v>2671</v>
      </c>
      <c r="G1528" s="2307">
        <f>J1532</f>
        <v>0</v>
      </c>
      <c r="H1528" s="2074" t="s">
        <v>2881</v>
      </c>
      <c r="I1528" s="2442"/>
      <c r="J1528" s="2335"/>
      <c r="K1528" s="2442"/>
      <c r="L1528" s="2442"/>
      <c r="M1528" s="2080">
        <v>1</v>
      </c>
      <c r="N1528" s="2344"/>
      <c r="O1528" s="2272">
        <f>'Part IX A-Scoring Criteria'!O11</f>
        <v>0</v>
      </c>
      <c r="P1528" s="2272">
        <f>J1532</f>
        <v>0</v>
      </c>
      <c r="Q1528" s="2442"/>
      <c r="R1528" s="2442"/>
      <c r="S1528" s="2442"/>
    </row>
    <row r="1529" spans="1:19">
      <c r="A1529" s="2288" t="s">
        <v>2061</v>
      </c>
      <c r="B1529" s="2276" t="s">
        <v>756</v>
      </c>
      <c r="C1529" s="2079"/>
      <c r="D1529" s="2260"/>
      <c r="E1529" s="2260"/>
      <c r="F1529" s="2368" t="s">
        <v>2671</v>
      </c>
      <c r="G1529" s="2307">
        <f>O1532</f>
        <v>0</v>
      </c>
      <c r="H1529" s="2074" t="s">
        <v>4440</v>
      </c>
      <c r="I1529" s="2079"/>
      <c r="J1529" s="2335"/>
      <c r="K1529" s="2079"/>
      <c r="L1529" s="2079"/>
      <c r="M1529" s="2080"/>
      <c r="N1529" s="2344" t="s">
        <v>2061</v>
      </c>
      <c r="O1529" s="2272">
        <f>'Part IX A-Scoring Criteria'!O12</f>
        <v>0</v>
      </c>
      <c r="P1529" s="2272">
        <f>O1532</f>
        <v>0</v>
      </c>
      <c r="Q1529" s="2257"/>
      <c r="R1529" s="2079"/>
      <c r="S1529" s="2079"/>
    </row>
    <row r="1530" spans="1:19" ht="20.25">
      <c r="A1530" s="2335" t="s">
        <v>1937</v>
      </c>
      <c r="B1530" s="2079"/>
      <c r="C1530" s="2079"/>
      <c r="D1530" s="2079"/>
      <c r="E1530" s="2079"/>
      <c r="F1530" s="2368" t="s">
        <v>1780</v>
      </c>
      <c r="G1530" s="2079"/>
      <c r="H1530" s="2079"/>
      <c r="I1530" s="2079"/>
      <c r="J1530" s="2079"/>
      <c r="K1530" s="2368" t="s">
        <v>1780</v>
      </c>
      <c r="L1530" s="2079"/>
      <c r="M1530" s="2079"/>
      <c r="N1530" s="2079"/>
      <c r="O1530" s="2079"/>
      <c r="P1530" s="2344" t="s">
        <v>1780</v>
      </c>
      <c r="Q1530" s="2079"/>
      <c r="R1530" s="2443"/>
      <c r="S1530" s="2444"/>
    </row>
    <row r="1531" spans="1:19" ht="20.25">
      <c r="A1531" s="2367" t="s">
        <v>3907</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3906</v>
      </c>
      <c r="B1532" s="2367"/>
      <c r="C1532" s="2367"/>
      <c r="D1532" s="2367"/>
      <c r="E1532" s="2344" t="s">
        <v>527</v>
      </c>
      <c r="F1532" s="2257">
        <f>SUM(F1533:F1544)</f>
        <v>0</v>
      </c>
      <c r="G1532" s="2410" t="s">
        <v>3900</v>
      </c>
      <c r="H1532" s="2410"/>
      <c r="I1532" s="2410"/>
      <c r="J1532" s="2257">
        <f>SUM(J1533:J1544)</f>
        <v>0</v>
      </c>
      <c r="K1532" s="2367" t="s">
        <v>3566</v>
      </c>
      <c r="L1532" s="2367"/>
      <c r="M1532" s="2367"/>
      <c r="N1532" s="2344" t="s">
        <v>527</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1799</v>
      </c>
      <c r="K1533" s="2151">
        <f>'Part IX A-Scoring Criteria'!K16</f>
        <v>1</v>
      </c>
      <c r="L1533" s="2151"/>
      <c r="M1533" s="2151"/>
      <c r="N1533" s="2151"/>
      <c r="O1533" s="2432" t="s">
        <v>1799</v>
      </c>
      <c r="P1533" s="2432"/>
      <c r="Q1533" s="2447" t="s">
        <v>1301</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3056</v>
      </c>
      <c r="K1535" s="2151">
        <f>'Part IX A-Scoring Criteria'!K18</f>
        <v>3</v>
      </c>
      <c r="L1535" s="2151"/>
      <c r="M1535" s="2151"/>
      <c r="N1535" s="2151"/>
      <c r="O1535" s="2432" t="s">
        <v>3056</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3056</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3902</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3903</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3904</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3905</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2064</v>
      </c>
      <c r="B1546" s="2450" t="s">
        <v>3908</v>
      </c>
      <c r="C1546" s="2442"/>
      <c r="D1546" s="2442"/>
      <c r="E1546" s="519"/>
      <c r="F1546" s="2442"/>
      <c r="G1546" s="2329"/>
      <c r="H1546" s="519"/>
      <c r="I1546" s="2451" t="s">
        <v>3767</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2058</v>
      </c>
      <c r="B1548" s="2454" t="s">
        <v>2713</v>
      </c>
      <c r="C1548" s="2442"/>
      <c r="D1548" s="2442"/>
      <c r="E1548" s="519"/>
      <c r="F1548" s="2442"/>
      <c r="G1548" s="2329"/>
      <c r="H1548" s="2220" t="s">
        <v>3909</v>
      </c>
      <c r="I1548" s="2220"/>
      <c r="J1548" s="2453">
        <f>'Part VI-Revenues &amp; Expenses'!$O$60</f>
        <v>64</v>
      </c>
      <c r="K1548" s="2455"/>
      <c r="L1548" s="2442"/>
      <c r="M1548" s="2257"/>
      <c r="N1548" s="2080"/>
      <c r="O1548" s="2442"/>
      <c r="P1548" s="2442"/>
      <c r="Q1548" s="2080"/>
      <c r="R1548" s="2452"/>
      <c r="S1548" s="2442"/>
    </row>
    <row r="1549" spans="1:19" ht="15" customHeight="1">
      <c r="A1549" s="2288"/>
      <c r="B1549" s="2336" t="s">
        <v>3910</v>
      </c>
      <c r="C1549" s="2336"/>
      <c r="D1549" s="2336"/>
      <c r="E1549" s="2336"/>
      <c r="F1549" s="2336"/>
      <c r="G1549" s="2410"/>
      <c r="H1549" s="2456" t="s">
        <v>3911</v>
      </c>
      <c r="I1549" s="2456" t="s">
        <v>3912</v>
      </c>
      <c r="J1549" s="2410"/>
      <c r="K1549" s="519" t="s">
        <v>3568</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4068</v>
      </c>
      <c r="I1550" s="2336"/>
      <c r="J1550" s="2458"/>
      <c r="K1550" s="2456" t="s">
        <v>3911</v>
      </c>
      <c r="L1550" s="2456" t="s">
        <v>3912</v>
      </c>
      <c r="M1550" s="2080"/>
      <c r="N1550" s="2459" t="s">
        <v>2058</v>
      </c>
      <c r="O1550" s="2460">
        <f>SUM(O1551:O1552)</f>
        <v>2</v>
      </c>
      <c r="P1550" s="2460">
        <f>SUM(P1551:P1552)</f>
        <v>0</v>
      </c>
      <c r="Q1550" s="2457"/>
      <c r="R1550" s="2457"/>
      <c r="S1550" s="2457"/>
    </row>
    <row r="1551" spans="1:19" ht="15">
      <c r="A1551" s="2461"/>
      <c r="B1551" s="2462" t="s">
        <v>2062</v>
      </c>
      <c r="C1551" s="2463">
        <v>0.15</v>
      </c>
      <c r="D1551" s="2396" t="s">
        <v>3567</v>
      </c>
      <c r="E1551" s="2464"/>
      <c r="F1551" s="2464"/>
      <c r="G1551" s="2464"/>
      <c r="H1551" s="2465">
        <f>'Part IX A-Scoring Criteria'!H34</f>
        <v>14</v>
      </c>
      <c r="I1551" s="2465">
        <f>'Part IX A-Scoring Criteria'!I34</f>
        <v>0</v>
      </c>
      <c r="J1551" s="2464"/>
      <c r="K1551" s="2466">
        <f>IF(OR('Part VI-Revenues &amp; Expenses'!$O$60="", 'Part VI-Revenues &amp; Expenses'!$O$60=0),0,H1551/'Part VI-Revenues &amp; Expenses'!$O$60)</f>
        <v>0.21875</v>
      </c>
      <c r="L1551" s="2466">
        <f>IF(OR('Part VI-Revenues &amp; Expenses'!$O$60="", 'Part VI-Revenues &amp; Expenses'!$O$60=0),0,I1551/'Part VI-Revenues &amp; Expenses'!$O$60)</f>
        <v>0</v>
      </c>
      <c r="M1551" s="2080">
        <v>1</v>
      </c>
      <c r="N1551" s="2459" t="s">
        <v>2062</v>
      </c>
      <c r="O1551" s="2460">
        <f>'Part IX A-Scoring Criteria'!O34</f>
        <v>0</v>
      </c>
      <c r="P1551" s="2460">
        <f>'Part IX A-Scoring Criteria'!P34</f>
        <v>0</v>
      </c>
      <c r="Q1551" s="2464"/>
      <c r="R1551" s="2464"/>
      <c r="S1551" s="2464"/>
    </row>
    <row r="1552" spans="1:19" ht="15">
      <c r="A1552" s="2371" t="s">
        <v>3529</v>
      </c>
      <c r="B1552" s="2462" t="s">
        <v>2064</v>
      </c>
      <c r="C1552" s="2463">
        <v>0.2</v>
      </c>
      <c r="D1552" s="2396" t="s">
        <v>3567</v>
      </c>
      <c r="E1552" s="2464"/>
      <c r="F1552" s="2464"/>
      <c r="G1552" s="2464"/>
      <c r="H1552" s="2465">
        <f>'Part IX A-Scoring Criteria'!H35</f>
        <v>14</v>
      </c>
      <c r="I1552" s="2465">
        <f>'Part IX A-Scoring Criteria'!I35</f>
        <v>0</v>
      </c>
      <c r="J1552" s="2464"/>
      <c r="K1552" s="2466">
        <f>IF(OR('Part VI-Revenues &amp; Expenses'!$O$60="", 'Part VI-Revenues &amp; Expenses'!$O$60=0),0,H1552/'Part VI-Revenues &amp; Expenses'!$O$60)</f>
        <v>0.21875</v>
      </c>
      <c r="L1552" s="2466">
        <f>IF(OR('Part VI-Revenues &amp; Expenses'!$O$60="", 'Part VI-Revenues &amp; Expenses'!$O$60=0),0,I1552/'Part VI-Revenues &amp; Expenses'!$O$60)</f>
        <v>0</v>
      </c>
      <c r="M1552" s="2080">
        <v>2</v>
      </c>
      <c r="N1552" s="2459" t="s">
        <v>2064</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2061</v>
      </c>
      <c r="B1554" s="2454" t="s">
        <v>4441</v>
      </c>
      <c r="C1554" s="2464"/>
      <c r="D1554" s="2464"/>
      <c r="E1554" s="2425"/>
      <c r="F1554" s="2464"/>
      <c r="G1554" s="2464"/>
      <c r="H1554" s="2336" t="s">
        <v>4073</v>
      </c>
      <c r="I1554" s="2336"/>
      <c r="J1554" s="2464"/>
      <c r="K1554" s="2464"/>
      <c r="L1554" s="2464"/>
      <c r="M1554" s="2080"/>
      <c r="N1554" s="2414" t="s">
        <v>2061</v>
      </c>
      <c r="O1554" s="2460">
        <f>SUM(O1555:O1556)</f>
        <v>0</v>
      </c>
      <c r="P1554" s="2460">
        <f>SUM(P1555:P1556)</f>
        <v>0</v>
      </c>
      <c r="Q1554" s="2464"/>
      <c r="R1554" s="2464"/>
      <c r="S1554" s="2464"/>
    </row>
    <row r="1555" spans="1:19" ht="15">
      <c r="A1555" s="2461"/>
      <c r="B1555" s="2462" t="s">
        <v>2062</v>
      </c>
      <c r="C1555" s="2463">
        <v>0.15</v>
      </c>
      <c r="D1555" s="2396" t="s">
        <v>4072</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2062</v>
      </c>
      <c r="O1555" s="2460">
        <f>'Part IX A-Scoring Criteria'!O38</f>
        <v>0</v>
      </c>
      <c r="P1555" s="2460">
        <f>'Part IX A-Scoring Criteria'!P38</f>
        <v>0</v>
      </c>
      <c r="Q1555" s="2464"/>
      <c r="R1555" s="2464"/>
      <c r="S1555" s="2464"/>
    </row>
    <row r="1556" spans="1:19" ht="15.75">
      <c r="A1556" s="2371" t="s">
        <v>3529</v>
      </c>
      <c r="B1556" s="2462" t="s">
        <v>2064</v>
      </c>
      <c r="C1556" s="2467" t="s">
        <v>4075</v>
      </c>
      <c r="D1556" s="2464"/>
      <c r="E1556" s="2468">
        <v>3</v>
      </c>
      <c r="F1556" s="2467" t="s">
        <v>4074</v>
      </c>
      <c r="G1556" s="2464"/>
      <c r="H1556" s="2464"/>
      <c r="I1556" s="2434" t="s">
        <v>4076</v>
      </c>
      <c r="J1556" s="2464"/>
      <c r="K1556" s="2469">
        <f>O1630</f>
        <v>5</v>
      </c>
      <c r="L1556" s="2469">
        <f>P1630</f>
        <v>0</v>
      </c>
      <c r="M1556" s="2080">
        <v>1</v>
      </c>
      <c r="N1556" s="2459" t="s">
        <v>2064</v>
      </c>
      <c r="O1556" s="2460">
        <f>'Part IX A-Scoring Criteria'!O39</f>
        <v>0</v>
      </c>
      <c r="P1556" s="2438">
        <f>'Part IX A-Scoring Criteria'!P39</f>
        <v>0</v>
      </c>
      <c r="Q1556" s="2464"/>
      <c r="R1556" s="2464"/>
      <c r="S1556" s="2464"/>
    </row>
    <row r="1557" spans="1:19" ht="15">
      <c r="A1557" s="2079"/>
      <c r="B1557" s="2335" t="s">
        <v>1937</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2622</v>
      </c>
      <c r="B1560" s="2440" t="s">
        <v>1945</v>
      </c>
      <c r="C1560" s="2442"/>
      <c r="D1560" s="2471"/>
      <c r="E1560" s="2442"/>
      <c r="F1560" s="2442"/>
      <c r="G1560" s="2442"/>
      <c r="H1560" s="2442"/>
      <c r="I1560" s="2442"/>
      <c r="J1560" s="2220" t="s">
        <v>619</v>
      </c>
      <c r="K1560" s="2220"/>
      <c r="L1560" s="2220"/>
      <c r="M1560" s="2257">
        <v>13</v>
      </c>
      <c r="N1560" s="2344"/>
      <c r="O1560" s="2438">
        <f>'Part IX A-Scoring Criteria'!O43</f>
        <v>13</v>
      </c>
      <c r="P1560" s="2438">
        <f>'Part IX A-Scoring Criteria'!P43</f>
        <v>0</v>
      </c>
      <c r="Q1560" s="2257" t="s">
        <v>456</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2058</v>
      </c>
      <c r="B1562" s="2276" t="s">
        <v>1946</v>
      </c>
      <c r="C1562" s="2078"/>
      <c r="D1562" s="2078"/>
      <c r="E1562" s="2074" t="s">
        <v>2824</v>
      </c>
      <c r="F1562" s="2068"/>
      <c r="G1562" s="2068"/>
      <c r="H1562" s="2442"/>
      <c r="I1562" s="2442"/>
      <c r="J1562" s="2220"/>
      <c r="K1562" s="2220"/>
      <c r="L1562" s="2220"/>
      <c r="M1562" s="2080">
        <v>12</v>
      </c>
      <c r="N1562" s="2472" t="s">
        <v>2058</v>
      </c>
      <c r="O1562" s="2438">
        <f>'Part IX A-Scoring Criteria'!O45</f>
        <v>12</v>
      </c>
      <c r="P1562" s="2438">
        <f>'Part IX A-Scoring Criteria'!P45</f>
        <v>0</v>
      </c>
      <c r="Q1562" s="2311" t="s">
        <v>2810</v>
      </c>
      <c r="R1562" s="2452"/>
      <c r="S1562" s="2442"/>
    </row>
    <row r="1563" spans="1:19" ht="15">
      <c r="A1563" s="2288" t="s">
        <v>2061</v>
      </c>
      <c r="B1563" s="2276" t="s">
        <v>3630</v>
      </c>
      <c r="C1563" s="2078"/>
      <c r="D1563" s="2078"/>
      <c r="E1563" s="2442"/>
      <c r="F1563" s="2074" t="s">
        <v>3651</v>
      </c>
      <c r="G1563" s="2442"/>
      <c r="H1563" s="2068"/>
      <c r="I1563" s="2074" t="s">
        <v>3652</v>
      </c>
      <c r="J1563" s="2442"/>
      <c r="K1563" s="2442"/>
      <c r="L1563" s="2473" t="s">
        <v>3631</v>
      </c>
      <c r="M1563" s="2080">
        <v>1</v>
      </c>
      <c r="N1563" s="2344" t="s">
        <v>2061</v>
      </c>
      <c r="O1563" s="2438">
        <f>'Part IX A-Scoring Criteria'!O46</f>
        <v>1</v>
      </c>
      <c r="P1563" s="2438">
        <f>'Part IX A-Scoring Criteria'!P46</f>
        <v>0</v>
      </c>
      <c r="Q1563" s="2311" t="s">
        <v>2810</v>
      </c>
      <c r="R1563" s="2452"/>
      <c r="S1563" s="2442"/>
    </row>
    <row r="1564" spans="1:19" ht="15" customHeight="1">
      <c r="A1564" s="2288"/>
      <c r="B1564" s="2220" t="s">
        <v>4077</v>
      </c>
      <c r="C1564" s="2220"/>
      <c r="D1564" s="2220"/>
      <c r="E1564" s="2220"/>
      <c r="F1564" s="2074" t="str">
        <f>'Part IX A-Scoring Criteria'!F47</f>
        <v>Grocery store w/meat, dairy, &amp; produce</v>
      </c>
      <c r="G1564" s="2074"/>
      <c r="H1564" s="2074"/>
      <c r="I1564" s="2074" t="str">
        <f>'Part IX A-Scoring Criteria'!I47</f>
        <v>Harveys Supermarket</v>
      </c>
      <c r="J1564" s="2074"/>
      <c r="K1564" s="2074"/>
      <c r="L1564" s="2474">
        <f>'Part IX A-Scoring Criteria'!L47</f>
        <v>0.2</v>
      </c>
      <c r="M1564" s="2080"/>
      <c r="N1564" s="2472"/>
      <c r="O1564" s="2472"/>
      <c r="P1564" s="2472"/>
      <c r="Q1564" s="2311"/>
      <c r="R1564" s="2452"/>
      <c r="S1564" s="2442"/>
    </row>
    <row r="1565" spans="1:19" ht="15">
      <c r="A1565" s="2288"/>
      <c r="B1565" s="2220"/>
      <c r="C1565" s="2220"/>
      <c r="D1565" s="2220"/>
      <c r="E1565" s="2220"/>
      <c r="F1565" s="2074" t="str">
        <f>'Part IX A-Scoring Criteria'!F48</f>
        <v>Retail/Clothing/Department store</v>
      </c>
      <c r="G1565" s="2074"/>
      <c r="H1565" s="2074"/>
      <c r="I1565" s="2074" t="str">
        <f>'Part IX A-Scoring Criteria'!I48</f>
        <v>Dollar General</v>
      </c>
      <c r="J1565" s="2074"/>
      <c r="K1565" s="2074"/>
      <c r="L1565" s="2474">
        <f>'Part IX A-Scoring Criteria'!L48</f>
        <v>0.4</v>
      </c>
      <c r="M1565" s="2080"/>
      <c r="N1565" s="2472"/>
      <c r="O1565" s="2472"/>
      <c r="P1565" s="2472"/>
      <c r="Q1565" s="2311"/>
      <c r="R1565" s="2452"/>
      <c r="S1565" s="2442"/>
    </row>
    <row r="1566" spans="1:19" ht="15">
      <c r="A1566" s="2288"/>
      <c r="B1566" s="2220"/>
      <c r="C1566" s="2220"/>
      <c r="D1566" s="2220"/>
      <c r="E1566" s="2220"/>
      <c r="F1566" s="2074" t="str">
        <f>'Part IX A-Scoring Criteria'!F49</f>
        <v>Church</v>
      </c>
      <c r="G1566" s="2074"/>
      <c r="H1566" s="2074"/>
      <c r="I1566" s="2074" t="str">
        <f>'Part IX A-Scoring Criteria'!I49</f>
        <v>Magnolia Missionary Baptist Church</v>
      </c>
      <c r="J1566" s="2074"/>
      <c r="K1566" s="2074"/>
      <c r="L1566" s="2474">
        <f>'Part IX A-Scoring Criteria'!L49</f>
        <v>0.3</v>
      </c>
      <c r="M1566" s="2080"/>
      <c r="N1566" s="2472"/>
      <c r="O1566" s="2472"/>
      <c r="P1566" s="2472"/>
      <c r="Q1566" s="2311"/>
      <c r="R1566" s="2452"/>
      <c r="S1566" s="2442"/>
    </row>
    <row r="1567" spans="1:19" ht="16.5">
      <c r="A1567" s="2288" t="s">
        <v>779</v>
      </c>
      <c r="B1567" s="2276" t="s">
        <v>1947</v>
      </c>
      <c r="C1567" s="2442"/>
      <c r="D1567" s="2471"/>
      <c r="E1567" s="2074"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2810</v>
      </c>
      <c r="R1567" s="2452"/>
      <c r="S1567" s="2442"/>
    </row>
    <row r="1568" spans="1:19" ht="15">
      <c r="A1568" s="2079"/>
      <c r="B1568" s="2335" t="s">
        <v>267</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303.75">
      <c r="A1569" s="2373" t="str">
        <f>'Part IX A-Scoring Criteria'!A52</f>
        <v>All services are available within 2 miles of the site, there are no undesirable activities. Please see tab 27 for Desirable/Undesirable Certification form. The proposed development is within 1.0 mile walking distance to at least three (3) desirable activities for the bonus point.</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9"/>
      <c r="B1570" s="2335" t="s">
        <v>1937</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9"/>
      <c r="N1572" s="2080"/>
      <c r="O1572" s="2257"/>
      <c r="P1572" s="2257"/>
    </row>
    <row r="1573" spans="1:19" ht="15">
      <c r="A1573" s="2439" t="s">
        <v>1270</v>
      </c>
      <c r="B1573" s="2440" t="s">
        <v>2722</v>
      </c>
      <c r="C1573" s="2442"/>
      <c r="D1573" s="2471"/>
      <c r="E1573" s="2442"/>
      <c r="F1573" s="2442"/>
      <c r="G1573" s="2442"/>
      <c r="H1573" s="2451" t="s">
        <v>2777</v>
      </c>
      <c r="I1573" s="2335" t="s">
        <v>1953</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9" t="s">
        <v>4442</v>
      </c>
      <c r="C1574" s="2442"/>
      <c r="D1574" s="2471"/>
      <c r="E1574" s="2442"/>
      <c r="F1574" s="2442"/>
      <c r="G1574" s="2442"/>
      <c r="H1574" s="2451"/>
      <c r="I1574" s="2335"/>
      <c r="J1574" s="2260"/>
      <c r="K1574" s="2260"/>
      <c r="L1574" s="2442"/>
      <c r="M1574" s="2257"/>
      <c r="N1574" s="2344"/>
      <c r="O1574" s="2476" t="s">
        <v>3920</v>
      </c>
      <c r="P1574" s="2476" t="s">
        <v>3921</v>
      </c>
      <c r="Q1574" s="2257"/>
      <c r="R1574" s="2442"/>
      <c r="S1574" s="2442"/>
    </row>
    <row r="1575" spans="1:19" ht="15">
      <c r="A1575" s="2439"/>
      <c r="B1575" s="2477" t="s">
        <v>2062</v>
      </c>
      <c r="C1575" s="504" t="s">
        <v>3914</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2064</v>
      </c>
      <c r="C1576" s="504" t="s">
        <v>3915</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2622</v>
      </c>
      <c r="C1577" s="504" t="s">
        <v>3916</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3917</v>
      </c>
      <c r="D1578" s="2381"/>
      <c r="E1578" s="2381"/>
      <c r="F1578" s="2381"/>
      <c r="G1578" s="2381"/>
      <c r="H1578" s="2381"/>
      <c r="I1578" s="2381"/>
      <c r="J1578" s="2381"/>
      <c r="K1578" s="2381"/>
      <c r="L1578" s="2381"/>
      <c r="M1578" s="2381"/>
      <c r="N1578" s="2344"/>
      <c r="O1578" s="2371" t="str">
        <f>'Part IX A-Scoring Criteria'!O61</f>
        <v>Yes</v>
      </c>
      <c r="P1578" s="2371">
        <f>'Part IX A-Scoring Criteria'!P61</f>
        <v>0</v>
      </c>
      <c r="Q1578" s="2257"/>
      <c r="R1578" s="2442"/>
      <c r="S1578" s="2442"/>
    </row>
    <row r="1579" spans="1:19" ht="15">
      <c r="A1579" s="2439"/>
      <c r="B1579" s="2477" t="s">
        <v>1271</v>
      </c>
      <c r="C1579" s="504" t="s">
        <v>3918</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1955</v>
      </c>
      <c r="C1580" s="504" t="s">
        <v>3919</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2903</v>
      </c>
      <c r="B1582" s="2440"/>
      <c r="C1582" s="2442"/>
      <c r="D1582" s="2471"/>
      <c r="E1582" s="2442"/>
      <c r="F1582" s="2442"/>
      <c r="G1582" s="2442"/>
      <c r="H1582" s="2276" t="s">
        <v>2912</v>
      </c>
      <c r="I1582" s="2314"/>
      <c r="J1582" s="2276" t="str">
        <f>'Part I-Project Information'!$H$90</f>
        <v>Rural</v>
      </c>
      <c r="K1582" s="2442"/>
      <c r="M1582" s="2257"/>
      <c r="N1582" s="2257"/>
      <c r="O1582" s="2257"/>
      <c r="P1582" s="2257"/>
      <c r="Q1582" s="2257"/>
      <c r="R1582" s="2442"/>
      <c r="S1582" s="2442"/>
    </row>
    <row r="1583" spans="1:19" ht="15" customHeight="1">
      <c r="A1583" s="2409" t="s">
        <v>2058</v>
      </c>
      <c r="B1583" s="2181" t="s">
        <v>4443</v>
      </c>
      <c r="C1583" s="2181"/>
      <c r="D1583" s="2181"/>
      <c r="E1583" s="2181"/>
      <c r="F1583" s="2181"/>
      <c r="G1583" s="2181"/>
      <c r="H1583" s="2181"/>
      <c r="I1583" s="2220" t="s">
        <v>4444</v>
      </c>
      <c r="J1583" s="2220"/>
      <c r="K1583" s="2220"/>
      <c r="L1583" s="2220"/>
      <c r="M1583" s="2479">
        <v>5</v>
      </c>
      <c r="N1583" s="2459" t="s">
        <v>2058</v>
      </c>
      <c r="O1583" s="2438">
        <f>'Part IX A-Scoring Criteria'!O66</f>
        <v>0</v>
      </c>
      <c r="P1583" s="2438">
        <f>'Part IX A-Scoring Criteria'!P66</f>
        <v>0</v>
      </c>
      <c r="Q1583" s="2480" t="str">
        <f>IF(OR($O1583=$M1583,$O1583=0,$O1583=""),"","* * Check Score! * *")</f>
        <v/>
      </c>
      <c r="R1583" s="2311" t="s">
        <v>2810</v>
      </c>
      <c r="S1583" s="2481"/>
    </row>
    <row r="1584" spans="1:19" ht="15">
      <c r="A1584" s="2409" t="s">
        <v>2061</v>
      </c>
      <c r="B1584" s="2482" t="s">
        <v>4445</v>
      </c>
      <c r="C1584" s="2482"/>
      <c r="D1584" s="2482"/>
      <c r="E1584" s="2482"/>
      <c r="F1584" s="2482"/>
      <c r="G1584" s="2482"/>
      <c r="H1584" s="2482"/>
      <c r="I1584" s="1305" t="str">
        <f>'Part IX A-Scoring Criteria'!I67</f>
        <v>MIDS Inc</v>
      </c>
      <c r="J1584" s="1305"/>
      <c r="K1584" s="1305"/>
      <c r="L1584" s="2483">
        <f>'Part IX A-Scoring Criteria'!L67</f>
        <v>2293162153</v>
      </c>
      <c r="M1584" s="2479">
        <v>4</v>
      </c>
      <c r="N1584" s="2414" t="s">
        <v>2061</v>
      </c>
      <c r="O1584" s="2438">
        <f>'Part IX A-Scoring Criteria'!O67</f>
        <v>0</v>
      </c>
      <c r="P1584" s="2438">
        <f>'Part IX A-Scoring Criteria'!P67</f>
        <v>0</v>
      </c>
      <c r="Q1584" s="2480" t="str">
        <f>IF(OR($O1584=$M1584,$O1584=0,$O1584=""),"","* * Check Score! * *")</f>
        <v/>
      </c>
      <c r="R1584" s="2311" t="s">
        <v>2810</v>
      </c>
      <c r="S1584" s="2481"/>
    </row>
    <row r="1585" spans="1:19" ht="15" customHeight="1">
      <c r="A1585" s="2288" t="s">
        <v>779</v>
      </c>
      <c r="B1585" s="2260" t="s">
        <v>4446</v>
      </c>
      <c r="C1585" s="2482"/>
      <c r="D1585" s="2482"/>
      <c r="E1585" s="2482"/>
      <c r="F1585" s="2482"/>
      <c r="G1585" s="2482"/>
      <c r="H1585" s="2482"/>
      <c r="I1585" s="2151" t="str">
        <f>'Part IX A-Scoring Criteria'!I68</f>
        <v>www.midsinc.net/links/</v>
      </c>
      <c r="J1585" s="2151"/>
      <c r="K1585" s="2151"/>
      <c r="L1585" s="2151"/>
      <c r="M1585" s="2479">
        <v>3</v>
      </c>
      <c r="N1585" s="2472" t="s">
        <v>779</v>
      </c>
      <c r="O1585" s="2438">
        <f>'Part IX A-Scoring Criteria'!O68</f>
        <v>0</v>
      </c>
      <c r="P1585" s="2438">
        <f>'Part IX A-Scoring Criteria'!P68</f>
        <v>0</v>
      </c>
      <c r="Q1585" s="2480" t="str">
        <f>IF(OR($O1585=$M1585,$O1585=0,$O1585=""),"","* * Check Score! * *")</f>
        <v/>
      </c>
      <c r="R1585" s="2311" t="s">
        <v>2810</v>
      </c>
      <c r="S1585" s="2481"/>
    </row>
    <row r="1586" spans="1:19" ht="15">
      <c r="A1586" s="2288" t="s">
        <v>2193</v>
      </c>
      <c r="B1586" s="2260" t="s">
        <v>4447</v>
      </c>
      <c r="C1586" s="2442"/>
      <c r="D1586" s="2442"/>
      <c r="E1586" s="2471"/>
      <c r="F1586" s="2442"/>
      <c r="G1586" s="2442"/>
      <c r="H1586" s="2442"/>
      <c r="I1586" s="2151"/>
      <c r="J1586" s="2151"/>
      <c r="K1586" s="2151"/>
      <c r="L1586" s="2151"/>
      <c r="M1586" s="2080">
        <v>2</v>
      </c>
      <c r="N1586" s="2472" t="s">
        <v>2193</v>
      </c>
      <c r="O1586" s="2438">
        <f>'Part IX A-Scoring Criteria'!O69</f>
        <v>0</v>
      </c>
      <c r="P1586" s="2438">
        <f>'Part IX A-Scoring Criteria'!P69</f>
        <v>0</v>
      </c>
      <c r="Q1586" s="2452" t="str">
        <f>IF(OR($O1586=$M1586,$O1586=0,$O1586=""),"","* * Check Score! * *")</f>
        <v/>
      </c>
      <c r="R1586" s="2311" t="s">
        <v>2810</v>
      </c>
      <c r="S1586" s="2442"/>
    </row>
    <row r="1587" spans="1:19" ht="15" customHeight="1">
      <c r="A1587" s="2288" t="s">
        <v>1801</v>
      </c>
      <c r="B1587" s="2482" t="s">
        <v>4448</v>
      </c>
      <c r="C1587" s="2442"/>
      <c r="D1587" s="2442"/>
      <c r="E1587" s="2471"/>
      <c r="F1587" s="2442"/>
      <c r="G1587" s="2442"/>
      <c r="H1587" s="2442"/>
      <c r="I1587" s="2151" t="str">
        <f>'Part IX A-Scoring Criteria'!I70</f>
        <v>www.midsinc.net/service-areas/</v>
      </c>
      <c r="J1587" s="2151"/>
      <c r="K1587" s="2151"/>
      <c r="L1587" s="2151"/>
      <c r="M1587" s="2080">
        <v>1</v>
      </c>
      <c r="N1587" s="2472" t="s">
        <v>1801</v>
      </c>
      <c r="O1587" s="2438">
        <f>'Part IX A-Scoring Criteria'!O70</f>
        <v>0</v>
      </c>
      <c r="P1587" s="2438">
        <f>'Part IX A-Scoring Criteria'!P70</f>
        <v>0</v>
      </c>
      <c r="Q1587" s="2452" t="str">
        <f>IF(OR($O1587=$M1587,$O1587=0,$O1587=""),"","* * Check Score! * *")</f>
        <v/>
      </c>
      <c r="R1587" s="2311" t="s">
        <v>2810</v>
      </c>
      <c r="S1587" s="2442"/>
    </row>
    <row r="1588" spans="1:19" ht="15">
      <c r="A1588" s="2478" t="s">
        <v>2905</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1802</v>
      </c>
      <c r="B1589" s="2276" t="s">
        <v>4449</v>
      </c>
      <c r="C1589" s="2276"/>
      <c r="D1589" s="2276"/>
      <c r="E1589" s="2276"/>
      <c r="F1589" s="2276"/>
      <c r="G1589" s="2276"/>
      <c r="H1589" s="2276"/>
      <c r="I1589" s="2276"/>
      <c r="J1589" s="2276"/>
      <c r="K1589" s="2276"/>
      <c r="L1589" s="2276"/>
      <c r="M1589" s="2080">
        <v>2</v>
      </c>
      <c r="N1589" s="2472" t="s">
        <v>1802</v>
      </c>
      <c r="O1589" s="2438">
        <f>'Part IX A-Scoring Criteria'!O72</f>
        <v>2</v>
      </c>
      <c r="P1589" s="2438">
        <f>'Part IX A-Scoring Criteria'!P72</f>
        <v>0</v>
      </c>
      <c r="Q1589" s="2452" t="str">
        <f>IF(OR($O1589=$M1589,$O1589=0,$O1589=""),"","* * Check Score! * *")</f>
        <v/>
      </c>
      <c r="R1589" s="2311" t="s">
        <v>2810</v>
      </c>
      <c r="S1589" s="2457"/>
    </row>
    <row r="1590" spans="1:19" ht="15">
      <c r="A1590" s="519" t="s">
        <v>4167</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112.5">
      <c r="A1592" s="2373" t="str">
        <f>'Part IX A-Scoring Criteria'!A75</f>
        <v>Please see Tab 28 in this application for the Rural Transportation documentation.</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9"/>
      <c r="B1593" s="2335" t="s">
        <v>1937</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2723</v>
      </c>
      <c r="C1596" s="2442"/>
      <c r="D1596" s="2471"/>
      <c r="E1596" s="519" t="s">
        <v>1434</v>
      </c>
      <c r="F1596" s="2442"/>
      <c r="G1596" s="2442"/>
      <c r="H1596" s="2442"/>
      <c r="I1596" s="2335" t="s">
        <v>1953</v>
      </c>
      <c r="J1596" s="2442"/>
      <c r="K1596" s="2442"/>
      <c r="L1596" s="2442"/>
      <c r="M1596" s="2257">
        <v>2</v>
      </c>
      <c r="N1596" s="2486" t="str">
        <f>IF(OR($O1596=$M1596,$O1596=0,$O1596=""),"","***")</f>
        <v/>
      </c>
      <c r="O1596" s="2438">
        <f>'Part IX A-Scoring Criteria'!O79</f>
        <v>0</v>
      </c>
      <c r="P1596" s="2438">
        <f>'Part IX A-Scoring Criteria'!P79</f>
        <v>0</v>
      </c>
      <c r="Q1596" s="2257" t="s">
        <v>456</v>
      </c>
      <c r="R1596" s="2311" t="s">
        <v>2810</v>
      </c>
      <c r="S1596" s="2442"/>
    </row>
    <row r="1597" spans="1:19" ht="15">
      <c r="A1597" s="2409" t="s">
        <v>2058</v>
      </c>
      <c r="B1597" s="561" t="s">
        <v>2714</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2061</v>
      </c>
      <c r="B1598" s="561" t="s">
        <v>3653</v>
      </c>
      <c r="C1598" s="2442"/>
      <c r="D1598" s="2471"/>
      <c r="E1598" s="519"/>
      <c r="F1598" s="2442"/>
      <c r="G1598" s="2442"/>
      <c r="H1598" s="2442"/>
      <c r="I1598" s="2442"/>
      <c r="J1598" s="2442"/>
      <c r="K1598" s="519">
        <f>'Part IX A-Scoring Criteria'!K81</f>
        <v>0</v>
      </c>
      <c r="L1598" s="519"/>
      <c r="M1598" s="519"/>
      <c r="N1598" s="2442"/>
      <c r="O1598" s="2424" t="s">
        <v>2597</v>
      </c>
      <c r="P1598" s="2424" t="s">
        <v>2597</v>
      </c>
      <c r="Q1598" s="2257"/>
      <c r="R1598" s="2442"/>
      <c r="S1598" s="2442"/>
    </row>
    <row r="1599" spans="1:19" ht="15">
      <c r="A1599" s="2288" t="s">
        <v>779</v>
      </c>
      <c r="B1599" s="561" t="s">
        <v>3745</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9"/>
      <c r="B1600" s="2335" t="s">
        <v>1937</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1955</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4450</v>
      </c>
      <c r="H1604" s="2442"/>
      <c r="I1604" s="2491" t="str">
        <f>'Part IX A-Scoring Criteria'!I87</f>
        <v>Earth Craft House Multifamily</v>
      </c>
      <c r="J1604" s="2491"/>
      <c r="K1604" s="2491"/>
      <c r="L1604" s="2442"/>
      <c r="M1604" s="2257"/>
      <c r="N1604" s="2486"/>
      <c r="O1604" s="2080"/>
      <c r="P1604" s="2080"/>
      <c r="Q1604" s="2490"/>
    </row>
    <row r="1605" spans="1:19" s="2488" customFormat="1" ht="12.6" customHeight="1">
      <c r="A1605" s="2487"/>
      <c r="B1605" s="2492" t="s">
        <v>2912</v>
      </c>
      <c r="G1605" s="2493"/>
      <c r="H1605" s="2471"/>
      <c r="I1605" s="2367" t="str">
        <f>'Part I-Project Information'!$H$90</f>
        <v>Rural</v>
      </c>
      <c r="J1605" s="2442"/>
      <c r="K1605" s="877"/>
      <c r="L1605" s="2442"/>
      <c r="M1605" s="2257"/>
      <c r="N1605" s="2486"/>
      <c r="O1605" s="2424" t="s">
        <v>2597</v>
      </c>
      <c r="P1605" s="2424" t="s">
        <v>2597</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4451</v>
      </c>
      <c r="C1607" s="2495"/>
      <c r="D1607" s="2495"/>
      <c r="E1607" s="2495"/>
      <c r="F1607" s="2496"/>
      <c r="G1607" s="551" t="s">
        <v>4079</v>
      </c>
      <c r="H1607" s="2497" t="str">
        <f>'Part IX A-Scoring Criteria'!H90</f>
        <v>4.26.16</v>
      </c>
      <c r="I1607" s="2498" t="str">
        <f>'Part IX A-Scoring Criteria'!I90</f>
        <v>Derrick Hamilton</v>
      </c>
      <c r="J1607" s="2498"/>
      <c r="K1607" s="2498" t="str">
        <f>'Part IX A-Scoring Criteria'!K90</f>
        <v>The Village on Park GP, LLC</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4079</v>
      </c>
      <c r="H1608" s="2497">
        <f>'Part IX A-Scoring Criteria'!H91</f>
        <v>0</v>
      </c>
      <c r="I1608" s="2498" t="str">
        <f>'Part IX A-Scoring Criteria'!I91</f>
        <v>&lt;&lt;Enter Participant 's Name here&gt;&gt;</v>
      </c>
      <c r="J1608" s="2498"/>
      <c r="K1608" s="2498" t="str">
        <f>'Part IX A-Scoring Criteria'!K91</f>
        <v>&lt;&lt;Enter Participant 's Company Name here&gt;&gt;</v>
      </c>
      <c r="L1608" s="2498"/>
      <c r="M1608" s="2498"/>
    </row>
    <row r="1609" spans="1:19" s="2488" customFormat="1" ht="12.6" customHeight="1">
      <c r="A1609" s="2487"/>
      <c r="B1609" s="2503" t="s">
        <v>4174</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4452</v>
      </c>
      <c r="G1610" s="2493"/>
      <c r="H1610" s="2471"/>
      <c r="I1610" s="2311" t="s">
        <v>4183</v>
      </c>
      <c r="J1610" s="2504">
        <f>'Part IX A-Scoring Criteria'!J93</f>
        <v>0</v>
      </c>
      <c r="K1610" s="2311" t="s">
        <v>4181</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2058</v>
      </c>
      <c r="B1612" s="2506" t="s">
        <v>2408</v>
      </c>
      <c r="D1612" s="507"/>
      <c r="H1612" s="877"/>
      <c r="I1612" s="877"/>
      <c r="J1612" s="877"/>
      <c r="K1612" s="877"/>
      <c r="L1612" s="877"/>
      <c r="M1612" s="2080">
        <v>3</v>
      </c>
      <c r="N1612" s="2499" t="s">
        <v>2058</v>
      </c>
      <c r="O1612" s="2507" t="s">
        <v>2597</v>
      </c>
      <c r="P1612" s="2507" t="s">
        <v>2597</v>
      </c>
    </row>
    <row r="1613" spans="1:19" s="2488" customFormat="1" ht="12.6" customHeight="1">
      <c r="B1613" s="551" t="s">
        <v>4172</v>
      </c>
      <c r="D1613" s="2493"/>
      <c r="H1613" s="2442"/>
      <c r="I1613" s="2442"/>
      <c r="J1613" s="2442"/>
      <c r="K1613" s="2442"/>
      <c r="L1613" s="2442"/>
      <c r="M1613" s="2257"/>
      <c r="O1613" s="2371">
        <f>'Part IX A-Scoring Criteria'!O96</f>
        <v>0</v>
      </c>
      <c r="P1613" s="2371">
        <f>'Part IX A-Scoring Criteria'!P96</f>
        <v>0</v>
      </c>
      <c r="Q1613" s="2490"/>
    </row>
    <row r="1614" spans="1:19" s="505" customFormat="1" ht="11.45" customHeight="1">
      <c r="B1614" s="2508" t="s">
        <v>2062</v>
      </c>
      <c r="C1614" s="2418" t="s">
        <v>2715</v>
      </c>
      <c r="E1614" s="877"/>
      <c r="H1614" s="877"/>
      <c r="I1614" s="877"/>
      <c r="J1614" s="877"/>
      <c r="K1614" s="877"/>
      <c r="L1614" s="877"/>
      <c r="M1614" s="877"/>
    </row>
    <row r="1615" spans="1:19" s="505" customFormat="1" ht="11.25" customHeight="1">
      <c r="A1615" s="2509" t="str">
        <f>IF(AND(O1615="",$I$87="Earth Craft Communities"), "X","")</f>
        <v/>
      </c>
      <c r="B1615" s="2510"/>
      <c r="C1615" s="2396" t="s">
        <v>4173</v>
      </c>
      <c r="D1615" s="2396"/>
      <c r="E1615" s="2396"/>
      <c r="F1615" s="2396"/>
      <c r="G1615" s="2396"/>
      <c r="H1615" s="2396"/>
      <c r="I1615" s="2396"/>
      <c r="J1615" s="2396"/>
      <c r="K1615" s="2396"/>
      <c r="L1615" s="2504">
        <f>'Part IX A-Scoring Criteria'!L98</f>
        <v>0</v>
      </c>
      <c r="M1615" s="2293"/>
    </row>
    <row r="1616" spans="1:19" s="505" customFormat="1" ht="11.45" customHeight="1">
      <c r="B1616" s="2508" t="s">
        <v>2064</v>
      </c>
      <c r="C1616" s="2418" t="s">
        <v>3924</v>
      </c>
      <c r="E1616" s="877"/>
      <c r="H1616" s="877"/>
      <c r="I1616" s="877"/>
      <c r="J1616" s="877"/>
      <c r="K1616" s="877"/>
      <c r="L1616" s="877"/>
      <c r="M1616" s="2484"/>
    </row>
    <row r="1617" spans="1:19" s="505" customFormat="1" ht="11.25" customHeight="1">
      <c r="A1617" s="2509" t="str">
        <f>IF(AND(O1617="",$I$87="LEED-ND"), "X","")</f>
        <v/>
      </c>
      <c r="B1617" s="2511" t="s">
        <v>2520</v>
      </c>
      <c r="C1617" s="2396" t="s">
        <v>4180</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2521</v>
      </c>
      <c r="C1618" s="2396" t="s">
        <v>4175</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5" customFormat="1" ht="11.45" customHeight="1">
      <c r="A1619" s="2505" t="s">
        <v>2061</v>
      </c>
      <c r="B1619" s="2506" t="s">
        <v>323</v>
      </c>
      <c r="D1619" s="507"/>
      <c r="E1619" s="507"/>
      <c r="F1619" s="507"/>
      <c r="H1619" s="877"/>
      <c r="I1619" s="877"/>
      <c r="J1619" s="877"/>
      <c r="K1619" s="877"/>
      <c r="L1619" s="877"/>
      <c r="M1619" s="2080">
        <v>2</v>
      </c>
      <c r="N1619" s="2472" t="s">
        <v>2061</v>
      </c>
      <c r="O1619" s="2424" t="s">
        <v>2597</v>
      </c>
      <c r="P1619" s="2424" t="s">
        <v>2597</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2062</v>
      </c>
      <c r="C1620" s="2513" t="s">
        <v>2840</v>
      </c>
      <c r="D1620" s="2493"/>
      <c r="H1620" s="2442"/>
      <c r="I1620" s="2442"/>
      <c r="J1620" s="2442"/>
      <c r="K1620" s="2442"/>
      <c r="L1620" s="2442"/>
      <c r="M1620" s="2257"/>
      <c r="N1620" s="2477" t="s">
        <v>2062</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2064</v>
      </c>
      <c r="C1621" s="2513" t="s">
        <v>2837</v>
      </c>
      <c r="D1621" s="2493"/>
      <c r="H1621" s="2442"/>
      <c r="I1621" s="2442"/>
      <c r="J1621" s="2442"/>
      <c r="K1621" s="2442"/>
      <c r="L1621" s="2442"/>
      <c r="M1621" s="2257"/>
      <c r="N1621" s="2477" t="s">
        <v>2064</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2622</v>
      </c>
      <c r="C1622" s="2513" t="s">
        <v>2838</v>
      </c>
      <c r="D1622" s="2493"/>
      <c r="H1622" s="2442"/>
      <c r="I1622" s="2442"/>
      <c r="J1622" s="2442"/>
      <c r="K1622" s="2442"/>
      <c r="L1622" s="2442"/>
      <c r="M1622" s="2257"/>
      <c r="N1622" s="2477" t="s">
        <v>2622</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1270</v>
      </c>
      <c r="C1623" s="2513" t="s">
        <v>2839</v>
      </c>
      <c r="D1623" s="2493"/>
      <c r="H1623" s="2442"/>
      <c r="I1623" s="2442"/>
      <c r="J1623" s="2442"/>
      <c r="K1623" s="2442"/>
      <c r="L1623" s="2442"/>
      <c r="M1623" s="2257"/>
      <c r="N1623" s="2477" t="s">
        <v>1270</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168.75">
      <c r="A1626" s="2373" t="str">
        <f>'Part IX A-Scoring Criteria'!A109</f>
        <v>Please see tab 30 of the application for the scoring sheet for Earth Craft Multifamily and the Green Building for affordable Housing Certificate.</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9"/>
      <c r="B1627" s="2335" t="s">
        <v>1937</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2904</v>
      </c>
      <c r="C1630" s="2457"/>
      <c r="D1630" s="2451"/>
      <c r="E1630" s="2451"/>
      <c r="F1630" s="2457"/>
      <c r="G1630" s="2457"/>
      <c r="H1630" s="2074" t="s">
        <v>3925</v>
      </c>
      <c r="I1630" s="2457"/>
      <c r="J1630" s="2457"/>
      <c r="K1630" s="2457"/>
      <c r="L1630" s="2457"/>
      <c r="M1630" s="2257">
        <v>8</v>
      </c>
      <c r="N1630" s="2080"/>
      <c r="O1630" s="2438">
        <f>'Part IX A-Scoring Criteria'!O113</f>
        <v>5</v>
      </c>
      <c r="P1630" s="2438">
        <f>'Part IX A-Scoring Criteria'!P113</f>
        <v>0</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3928</v>
      </c>
      <c r="B1632" s="2276" t="s">
        <v>3926</v>
      </c>
      <c r="C1632" s="2457"/>
      <c r="D1632" s="2451"/>
      <c r="E1632" s="2451"/>
      <c r="F1632" s="2457"/>
      <c r="G1632" s="2457"/>
      <c r="H1632" s="2074"/>
      <c r="I1632" s="2457"/>
      <c r="J1632" s="2457"/>
      <c r="K1632" s="2457"/>
      <c r="L1632" s="2457"/>
      <c r="M1632" s="2252">
        <v>3</v>
      </c>
      <c r="N1632" s="2457"/>
      <c r="O1632" s="2438">
        <f>'Part IX A-Scoring Criteria'!O115</f>
        <v>2</v>
      </c>
      <c r="P1632" s="2257">
        <f>'Part IX A-Scoring Criteria'!P115</f>
        <v>0</v>
      </c>
      <c r="Q1632" s="2257"/>
      <c r="R1632" s="2442"/>
      <c r="S1632" s="2457"/>
    </row>
    <row r="1633" spans="1:19">
      <c r="A1633" s="2515"/>
      <c r="B1633" s="2260" t="s">
        <v>2912</v>
      </c>
      <c r="C1633" s="2258"/>
      <c r="D1633" s="2258"/>
      <c r="E1633" s="2276" t="str">
        <f>'Part I-Project Information'!$H$90</f>
        <v>Rural</v>
      </c>
      <c r="O1633" s="2424" t="s">
        <v>2597</v>
      </c>
      <c r="P1633" s="2424" t="s">
        <v>2597</v>
      </c>
    </row>
    <row r="1634" spans="1:19" ht="12.75" customHeight="1">
      <c r="A1634" s="2515"/>
      <c r="B1634" s="2516" t="s">
        <v>2062</v>
      </c>
      <c r="C1634" s="504" t="s">
        <v>2785</v>
      </c>
      <c r="M1634" s="2252"/>
      <c r="O1634" s="2371" t="str">
        <f>'Part IX A-Scoring Criteria'!O117</f>
        <v>Yes</v>
      </c>
      <c r="P1634" s="2371">
        <f>'Part IX A-Scoring Criteria'!P117</f>
        <v>0</v>
      </c>
      <c r="Q1634" s="2517" t="str">
        <f>IF(AND(O1634="Yes",O1637="Yes"),"Only 1 or 4 can be 'Yes'!","")</f>
        <v/>
      </c>
      <c r="R1634" s="2517"/>
    </row>
    <row r="1635" spans="1:19" ht="12.75" customHeight="1">
      <c r="B1635" s="2516" t="s">
        <v>2064</v>
      </c>
      <c r="C1635" s="504" t="s">
        <v>2853</v>
      </c>
      <c r="D1635" s="2518">
        <f>'Part IX A-Scoring Criteria'!D118</f>
        <v>0.15</v>
      </c>
      <c r="E1635" s="504" t="s">
        <v>2854</v>
      </c>
      <c r="G1635" s="504" t="s">
        <v>2474</v>
      </c>
      <c r="K1635" s="519" t="s">
        <v>2852</v>
      </c>
      <c r="L1635" s="2519">
        <f>'Part IX A-Scoring Criteria'!L118</f>
        <v>9.9099999999999994E-2</v>
      </c>
      <c r="M1635" s="2367" t="str">
        <f>IF(L1635&gt;D1635,"CHECK ACTUAL PERCENT!!!","")</f>
        <v/>
      </c>
      <c r="N1635" s="2416"/>
      <c r="O1635" s="2254"/>
      <c r="P1635" s="2254"/>
      <c r="Q1635" s="2517"/>
      <c r="R1635" s="2517"/>
    </row>
    <row r="1636" spans="1:19" ht="12.75" customHeight="1">
      <c r="B1636" s="2516" t="s">
        <v>2622</v>
      </c>
      <c r="C1636" s="504" t="s">
        <v>2475</v>
      </c>
      <c r="G1636" s="504" t="s">
        <v>2476</v>
      </c>
      <c r="K1636" s="2467" t="s">
        <v>2844</v>
      </c>
      <c r="L1636" s="2467" t="str">
        <f>'Part IX A-Scoring Criteria'!L119</f>
        <v>Upper</v>
      </c>
      <c r="N1636" s="2252"/>
      <c r="O1636" s="2254"/>
      <c r="P1636" s="2254"/>
      <c r="Q1636" s="2517"/>
      <c r="R1636" s="2517"/>
    </row>
    <row r="1637" spans="1:19" ht="12.75" customHeight="1">
      <c r="B1637" s="2516" t="s">
        <v>1270</v>
      </c>
      <c r="C1637" s="2381" t="s">
        <v>4453</v>
      </c>
      <c r="D1637" s="2381"/>
      <c r="E1637" s="2381"/>
      <c r="F1637" s="2381"/>
      <c r="G1637" s="2381"/>
      <c r="H1637" s="2381"/>
      <c r="I1637" s="2381"/>
      <c r="J1637" s="2381"/>
      <c r="K1637" s="2381"/>
      <c r="L1637" s="2381"/>
      <c r="M1637" s="2381"/>
      <c r="O1637" s="2371">
        <f>'Part IX A-Scoring Criteria'!O120</f>
        <v>0</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779</v>
      </c>
      <c r="B1639" s="2520" t="s">
        <v>3927</v>
      </c>
      <c r="C1639" s="504"/>
      <c r="G1639" s="504"/>
      <c r="K1639" s="2424" t="s">
        <v>3911</v>
      </c>
      <c r="L1639" s="2424" t="s">
        <v>3912</v>
      </c>
      <c r="M1639" s="2252">
        <v>3</v>
      </c>
      <c r="N1639" s="2252"/>
      <c r="O1639" s="2521">
        <f>'Part IX A-Scoring Criteria'!O122</f>
        <v>3</v>
      </c>
      <c r="P1639" s="2521">
        <f>'Part IX A-Scoring Criteria'!P122</f>
        <v>0</v>
      </c>
    </row>
    <row r="1640" spans="1:19" ht="12.75" customHeight="1">
      <c r="A1640" s="2314"/>
      <c r="B1640" s="2381" t="s">
        <v>3931</v>
      </c>
      <c r="C1640" s="2381"/>
      <c r="D1640" s="2381"/>
      <c r="E1640" s="2381"/>
      <c r="F1640" s="2381"/>
      <c r="G1640" s="2381"/>
      <c r="H1640" s="2381"/>
      <c r="I1640" s="2381"/>
      <c r="J1640" s="2381"/>
      <c r="K1640" s="2371" t="str">
        <f>'Part IX A-Scoring Criteria'!K123</f>
        <v>A3</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2193</v>
      </c>
      <c r="B1642" s="2520" t="s">
        <v>3929</v>
      </c>
      <c r="C1642" s="504"/>
      <c r="G1642" s="2467" t="s">
        <v>3930</v>
      </c>
      <c r="H1642" s="2522">
        <f>'Part VI-Revenues &amp; Expenses'!$O$59</f>
        <v>19</v>
      </c>
      <c r="I1642" s="2424" t="s">
        <v>3945</v>
      </c>
      <c r="J1642" s="2522">
        <f>'Part VI-Revenues &amp; Expenses'!$O$62</f>
        <v>64</v>
      </c>
      <c r="K1642" s="2424" t="s">
        <v>3946</v>
      </c>
      <c r="L1642" s="2523">
        <f>IF(J1642=0,0,H1642/J1642)</f>
        <v>0.296875</v>
      </c>
      <c r="M1642" s="2252">
        <v>2</v>
      </c>
      <c r="N1642" s="2252"/>
      <c r="O1642" s="2521">
        <f>'Part IX A-Scoring Criteria'!O125</f>
        <v>0</v>
      </c>
      <c r="P1642" s="2521">
        <f>'Part IX A-Scoring Criteria'!P125</f>
        <v>0</v>
      </c>
    </row>
    <row r="1643" spans="1:19" ht="15">
      <c r="A1643" s="2079"/>
      <c r="B1643" s="2374" t="s">
        <v>1937</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3569</v>
      </c>
      <c r="C1646" s="2457"/>
      <c r="D1646" s="2451"/>
      <c r="E1646" s="2451"/>
      <c r="F1646" s="2457"/>
      <c r="G1646" s="2457"/>
      <c r="H1646" s="2368"/>
      <c r="I1646" s="2457"/>
      <c r="J1646" s="2141" t="str">
        <f>'Part IX A-Scoring Criteria'!J129</f>
        <v>&lt;Select a Community Revitalization Plan option&gt;</v>
      </c>
      <c r="K1646" s="2141"/>
      <c r="L1646" s="2141"/>
      <c r="M1646" s="2257">
        <v>10</v>
      </c>
      <c r="N1646" s="2080"/>
      <c r="O1646" s="2438">
        <f>'Part IX A-Scoring Criteria'!O129</f>
        <v>0</v>
      </c>
      <c r="P1646" s="2257">
        <f>'Part IX A-Scoring Criteria'!P129</f>
        <v>0</v>
      </c>
      <c r="Q1646" s="2257" t="s">
        <v>456</v>
      </c>
      <c r="R1646" s="2442"/>
      <c r="S1646" s="2457"/>
    </row>
    <row r="1647" spans="1:19">
      <c r="A1647" s="2372"/>
      <c r="B1647" s="2467"/>
      <c r="D1647" s="2424"/>
      <c r="E1647" s="2467"/>
      <c r="G1647" s="2524"/>
      <c r="H1647" s="2467"/>
      <c r="I1647" s="2307"/>
      <c r="K1647" s="2307"/>
    </row>
    <row r="1648" spans="1:19">
      <c r="B1648" s="2404" t="s">
        <v>4080</v>
      </c>
      <c r="E1648" s="2079"/>
      <c r="G1648" s="2220">
        <f>'Part IX A-Scoring Criteria'!G131</f>
        <v>0</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3055</v>
      </c>
      <c r="C1650" s="2442"/>
      <c r="D1650" s="2079"/>
      <c r="E1650" s="2442"/>
      <c r="F1650" s="2442"/>
      <c r="G1650" s="2442"/>
      <c r="H1650" s="2442"/>
      <c r="I1650" s="2442"/>
      <c r="J1650" s="2442"/>
      <c r="K1650" s="2442"/>
      <c r="L1650" s="2442"/>
      <c r="M1650" s="2442"/>
      <c r="N1650" s="2344"/>
      <c r="O1650" s="2371">
        <f>'Part IX A-Scoring Criteria'!O133</f>
        <v>0</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4454</v>
      </c>
      <c r="C1652" s="2442"/>
      <c r="D1652" s="2442"/>
      <c r="E1652" s="2307"/>
      <c r="F1652" s="2442"/>
      <c r="G1652" s="2442"/>
      <c r="H1652" s="2442"/>
      <c r="I1652" s="2442"/>
      <c r="J1652" s="2442"/>
      <c r="K1652" s="2442"/>
      <c r="L1652" s="2442"/>
      <c r="M1652" s="2442"/>
      <c r="N1652" s="2442"/>
      <c r="O1652" s="2424" t="s">
        <v>2597</v>
      </c>
      <c r="P1652" s="2424" t="s">
        <v>2597</v>
      </c>
      <c r="Q1652" s="2442"/>
      <c r="R1652" s="2442"/>
      <c r="S1652" s="2442"/>
    </row>
    <row r="1653" spans="1:19" ht="15">
      <c r="A1653" s="2254"/>
      <c r="B1653" s="2344" t="s">
        <v>2520</v>
      </c>
      <c r="C1653" s="504" t="s">
        <v>3710</v>
      </c>
      <c r="D1653" s="2457"/>
      <c r="E1653" s="2307"/>
      <c r="F1653" s="2442"/>
      <c r="G1653" s="504" t="s">
        <v>3711</v>
      </c>
      <c r="H1653" s="2442"/>
      <c r="I1653" s="2442"/>
      <c r="J1653" s="2442"/>
      <c r="K1653" s="2442"/>
      <c r="L1653" s="2525">
        <f>'Part IX A-Scoring Criteria'!L136</f>
        <v>0</v>
      </c>
      <c r="M1653" s="2525"/>
      <c r="N1653" s="2344" t="s">
        <v>2520</v>
      </c>
      <c r="O1653" s="2371">
        <f>'Part IX A-Scoring Criteria'!O136</f>
        <v>0</v>
      </c>
      <c r="P1653" s="2371">
        <f>'Part IX A-Scoring Criteria'!P136</f>
        <v>0</v>
      </c>
      <c r="Q1653" s="2442"/>
      <c r="R1653" s="2442"/>
      <c r="S1653" s="2442"/>
    </row>
    <row r="1654" spans="1:19" ht="15" customHeight="1">
      <c r="A1654" s="2254"/>
      <c r="B1654" s="2344" t="s">
        <v>2521</v>
      </c>
      <c r="C1654" s="2373" t="s">
        <v>4455</v>
      </c>
      <c r="D1654" s="2373"/>
      <c r="E1654" s="2373"/>
      <c r="F1654" s="2373"/>
      <c r="G1654" s="504" t="s">
        <v>3575</v>
      </c>
      <c r="H1654" s="2442"/>
      <c r="I1654" s="2442"/>
      <c r="J1654" s="2442"/>
      <c r="K1654" s="2442"/>
      <c r="L1654" s="2525">
        <f>'Part IX A-Scoring Criteria'!L137</f>
        <v>0</v>
      </c>
      <c r="M1654" s="2525"/>
      <c r="N1654" s="2344" t="s">
        <v>2521</v>
      </c>
      <c r="O1654" s="2371">
        <f>'Part IX A-Scoring Criteria'!O137</f>
        <v>0</v>
      </c>
      <c r="P1654" s="2371">
        <f>'Part IX A-Scoring Criteria'!P137</f>
        <v>0</v>
      </c>
      <c r="Q1654" s="2442"/>
      <c r="R1654" s="2442"/>
      <c r="S1654" s="2442"/>
    </row>
    <row r="1655" spans="1:19" ht="15">
      <c r="A1655" s="2254"/>
      <c r="B1655" s="2344"/>
      <c r="C1655" s="2373"/>
      <c r="D1655" s="2373"/>
      <c r="E1655" s="2373"/>
      <c r="F1655" s="2373"/>
      <c r="G1655" s="504" t="s">
        <v>3053</v>
      </c>
      <c r="H1655" s="2442"/>
      <c r="I1655" s="2442"/>
      <c r="J1655" s="2442"/>
      <c r="K1655" s="2442"/>
      <c r="L1655" s="2074">
        <f>'Part IX A-Scoring Criteria'!L138</f>
        <v>0</v>
      </c>
      <c r="M1655" s="2074"/>
      <c r="N1655" s="2442"/>
      <c r="O1655" s="2442"/>
      <c r="P1655" s="2442"/>
      <c r="Q1655" s="2442"/>
      <c r="R1655" s="2442"/>
      <c r="S1655" s="2442"/>
    </row>
    <row r="1656" spans="1:19" ht="15">
      <c r="A1656" s="2254"/>
      <c r="B1656" s="2344"/>
      <c r="C1656" s="2373"/>
      <c r="D1656" s="2373"/>
      <c r="E1656" s="2373"/>
      <c r="F1656" s="2373"/>
      <c r="G1656" s="504" t="s">
        <v>2948</v>
      </c>
      <c r="H1656" s="2442"/>
      <c r="I1656" s="2442"/>
      <c r="J1656" s="2074" t="str">
        <f>'Part IX A-Scoring Criteria'!J139</f>
        <v>&lt;&lt;Select event type&gt;&gt;</v>
      </c>
      <c r="K1656" s="2074"/>
      <c r="L1656" s="2074" t="str">
        <f>'Part IX A-Scoring Criteria'!L139</f>
        <v>&lt;&lt;Select event type&gt;&gt;</v>
      </c>
      <c r="M1656" s="2074"/>
      <c r="N1656" s="2442"/>
      <c r="O1656" s="2442"/>
      <c r="P1656" s="2442"/>
      <c r="Q1656" s="2442"/>
      <c r="R1656" s="2442"/>
      <c r="S1656" s="2442"/>
    </row>
    <row r="1657" spans="1:19" ht="15">
      <c r="A1657" s="2254"/>
      <c r="B1657" s="2344"/>
      <c r="C1657" s="2467"/>
      <c r="D1657" s="2457"/>
      <c r="E1657" s="2307"/>
      <c r="F1657" s="2442"/>
      <c r="G1657" s="504" t="s">
        <v>2949</v>
      </c>
      <c r="H1657" s="2442"/>
      <c r="I1657" s="2442"/>
      <c r="J1657" s="2525">
        <f>'Part IX A-Scoring Criteria'!J140</f>
        <v>0</v>
      </c>
      <c r="K1657" s="2525"/>
      <c r="L1657" s="2525">
        <f>'Part IX A-Scoring Criteria'!L140</f>
        <v>0</v>
      </c>
      <c r="M1657" s="2525"/>
      <c r="N1657" s="2442"/>
      <c r="O1657" s="2442"/>
      <c r="P1657" s="2442"/>
      <c r="Q1657" s="2442"/>
      <c r="R1657" s="2442"/>
      <c r="S1657" s="2442"/>
    </row>
    <row r="1658" spans="1:19" ht="15" customHeight="1">
      <c r="A1658" s="2254"/>
      <c r="B1658" s="2344"/>
      <c r="C1658" s="2467"/>
      <c r="D1658" s="2457"/>
      <c r="E1658" s="2307"/>
      <c r="F1658" s="2442"/>
      <c r="G1658" s="2381" t="s">
        <v>4084</v>
      </c>
      <c r="H1658" s="2381"/>
      <c r="I1658" s="504" t="s">
        <v>1778</v>
      </c>
      <c r="J1658" s="519" t="str">
        <f>'Part IX A-Scoring Criteria'!J141</f>
        <v>&lt;&lt;Select entity type&gt;&gt;</v>
      </c>
      <c r="K1658" s="519"/>
      <c r="L1658" s="519" t="str">
        <f>'Part IX A-Scoring Criteria'!L141</f>
        <v>&lt;&lt;Select entity type&gt;&gt;</v>
      </c>
      <c r="M1658" s="519"/>
      <c r="N1658" s="2442"/>
      <c r="O1658" s="2442"/>
      <c r="P1658" s="2442"/>
      <c r="Q1658" s="2442"/>
      <c r="R1658" s="2442"/>
      <c r="S1658" s="2442"/>
    </row>
    <row r="1659" spans="1:19" ht="15">
      <c r="A1659" s="2254"/>
      <c r="B1659" s="2344"/>
      <c r="C1659" s="2467"/>
      <c r="D1659" s="2457"/>
      <c r="E1659" s="2307"/>
      <c r="F1659" s="2442"/>
      <c r="G1659" s="2381"/>
      <c r="H1659" s="2381"/>
      <c r="I1659" s="504" t="s">
        <v>4083</v>
      </c>
      <c r="J1659" s="2074">
        <f>'Part IX A-Scoring Criteria'!J142</f>
        <v>0</v>
      </c>
      <c r="K1659" s="2074"/>
      <c r="L1659" s="2074">
        <f>'Part IX A-Scoring Criteria'!L142</f>
        <v>0</v>
      </c>
      <c r="M1659" s="2074"/>
      <c r="N1659" s="2442"/>
      <c r="O1659" s="2442"/>
      <c r="P1659" s="2442"/>
      <c r="Q1659" s="2442"/>
      <c r="R1659" s="2442"/>
      <c r="S1659" s="2442"/>
    </row>
    <row r="1660" spans="1:19" ht="13.5" customHeight="1">
      <c r="B1660" s="2344" t="s">
        <v>2522</v>
      </c>
      <c r="C1660" s="2373" t="s">
        <v>3934</v>
      </c>
      <c r="D1660" s="2373"/>
      <c r="E1660" s="2373"/>
      <c r="F1660" s="2373"/>
      <c r="G1660" s="504" t="s">
        <v>3054</v>
      </c>
      <c r="L1660" s="2525">
        <f>'Part IX A-Scoring Criteria'!L143</f>
        <v>0</v>
      </c>
      <c r="M1660" s="2525"/>
      <c r="N1660" s="2344" t="s">
        <v>2522</v>
      </c>
      <c r="O1660" s="2371">
        <f>'Part IX A-Scoring Criteria'!O143</f>
        <v>0</v>
      </c>
      <c r="P1660" s="2371">
        <f>'Part IX A-Scoring Criteria'!P143</f>
        <v>0</v>
      </c>
    </row>
    <row r="1661" spans="1:19" ht="13.5">
      <c r="B1661" s="2344"/>
      <c r="C1661" s="2373"/>
      <c r="D1661" s="2373"/>
      <c r="E1661" s="2373"/>
      <c r="F1661" s="2373"/>
      <c r="G1661" s="504" t="s">
        <v>4456</v>
      </c>
      <c r="L1661" s="2525">
        <f>'Part IX A-Scoring Criteria'!L144</f>
        <v>0</v>
      </c>
      <c r="M1661" s="2525"/>
    </row>
    <row r="1662" spans="1:19" ht="13.5" customHeight="1">
      <c r="B1662" s="2344" t="s">
        <v>2523</v>
      </c>
      <c r="C1662" s="519" t="s">
        <v>3935</v>
      </c>
      <c r="D1662" s="504"/>
      <c r="G1662" s="2311"/>
      <c r="K1662" s="2307"/>
      <c r="L1662" s="2526" t="str">
        <f>'Part IX A-Scoring Criteria'!L145</f>
        <v>&lt;&lt;Enter page nbr(s) from Plan here&gt;&gt;</v>
      </c>
      <c r="M1662" s="2526"/>
      <c r="N1662" s="2344" t="s">
        <v>2523</v>
      </c>
      <c r="O1662" s="2371">
        <f>'Part IX A-Scoring Criteria'!O145</f>
        <v>0</v>
      </c>
      <c r="P1662" s="2371">
        <f>'Part IX A-Scoring Criteria'!P145</f>
        <v>0</v>
      </c>
    </row>
    <row r="1663" spans="1:19" ht="12.75" customHeight="1">
      <c r="B1663" s="2344" t="s">
        <v>2524</v>
      </c>
      <c r="C1663" s="519" t="s">
        <v>2951</v>
      </c>
      <c r="K1663" s="2307"/>
      <c r="L1663" s="2526" t="str">
        <f>'Part IX A-Scoring Criteria'!L146</f>
        <v>&lt;&lt;Enter page nbr(s) from Plan here&gt;&gt;</v>
      </c>
      <c r="M1663" s="2526"/>
      <c r="N1663" s="2344" t="s">
        <v>2524</v>
      </c>
      <c r="O1663" s="2371">
        <f>'Part IX A-Scoring Criteria'!O146</f>
        <v>0</v>
      </c>
      <c r="P1663" s="2371">
        <f>'Part IX A-Scoring Criteria'!P146</f>
        <v>0</v>
      </c>
    </row>
    <row r="1664" spans="1:19" ht="12.75" customHeight="1">
      <c r="B1664" s="2344" t="s">
        <v>3578</v>
      </c>
      <c r="C1664" s="519" t="s">
        <v>3572</v>
      </c>
      <c r="K1664" s="2307"/>
      <c r="L1664" s="2526" t="str">
        <f>'Part IX A-Scoring Criteria'!L147</f>
        <v>&lt;&lt;Enter page nbr(s) from Plan here&gt;&gt;</v>
      </c>
      <c r="M1664" s="2526"/>
      <c r="N1664" s="2344" t="s">
        <v>3578</v>
      </c>
      <c r="O1664" s="2371">
        <f>'Part IX A-Scoring Criteria'!O147</f>
        <v>0</v>
      </c>
      <c r="P1664" s="2371">
        <f>'Part IX A-Scoring Criteria'!P147</f>
        <v>0</v>
      </c>
    </row>
    <row r="1665" spans="1:21" ht="12.75" customHeight="1">
      <c r="B1665" s="2344" t="s">
        <v>3579</v>
      </c>
      <c r="C1665" s="519" t="s">
        <v>3570</v>
      </c>
      <c r="K1665" s="2307"/>
      <c r="L1665" s="2526" t="str">
        <f>'Part IX A-Scoring Criteria'!L148</f>
        <v>&lt;&lt;Enter page nbr(s) from Plan here&gt;&gt;</v>
      </c>
      <c r="M1665" s="2526"/>
      <c r="N1665" s="2344" t="s">
        <v>3579</v>
      </c>
      <c r="O1665" s="2371">
        <f>'Part IX A-Scoring Criteria'!O148</f>
        <v>0</v>
      </c>
      <c r="P1665" s="2371">
        <f>'Part IX A-Scoring Criteria'!P148</f>
        <v>0</v>
      </c>
    </row>
    <row r="1666" spans="1:21" ht="12.75" customHeight="1">
      <c r="B1666" s="2344" t="s">
        <v>2541</v>
      </c>
      <c r="C1666" s="519" t="s">
        <v>2952</v>
      </c>
      <c r="K1666" s="2307"/>
      <c r="L1666" s="2526" t="str">
        <f>'Part IX A-Scoring Criteria'!L149</f>
        <v>&lt;&lt;Enter page nbr(s) from Plan here&gt;&gt;</v>
      </c>
      <c r="M1666" s="2526"/>
      <c r="N1666" s="2344" t="s">
        <v>2541</v>
      </c>
      <c r="O1666" s="2371">
        <f>'Part IX A-Scoring Criteria'!O149</f>
        <v>0</v>
      </c>
      <c r="P1666" s="2371">
        <f>'Part IX A-Scoring Criteria'!P149</f>
        <v>0</v>
      </c>
    </row>
    <row r="1667" spans="1:21" ht="12.75" customHeight="1">
      <c r="B1667" s="2344" t="s">
        <v>2542</v>
      </c>
      <c r="C1667" s="519" t="s">
        <v>2953</v>
      </c>
      <c r="D1667" s="504"/>
      <c r="K1667" s="2307"/>
      <c r="L1667" s="2526" t="str">
        <f>'Part IX A-Scoring Criteria'!L150</f>
        <v>&lt;&lt;Enter page nbr(s) from Plan here&gt;&gt;</v>
      </c>
      <c r="M1667" s="2526"/>
      <c r="N1667" s="2344" t="s">
        <v>2542</v>
      </c>
      <c r="O1667" s="2371">
        <f>'Part IX A-Scoring Criteria'!O150</f>
        <v>0</v>
      </c>
      <c r="P1667" s="2371">
        <f>'Part IX A-Scoring Criteria'!P150</f>
        <v>0</v>
      </c>
    </row>
    <row r="1668" spans="1:21">
      <c r="B1668" s="2344" t="s">
        <v>2543</v>
      </c>
      <c r="C1668" s="519" t="s">
        <v>3936</v>
      </c>
      <c r="K1668" s="2307"/>
      <c r="M1668" s="2254"/>
      <c r="N1668" s="2344" t="s">
        <v>2543</v>
      </c>
      <c r="O1668" s="2371">
        <f>'Part IX A-Scoring Criteria'!O151</f>
        <v>0</v>
      </c>
      <c r="P1668" s="2371">
        <f>'Part IX A-Scoring Criteria'!P151</f>
        <v>0</v>
      </c>
    </row>
    <row r="1669" spans="1:21">
      <c r="B1669" s="2344"/>
      <c r="C1669" s="519"/>
      <c r="K1669" s="2307"/>
      <c r="M1669" s="2254"/>
      <c r="N1669" s="2254"/>
      <c r="O1669" s="2254"/>
      <c r="P1669" s="2254"/>
    </row>
    <row r="1670" spans="1:21">
      <c r="A1670" s="2288" t="s">
        <v>2058</v>
      </c>
      <c r="B1670" s="2276" t="s">
        <v>3571</v>
      </c>
      <c r="G1670" s="2467" t="s">
        <v>3699</v>
      </c>
      <c r="K1670" s="2307"/>
      <c r="L1670" s="2527" t="str">
        <f>'Part IX A-Scoring Criteria'!L153</f>
        <v>Enter page nbr(s) here</v>
      </c>
      <c r="M1670" s="2080">
        <v>3</v>
      </c>
      <c r="N1670" s="2344" t="s">
        <v>2058</v>
      </c>
      <c r="O1670" s="2371">
        <f>'Part IX A-Scoring Criteria'!O153</f>
        <v>0</v>
      </c>
      <c r="P1670" s="2371">
        <f>'Part IX A-Scoring Criteria'!P153</f>
        <v>0</v>
      </c>
    </row>
    <row r="1671" spans="1:21">
      <c r="A1671" s="2372"/>
      <c r="G1671" s="2467" t="s">
        <v>3863</v>
      </c>
      <c r="L1671" s="2528" t="str">
        <f>'Part I-Project Information'!$O$28</f>
        <v>13185010202</v>
      </c>
      <c r="M1671" s="2528"/>
    </row>
    <row r="1672" spans="1:21">
      <c r="A1672" s="2372"/>
      <c r="B1672" s="2467"/>
      <c r="D1672" s="2424"/>
      <c r="G1672" s="2467" t="s">
        <v>3577</v>
      </c>
      <c r="K1672" s="2307"/>
      <c r="L1672" s="2467" t="str">
        <f>'Part I-Project Information'!$N$29</f>
        <v>No</v>
      </c>
    </row>
    <row r="1673" spans="1:21">
      <c r="A1673" s="2372"/>
      <c r="B1673" s="2467"/>
      <c r="D1673" s="2424"/>
      <c r="E1673" s="2467"/>
      <c r="G1673" s="2307" t="s">
        <v>3573</v>
      </c>
      <c r="K1673" s="2307"/>
      <c r="L1673" s="2307" t="str">
        <f>'Part IV-Uses of Funds'!$H$151</f>
        <v>State Boost</v>
      </c>
    </row>
    <row r="1674" spans="1:21">
      <c r="A1674" s="2288" t="s">
        <v>2061</v>
      </c>
      <c r="B1674" s="2276" t="s">
        <v>3574</v>
      </c>
      <c r="D1674" s="2079"/>
      <c r="M1674" s="2252">
        <v>2</v>
      </c>
    </row>
    <row r="1675" spans="1:21" ht="13.5">
      <c r="A1675" s="2372"/>
      <c r="B1675" s="504" t="s">
        <v>3576</v>
      </c>
      <c r="N1675" s="2344" t="s">
        <v>2061</v>
      </c>
      <c r="O1675" s="2371">
        <f>'Part IX A-Scoring Criteria'!O158</f>
        <v>0</v>
      </c>
      <c r="P1675" s="2371">
        <f>'Part IX A-Scoring Criteria'!P158</f>
        <v>0</v>
      </c>
      <c r="Q1675" s="2311"/>
    </row>
    <row r="1676" spans="1:21">
      <c r="A1676" s="2288" t="s">
        <v>779</v>
      </c>
      <c r="B1676" s="2276" t="s">
        <v>2916</v>
      </c>
      <c r="C1676" s="2276"/>
      <c r="D1676" s="2079"/>
      <c r="M1676" s="2080"/>
      <c r="N1676" s="2252"/>
      <c r="O1676" s="2368"/>
      <c r="P1676" s="2368"/>
    </row>
    <row r="1677" spans="1:21" ht="12.75" customHeight="1">
      <c r="B1677" s="2529"/>
      <c r="C1677" s="2373" t="s">
        <v>4457</v>
      </c>
      <c r="D1677" s="2373"/>
      <c r="E1677" s="2373"/>
      <c r="F1677" s="2373"/>
      <c r="G1677" s="2373"/>
      <c r="H1677" s="2373"/>
      <c r="I1677" s="2373"/>
      <c r="J1677" s="2373"/>
      <c r="L1677" s="2373"/>
      <c r="M1677" s="2479">
        <v>10</v>
      </c>
      <c r="N1677" s="2414" t="s">
        <v>779</v>
      </c>
      <c r="O1677" s="2371">
        <f>'Part IX A-Scoring Criteria'!O160</f>
        <v>0</v>
      </c>
      <c r="P1677" s="2371">
        <f>'Part IX A-Scoring Criteria'!P160</f>
        <v>0</v>
      </c>
      <c r="R1677" s="2425" t="s">
        <v>3943</v>
      </c>
      <c r="S1677" s="2425"/>
      <c r="T1677" s="2530" t="s">
        <v>3943</v>
      </c>
      <c r="U1677" s="2530"/>
    </row>
    <row r="1678" spans="1:21" ht="13.5">
      <c r="A1678" s="2288" t="s">
        <v>2193</v>
      </c>
      <c r="B1678" s="2276" t="s">
        <v>3938</v>
      </c>
      <c r="C1678" s="2276"/>
      <c r="D1678" s="2079"/>
      <c r="I1678" s="2531" t="s">
        <v>4214</v>
      </c>
      <c r="J1678" s="2532" t="s">
        <v>4213</v>
      </c>
      <c r="K1678" s="2533" t="s">
        <v>4081</v>
      </c>
      <c r="M1678" s="2080">
        <v>4</v>
      </c>
      <c r="N1678" s="2344" t="s">
        <v>2193</v>
      </c>
      <c r="O1678" s="2521">
        <f>'Part IX A-Scoring Criteria'!O161</f>
        <v>0</v>
      </c>
      <c r="P1678" s="2521">
        <f>'Part IX A-Scoring Criteria'!P161</f>
        <v>0</v>
      </c>
      <c r="R1678" s="504" t="s">
        <v>3421</v>
      </c>
      <c r="S1678" s="2424" t="s">
        <v>268</v>
      </c>
      <c r="T1678" s="547" t="s">
        <v>3421</v>
      </c>
      <c r="U1678" s="2534" t="s">
        <v>268</v>
      </c>
    </row>
    <row r="1679" spans="1:21">
      <c r="B1679" s="2516" t="s">
        <v>2062</v>
      </c>
      <c r="C1679" s="2422" t="s">
        <v>3940</v>
      </c>
      <c r="D1679" s="2422"/>
      <c r="E1679" s="2422"/>
      <c r="F1679" s="2422"/>
      <c r="G1679" s="2422"/>
      <c r="H1679" s="2422"/>
      <c r="I1679" s="2535">
        <f>'Part IX A-Scoring Criteria'!I162</f>
        <v>13</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2062</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2064</v>
      </c>
      <c r="C1680" s="2539" t="s">
        <v>4212</v>
      </c>
      <c r="D1680" s="2422"/>
      <c r="E1680" s="2422"/>
      <c r="F1680" s="2422"/>
      <c r="G1680" s="2422"/>
      <c r="H1680" s="2422"/>
      <c r="I1680" s="2535" t="str">
        <f>'Part IX A-Scoring Criteria'!I163</f>
        <v>Yes</v>
      </c>
      <c r="J1680" s="2535" t="str">
        <f>'Part IX A-Scoring Criteria'!J163</f>
        <v>No</v>
      </c>
      <c r="K1680" s="2371">
        <f>'Part IX A-Scoring Criteria'!K163</f>
        <v>0</v>
      </c>
      <c r="L1680" s="2371">
        <f>'Part IX A-Scoring Criteria'!L163</f>
        <v>0</v>
      </c>
      <c r="M1680" s="2536"/>
      <c r="N1680" s="2537" t="s">
        <v>2064</v>
      </c>
      <c r="O1680" s="2538" t="str">
        <f>'Part IX A-Scoring Criteria'!O163</f>
        <v>Yes</v>
      </c>
      <c r="P1680" s="2371">
        <f>'Part IX A-Scoring Criteria'!P163</f>
        <v>0</v>
      </c>
      <c r="R1680" s="2424">
        <f t="shared" ref="R1680:S1683" si="305">IF(O1680="Yes",1,0)</f>
        <v>1</v>
      </c>
      <c r="S1680" s="2424">
        <f t="shared" si="305"/>
        <v>0</v>
      </c>
      <c r="T1680" s="2534">
        <f t="shared" ref="T1680:U1683" si="306">IF(K1680="Yes",1,0)</f>
        <v>0</v>
      </c>
      <c r="U1680" s="2534">
        <f t="shared" si="306"/>
        <v>0</v>
      </c>
    </row>
    <row r="1681" spans="1:21">
      <c r="B1681" s="2516" t="s">
        <v>2622</v>
      </c>
      <c r="C1681" s="2422" t="s">
        <v>3942</v>
      </c>
      <c r="D1681" s="2422"/>
      <c r="E1681" s="2422"/>
      <c r="F1681" s="2422"/>
      <c r="G1681" s="2422"/>
      <c r="H1681" s="2422"/>
      <c r="I1681" s="2535">
        <f>'Part IX A-Scoring Criteria'!I164</f>
        <v>0</v>
      </c>
      <c r="J1681" s="2535">
        <f>'Part IX A-Scoring Criteria'!J164</f>
        <v>0</v>
      </c>
      <c r="K1681" s="2371">
        <f>'Part IX A-Scoring Criteria'!K164</f>
        <v>0</v>
      </c>
      <c r="L1681" s="2371">
        <f>'Part IX A-Scoring Criteria'!L164</f>
        <v>0</v>
      </c>
      <c r="M1681" s="2536"/>
      <c r="N1681" s="2537" t="s">
        <v>2622</v>
      </c>
      <c r="O1681" s="2538"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1270</v>
      </c>
      <c r="C1682" s="2422" t="s">
        <v>3941</v>
      </c>
      <c r="D1682" s="2422"/>
      <c r="E1682" s="2422"/>
      <c r="F1682" s="2422"/>
      <c r="G1682" s="2422"/>
      <c r="H1682" s="2422"/>
      <c r="I1682" s="2535">
        <f>'Part IX A-Scoring Criteria'!I165</f>
        <v>0</v>
      </c>
      <c r="J1682" s="2535">
        <f>'Part IX A-Scoring Criteria'!J165</f>
        <v>0</v>
      </c>
      <c r="K1682" s="2371">
        <f>'Part IX A-Scoring Criteria'!K165</f>
        <v>0</v>
      </c>
      <c r="L1682" s="2371">
        <f>'Part IX A-Scoring Criteria'!L165</f>
        <v>0</v>
      </c>
      <c r="M1682" s="2536"/>
      <c r="N1682" s="2537" t="s">
        <v>1270</v>
      </c>
      <c r="O1682" s="2538" t="str">
        <f>'Part IX A-Scoring Criteria'!O165</f>
        <v>No</v>
      </c>
      <c r="P1682" s="2371">
        <f>'Part IX A-Scoring Criteria'!P165</f>
        <v>0</v>
      </c>
      <c r="R1682" s="2424">
        <f t="shared" si="305"/>
        <v>0</v>
      </c>
      <c r="S1682" s="2424">
        <f t="shared" si="305"/>
        <v>0</v>
      </c>
      <c r="T1682" s="2534">
        <f t="shared" si="306"/>
        <v>0</v>
      </c>
      <c r="U1682" s="2534">
        <f t="shared" si="306"/>
        <v>0</v>
      </c>
    </row>
    <row r="1683" spans="1:21">
      <c r="B1683" s="2516" t="s">
        <v>1271</v>
      </c>
      <c r="C1683" s="2539" t="s">
        <v>4217</v>
      </c>
      <c r="D1683" s="2422"/>
      <c r="E1683" s="2422"/>
      <c r="F1683" s="2422"/>
      <c r="G1683" s="2422"/>
      <c r="H1683" s="2422"/>
      <c r="I1683" s="2540">
        <f>'Part IX A-Scoring Criteria'!I166</f>
        <v>0.296875</v>
      </c>
      <c r="J1683" s="2540">
        <f>'Part IX A-Scoring Criteria'!J166</f>
        <v>0</v>
      </c>
      <c r="K1683" s="2371">
        <f>'Part IX A-Scoring Criteria'!K166</f>
        <v>0</v>
      </c>
      <c r="L1683" s="2371">
        <f>'Part IX A-Scoring Criteria'!L166</f>
        <v>0</v>
      </c>
      <c r="M1683" s="2536"/>
      <c r="N1683" s="2537" t="s">
        <v>1271</v>
      </c>
      <c r="O1683" s="2538" t="str">
        <f>'Part IX A-Scoring Criteria'!O166</f>
        <v>Yes</v>
      </c>
      <c r="P1683" s="2371">
        <f>'Part IX A-Scoring Criteria'!P166</f>
        <v>0</v>
      </c>
      <c r="R1683" s="2424">
        <f t="shared" si="305"/>
        <v>1</v>
      </c>
      <c r="S1683" s="2424">
        <f t="shared" si="305"/>
        <v>0</v>
      </c>
      <c r="T1683" s="2534">
        <f t="shared" si="306"/>
        <v>0</v>
      </c>
      <c r="U1683" s="2534">
        <f t="shared" si="306"/>
        <v>0</v>
      </c>
    </row>
    <row r="1684" spans="1:21" ht="15">
      <c r="A1684" s="2079"/>
      <c r="B1684" s="2335" t="s">
        <v>267</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33.75">
      <c r="A1685" s="2373" t="str">
        <f>'Part IX A-Scoring Criteria'!A168</f>
        <v>This section is not applicable.</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9"/>
      <c r="B1686" s="2335" t="s">
        <v>1937</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2544</v>
      </c>
      <c r="C1689" s="2442"/>
      <c r="D1689" s="2471"/>
      <c r="E1689" s="2471"/>
      <c r="F1689" s="2471"/>
      <c r="G1689" s="2442"/>
      <c r="H1689" s="2541" t="s">
        <v>3601</v>
      </c>
      <c r="I1689" s="2442"/>
      <c r="J1689" s="2442"/>
      <c r="K1689" s="2260"/>
      <c r="L1689" s="2442"/>
      <c r="M1689" s="2257">
        <v>4</v>
      </c>
      <c r="N1689" s="2080"/>
      <c r="O1689" s="2438">
        <f>'Part IX A-Scoring Criteria'!O172</f>
        <v>2</v>
      </c>
      <c r="P1689" s="2438">
        <f>'Part IX A-Scoring Criteria'!P172</f>
        <v>0</v>
      </c>
      <c r="Q1689" s="2257" t="s">
        <v>456</v>
      </c>
      <c r="R1689" s="2442"/>
      <c r="S1689" s="2442"/>
    </row>
    <row r="1690" spans="1:21">
      <c r="A1690" s="2372"/>
      <c r="B1690" s="2467"/>
      <c r="D1690" s="2424"/>
      <c r="E1690" s="2467"/>
      <c r="H1690" s="2367" t="s">
        <v>2912</v>
      </c>
      <c r="I1690" s="504"/>
      <c r="J1690" s="2367" t="str">
        <f>'Part I-Project Information'!$H$90</f>
        <v>Rural</v>
      </c>
      <c r="K1690" s="2367"/>
    </row>
    <row r="1691" spans="1:21" ht="13.5">
      <c r="A1691" s="2268" t="s">
        <v>2058</v>
      </c>
      <c r="B1691" s="2276" t="s">
        <v>2312</v>
      </c>
      <c r="D1691" s="2079"/>
      <c r="E1691" s="2079"/>
      <c r="F1691" s="2079"/>
      <c r="H1691" s="2367" t="s">
        <v>4130</v>
      </c>
      <c r="I1691" s="504"/>
      <c r="J1691" s="2367" t="str">
        <f>'Part I-Project Information'!$O$24</f>
        <v>No</v>
      </c>
      <c r="K1691" s="2367"/>
      <c r="L1691" s="2542">
        <f>'Part I-Project Information'!$O$25</f>
        <v>0</v>
      </c>
      <c r="M1691" s="2080">
        <v>3</v>
      </c>
      <c r="N1691" s="2344" t="s">
        <v>2058</v>
      </c>
      <c r="O1691" s="2438">
        <f>'Part IX A-Scoring Criteria'!O174</f>
        <v>0</v>
      </c>
      <c r="P1691" s="2438">
        <f>'Part IX A-Scoring Criteria'!P174</f>
        <v>0</v>
      </c>
      <c r="Q1691" s="2311" t="s">
        <v>2810</v>
      </c>
    </row>
    <row r="1692" spans="1:21" ht="12.75" customHeight="1">
      <c r="A1692" s="504"/>
      <c r="B1692" s="2543" t="s">
        <v>2062</v>
      </c>
      <c r="C1692" s="2373" t="s">
        <v>3944</v>
      </c>
      <c r="D1692" s="2176"/>
      <c r="E1692" s="2176"/>
      <c r="F1692" s="2176"/>
      <c r="G1692" s="2176"/>
      <c r="H1692" s="2176"/>
      <c r="I1692" s="2176"/>
      <c r="J1692" s="2176"/>
      <c r="K1692" s="2176"/>
      <c r="L1692" s="2176"/>
      <c r="M1692" s="2479"/>
      <c r="N1692" s="2459" t="s">
        <v>2062</v>
      </c>
      <c r="O1692" s="2371">
        <f>'Part IX A-Scoring Criteria'!O175</f>
        <v>0</v>
      </c>
      <c r="P1692" s="2371">
        <f>'Part IX A-Scoring Criteria'!P175</f>
        <v>0</v>
      </c>
      <c r="Q1692" s="504"/>
      <c r="R1692" s="504"/>
      <c r="S1692" s="504"/>
    </row>
    <row r="1693" spans="1:21">
      <c r="A1693" s="504"/>
      <c r="B1693" s="2462"/>
      <c r="C1693" s="519" t="s">
        <v>997</v>
      </c>
      <c r="D1693" s="504"/>
      <c r="E1693" s="504"/>
      <c r="F1693" s="504"/>
      <c r="G1693" s="504"/>
      <c r="H1693" s="2467" t="s">
        <v>2671</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2381</v>
      </c>
      <c r="I1694" s="504"/>
      <c r="J1694" s="2425">
        <f>'Part IX A-Scoring Criteria'!J177</f>
        <v>0</v>
      </c>
      <c r="K1694" s="2425"/>
      <c r="L1694" s="2425"/>
      <c r="M1694" s="504"/>
      <c r="N1694" s="504"/>
      <c r="O1694" s="504"/>
      <c r="P1694" s="504"/>
      <c r="Q1694" s="504"/>
      <c r="R1694" s="504"/>
      <c r="S1694" s="504"/>
    </row>
    <row r="1695" spans="1:21">
      <c r="A1695" s="519"/>
      <c r="B1695" s="2462" t="s">
        <v>2064</v>
      </c>
      <c r="C1695" s="519" t="s">
        <v>998</v>
      </c>
      <c r="D1695" s="519"/>
      <c r="E1695" s="519"/>
      <c r="F1695" s="519"/>
      <c r="G1695" s="519"/>
      <c r="H1695" s="519"/>
      <c r="I1695" s="519"/>
      <c r="J1695" s="519"/>
      <c r="K1695" s="519"/>
      <c r="L1695" s="519"/>
      <c r="M1695" s="2080"/>
      <c r="N1695" s="2472" t="s">
        <v>2064</v>
      </c>
      <c r="O1695" s="2371">
        <f>'Part IX A-Scoring Criteria'!O178</f>
        <v>0</v>
      </c>
      <c r="P1695" s="2371">
        <f>'Part IX A-Scoring Criteria'!P178</f>
        <v>0</v>
      </c>
      <c r="Q1695" s="519"/>
      <c r="R1695" s="519"/>
      <c r="S1695" s="519"/>
    </row>
    <row r="1696" spans="1:21">
      <c r="A1696" s="519"/>
      <c r="B1696" s="2462" t="s">
        <v>2622</v>
      </c>
      <c r="C1696" s="519" t="s">
        <v>999</v>
      </c>
      <c r="D1696" s="519"/>
      <c r="E1696" s="519"/>
      <c r="F1696" s="519"/>
      <c r="G1696" s="519"/>
      <c r="H1696" s="519"/>
      <c r="I1696" s="519"/>
      <c r="J1696" s="519"/>
      <c r="K1696" s="519"/>
      <c r="L1696" s="519"/>
      <c r="M1696" s="2080"/>
      <c r="N1696" s="2472" t="s">
        <v>2622</v>
      </c>
      <c r="O1696" s="2371">
        <f>'Part IX A-Scoring Criteria'!O179</f>
        <v>0</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80"/>
      <c r="N1697" s="2472" t="s">
        <v>1270</v>
      </c>
      <c r="O1697" s="2371">
        <f>'Part IX A-Scoring Criteria'!O180</f>
        <v>0</v>
      </c>
      <c r="P1697" s="2371">
        <f>'Part IX A-Scoring Criteria'!P180</f>
        <v>0</v>
      </c>
      <c r="Q1697" s="519"/>
      <c r="R1697" s="519"/>
      <c r="S1697" s="519"/>
    </row>
    <row r="1698" spans="1:19">
      <c r="A1698" s="2268" t="s">
        <v>2061</v>
      </c>
      <c r="B1698" s="2276" t="s">
        <v>3947</v>
      </c>
      <c r="C1698" s="2079"/>
      <c r="D1698" s="2079"/>
      <c r="E1698" s="2079"/>
      <c r="F1698" s="2079"/>
      <c r="G1698" s="2079"/>
      <c r="H1698" s="2541" t="s">
        <v>3602</v>
      </c>
      <c r="I1698" s="2079"/>
      <c r="J1698" s="2079"/>
      <c r="K1698" s="2079"/>
      <c r="L1698" s="2079"/>
      <c r="M1698" s="2080">
        <v>3</v>
      </c>
      <c r="N1698" s="2344" t="s">
        <v>2061</v>
      </c>
      <c r="O1698" s="2438">
        <f>'Part IX A-Scoring Criteria'!O181</f>
        <v>0</v>
      </c>
      <c r="P1698" s="2438">
        <f>'Part IX A-Scoring Criteria'!P181</f>
        <v>0</v>
      </c>
      <c r="Q1698" s="2079"/>
      <c r="R1698" s="2079"/>
      <c r="S1698" s="2079"/>
    </row>
    <row r="1699" spans="1:19">
      <c r="A1699" s="2268"/>
      <c r="B1699" s="2260" t="s">
        <v>3949</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2062</v>
      </c>
      <c r="C1700" s="2367" t="s">
        <v>4458</v>
      </c>
      <c r="D1700" s="2079"/>
      <c r="E1700" s="2079"/>
      <c r="F1700" s="2079"/>
      <c r="G1700" s="2079"/>
      <c r="H1700" s="2079"/>
      <c r="I1700" s="2079"/>
      <c r="J1700" s="2079"/>
      <c r="K1700" s="2079"/>
      <c r="L1700" s="2079"/>
      <c r="M1700" s="2080">
        <v>3</v>
      </c>
      <c r="N1700" s="2537" t="s">
        <v>2062</v>
      </c>
      <c r="O1700" s="2438">
        <f>'Part IX A-Scoring Criteria'!O183</f>
        <v>0</v>
      </c>
      <c r="P1700" s="2438">
        <f>'Part IX A-Scoring Criteria'!P183</f>
        <v>0</v>
      </c>
      <c r="Q1700" s="2074" t="s">
        <v>2810</v>
      </c>
      <c r="R1700" s="2079"/>
      <c r="S1700" s="2079"/>
    </row>
    <row r="1701" spans="1:19">
      <c r="A1701" s="2371" t="s">
        <v>1403</v>
      </c>
      <c r="B1701" s="2529" t="s">
        <v>2064</v>
      </c>
      <c r="C1701" s="2418" t="s">
        <v>4459</v>
      </c>
      <c r="D1701" s="2079"/>
      <c r="E1701" s="2079"/>
      <c r="F1701" s="2079"/>
      <c r="G1701" s="2307"/>
      <c r="H1701" s="2541"/>
      <c r="I1701" s="2307"/>
      <c r="M1701" s="2252">
        <v>2</v>
      </c>
      <c r="N1701" s="2537" t="s">
        <v>2064</v>
      </c>
      <c r="O1701" s="2438">
        <f>'Part IX A-Scoring Criteria'!O184</f>
        <v>0</v>
      </c>
      <c r="P1701" s="2438">
        <f>'Part IX A-Scoring Criteria'!P184</f>
        <v>0</v>
      </c>
      <c r="Q1701" s="2074" t="s">
        <v>2810</v>
      </c>
    </row>
    <row r="1702" spans="1:19">
      <c r="A1702" s="2268" t="s">
        <v>779</v>
      </c>
      <c r="B1702" s="2276" t="s">
        <v>3948</v>
      </c>
      <c r="C1702" s="2079"/>
      <c r="D1702" s="2079"/>
      <c r="E1702" s="2079"/>
      <c r="F1702" s="2079"/>
      <c r="G1702" s="2079"/>
      <c r="H1702" s="2541" t="s">
        <v>3956</v>
      </c>
      <c r="I1702" s="2079"/>
      <c r="J1702" s="2079"/>
      <c r="K1702" s="2079"/>
      <c r="L1702" s="2079"/>
      <c r="M1702" s="2080">
        <v>4</v>
      </c>
      <c r="N1702" s="2344" t="s">
        <v>779</v>
      </c>
      <c r="O1702" s="2438">
        <f>'Part IX A-Scoring Criteria'!O185</f>
        <v>2</v>
      </c>
      <c r="P1702" s="2438">
        <f>'Part IX A-Scoring Criteria'!P185</f>
        <v>0</v>
      </c>
      <c r="Q1702" s="2079"/>
      <c r="R1702" s="2079"/>
      <c r="S1702" s="2079"/>
    </row>
    <row r="1703" spans="1:19">
      <c r="A1703" s="2268"/>
      <c r="B1703" s="2260" t="s">
        <v>3953</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2062</v>
      </c>
      <c r="C1704" s="2367" t="s">
        <v>4460</v>
      </c>
      <c r="D1704" s="2079"/>
      <c r="E1704" s="2079"/>
      <c r="F1704" s="2079"/>
      <c r="G1704" s="2079"/>
      <c r="H1704" s="2079"/>
      <c r="I1704" s="2079"/>
      <c r="J1704" s="2079"/>
      <c r="K1704" s="2273" t="str">
        <f>IF(AND(O1704&gt;0,O1706&gt;0),"Choose either option 1 or option 3!!!","")</f>
        <v/>
      </c>
      <c r="L1704" s="2273"/>
      <c r="M1704" s="2080">
        <v>3</v>
      </c>
      <c r="N1704" s="2537" t="s">
        <v>2062</v>
      </c>
      <c r="O1704" s="2438">
        <f>'Part IX A-Scoring Criteria'!O187</f>
        <v>0</v>
      </c>
      <c r="P1704" s="2438">
        <f>'Part IX A-Scoring Criteria'!P187</f>
        <v>0</v>
      </c>
      <c r="Q1704" s="2074" t="s">
        <v>2810</v>
      </c>
      <c r="R1704" s="2079"/>
      <c r="S1704" s="2079"/>
    </row>
    <row r="1705" spans="1:19">
      <c r="A1705" s="2371"/>
      <c r="B1705" s="2529" t="s">
        <v>2064</v>
      </c>
      <c r="C1705" s="504" t="s">
        <v>3951</v>
      </c>
      <c r="D1705" s="2079"/>
      <c r="E1705" s="2079"/>
      <c r="F1705" s="2079"/>
      <c r="G1705" s="2307"/>
      <c r="H1705" s="2308" t="s">
        <v>3957</v>
      </c>
      <c r="I1705" s="2307"/>
      <c r="K1705" s="2273"/>
      <c r="L1705" s="2273"/>
      <c r="M1705" s="2252">
        <v>1</v>
      </c>
      <c r="N1705" s="2537" t="s">
        <v>2064</v>
      </c>
      <c r="O1705" s="2438">
        <f>'Part IX A-Scoring Criteria'!O188</f>
        <v>0</v>
      </c>
      <c r="P1705" s="2438">
        <f>'Part IX A-Scoring Criteria'!P188</f>
        <v>0</v>
      </c>
      <c r="Q1705" s="2074" t="s">
        <v>2810</v>
      </c>
    </row>
    <row r="1706" spans="1:19">
      <c r="A1706" s="2371" t="s">
        <v>1403</v>
      </c>
      <c r="B1706" s="2529" t="s">
        <v>2622</v>
      </c>
      <c r="C1706" s="2418" t="s">
        <v>4461</v>
      </c>
      <c r="D1706" s="2079"/>
      <c r="E1706" s="2079"/>
      <c r="F1706" s="2079"/>
      <c r="G1706" s="2307"/>
      <c r="H1706" s="2541"/>
      <c r="I1706" s="2307"/>
      <c r="K1706" s="2273"/>
      <c r="L1706" s="2273"/>
      <c r="M1706" s="2252">
        <v>2</v>
      </c>
      <c r="N1706" s="2537" t="s">
        <v>2622</v>
      </c>
      <c r="O1706" s="2438">
        <f>'Part IX A-Scoring Criteria'!O189</f>
        <v>2</v>
      </c>
      <c r="P1706" s="2438">
        <f>'Part IX A-Scoring Criteria'!P189</f>
        <v>0</v>
      </c>
      <c r="Q1706" s="2074" t="s">
        <v>2810</v>
      </c>
    </row>
    <row r="1707" spans="1:19" ht="15">
      <c r="A1707" s="2079"/>
      <c r="B1707" s="2335" t="s">
        <v>267</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270">
      <c r="A1708" s="2373" t="str">
        <f>'Part IX A-Scoring Criteria'!A191</f>
        <v>The proposed development was annexed into the City of Hahira June 2, 2016. Please Tab 13 for evidence of the annexation. The City of Hahira has not received an award in the last Four (4) DCA funding cycles.</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9"/>
      <c r="B1709" s="2335" t="s">
        <v>1937</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3594</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456</v>
      </c>
      <c r="R1712" s="2425" t="s">
        <v>3943</v>
      </c>
      <c r="S1712" s="2425"/>
    </row>
    <row r="1713" spans="1:19">
      <c r="B1713" s="504" t="s">
        <v>1729</v>
      </c>
      <c r="M1713" s="2484"/>
      <c r="O1713" s="2424" t="s">
        <v>2597</v>
      </c>
      <c r="P1713" s="2424" t="s">
        <v>2597</v>
      </c>
      <c r="R1713" s="504" t="s">
        <v>3421</v>
      </c>
      <c r="S1713" s="2424" t="s">
        <v>268</v>
      </c>
    </row>
    <row r="1714" spans="1:19" ht="12.75" customHeight="1">
      <c r="A1714" s="2409" t="s">
        <v>2058</v>
      </c>
      <c r="B1714" s="2373" t="s">
        <v>3958</v>
      </c>
      <c r="C1714" s="2373"/>
      <c r="D1714" s="2373"/>
      <c r="E1714" s="2373"/>
      <c r="F1714" s="2373"/>
      <c r="G1714" s="2373"/>
      <c r="H1714" s="2373"/>
      <c r="I1714" s="2373"/>
      <c r="J1714" s="2373"/>
      <c r="K1714" s="2373"/>
      <c r="L1714" s="2373"/>
      <c r="M1714" s="2176"/>
      <c r="N1714" s="2414" t="s">
        <v>2058</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2061</v>
      </c>
      <c r="B1715" s="2373" t="s">
        <v>2841</v>
      </c>
      <c r="C1715" s="2373"/>
      <c r="D1715" s="2373"/>
      <c r="E1715" s="2373"/>
      <c r="F1715" s="2373"/>
      <c r="G1715" s="2373"/>
      <c r="H1715" s="2373"/>
      <c r="I1715" s="2373"/>
      <c r="J1715" s="2373"/>
      <c r="K1715" s="2373"/>
      <c r="L1715" s="2373"/>
      <c r="M1715" s="2176"/>
      <c r="N1715" s="2414" t="s">
        <v>2061</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4"/>
      <c r="N1716" s="2344" t="s">
        <v>779</v>
      </c>
      <c r="O1716" s="2371" t="str">
        <f>'Part IX A-Scoring Criteria'!O199</f>
        <v>No</v>
      </c>
      <c r="P1716" s="2371">
        <f>'Part IX A-Scoring Criteria'!P199</f>
        <v>0</v>
      </c>
      <c r="Q1716" s="2413"/>
      <c r="R1716" s="2424">
        <f t="shared" si="307"/>
        <v>0</v>
      </c>
      <c r="S1716" s="2424">
        <f t="shared" si="307"/>
        <v>0</v>
      </c>
    </row>
    <row r="1717" spans="1:19">
      <c r="A1717" s="2409" t="s">
        <v>2193</v>
      </c>
      <c r="B1717" s="2396" t="s">
        <v>3959</v>
      </c>
      <c r="C1717" s="2413"/>
      <c r="D1717" s="2413"/>
      <c r="E1717" s="2413"/>
      <c r="F1717" s="2413"/>
      <c r="G1717" s="2413"/>
      <c r="H1717" s="2413"/>
      <c r="I1717" s="2413"/>
      <c r="J1717" s="2413"/>
      <c r="K1717" s="2413"/>
      <c r="L1717" s="2413"/>
      <c r="M1717" s="2544"/>
      <c r="N1717" s="2344" t="s">
        <v>2193</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67.5">
      <c r="A1719" s="2373" t="str">
        <f>'Part IX A-Scoring Criteria'!A202</f>
        <v>Please see Tab 5 of the application for the market study.</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9"/>
      <c r="B1720" s="2335" t="s">
        <v>1937</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5" t="s">
        <v>227</v>
      </c>
      <c r="B1723" s="2440" t="s">
        <v>2954</v>
      </c>
      <c r="C1723" s="2442"/>
      <c r="D1723" s="2471"/>
      <c r="E1723" s="2471"/>
      <c r="F1723" s="2471"/>
      <c r="G1723" s="2442"/>
      <c r="H1723" s="519"/>
      <c r="I1723" s="2541"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2058</v>
      </c>
      <c r="B1724" s="2276" t="s">
        <v>2313</v>
      </c>
      <c r="C1724" s="2457"/>
      <c r="D1724" s="2541"/>
      <c r="E1724" s="2541"/>
      <c r="F1724" s="2436"/>
      <c r="H1724" s="2457"/>
      <c r="I1724" s="2457"/>
      <c r="J1724" s="2457"/>
      <c r="K1724" s="2457"/>
      <c r="L1724" s="2457"/>
      <c r="M1724" s="2080">
        <v>1</v>
      </c>
      <c r="N1724" s="2344" t="s">
        <v>2058</v>
      </c>
      <c r="O1724" s="2438">
        <f>'Part IX A-Scoring Criteria'!O207</f>
        <v>1</v>
      </c>
      <c r="P1724" s="2438">
        <f>'Part IX A-Scoring Criteria'!P207</f>
        <v>0</v>
      </c>
      <c r="Q1724" s="2311" t="s">
        <v>2810</v>
      </c>
      <c r="R1724" s="2457"/>
      <c r="S1724" s="2457"/>
    </row>
    <row r="1725" spans="1:19" ht="15">
      <c r="A1725" s="2288"/>
      <c r="B1725" s="2307" t="s">
        <v>2794</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2061</v>
      </c>
      <c r="B1726" s="2276" t="s">
        <v>2314</v>
      </c>
      <c r="C1726" s="2442"/>
      <c r="D1726" s="519"/>
      <c r="E1726" s="2442"/>
      <c r="F1726" s="2442"/>
      <c r="G1726" s="2442"/>
      <c r="H1726" s="2442"/>
      <c r="I1726" s="2442"/>
      <c r="J1726" s="2442"/>
      <c r="K1726" s="519"/>
      <c r="L1726" s="2457"/>
      <c r="M1726" s="2080">
        <v>1</v>
      </c>
      <c r="N1726" s="2344" t="s">
        <v>2061</v>
      </c>
      <c r="O1726" s="2438">
        <f>'Part IX A-Scoring Criteria'!O209</f>
        <v>0</v>
      </c>
      <c r="P1726" s="2438">
        <f>'Part IX A-Scoring Criteria'!P209</f>
        <v>0</v>
      </c>
      <c r="Q1726" s="2311" t="s">
        <v>2810</v>
      </c>
      <c r="R1726" s="2442"/>
      <c r="S1726" s="2442"/>
    </row>
    <row r="1727" spans="1:19" ht="15">
      <c r="A1727" s="2288"/>
      <c r="B1727" s="2307" t="s">
        <v>3960</v>
      </c>
      <c r="C1727" s="2442"/>
      <c r="D1727" s="519"/>
      <c r="E1727" s="2442"/>
      <c r="F1727" s="2442"/>
      <c r="G1727" s="2442"/>
      <c r="H1727" s="2368"/>
      <c r="I1727" s="2442"/>
      <c r="J1727" s="2442"/>
      <c r="K1727" s="519"/>
      <c r="L1727" s="2457"/>
      <c r="M1727" s="2080"/>
      <c r="N1727" s="2344"/>
      <c r="O1727" s="2371">
        <f>'Part IX A-Scoring Criteria'!O210</f>
        <v>0</v>
      </c>
      <c r="P1727" s="2371">
        <f>'Part IX A-Scoring Criteria'!P210</f>
        <v>0</v>
      </c>
      <c r="Q1727" s="2311"/>
      <c r="R1727" s="2452"/>
      <c r="S1727" s="2442"/>
    </row>
    <row r="1728" spans="1:19" ht="15">
      <c r="A1728" s="2079"/>
      <c r="B1728" s="2374" t="s">
        <v>1937</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245</v>
      </c>
      <c r="B1731" s="2450" t="s">
        <v>3595</v>
      </c>
      <c r="C1731" s="2329"/>
      <c r="D1731" s="2425"/>
      <c r="E1731" s="519"/>
      <c r="F1731" s="2442"/>
      <c r="G1731" s="2442"/>
      <c r="H1731" s="2442"/>
      <c r="I1731" s="2442"/>
      <c r="J1731" s="2442"/>
      <c r="K1731" s="2442"/>
      <c r="L1731" s="2442"/>
      <c r="M1731" s="2257">
        <v>3</v>
      </c>
      <c r="N1731" s="2080"/>
      <c r="O1731" s="2080"/>
      <c r="P1731" s="2257"/>
      <c r="Q1731" s="2257" t="s">
        <v>456</v>
      </c>
      <c r="R1731" s="2442"/>
      <c r="S1731" s="2442"/>
    </row>
    <row r="1732" spans="1:19" ht="15">
      <c r="A1732" s="2545"/>
      <c r="B1732" s="2307" t="s">
        <v>2786</v>
      </c>
      <c r="C1732" s="2329"/>
      <c r="D1732" s="2425"/>
      <c r="E1732" s="519"/>
      <c r="F1732" s="2442"/>
      <c r="G1732" s="2442"/>
      <c r="H1732" s="2442"/>
      <c r="I1732" s="2261" t="str">
        <f>'Part I-Project Information'!$H$86</f>
        <v>No</v>
      </c>
      <c r="J1732" s="2442"/>
      <c r="K1732" s="2442"/>
      <c r="L1732" s="2442"/>
      <c r="M1732" s="2257"/>
      <c r="N1732" s="2257"/>
      <c r="O1732" s="2424" t="s">
        <v>2597</v>
      </c>
      <c r="P1732" s="2424" t="s">
        <v>2597</v>
      </c>
      <c r="Q1732" s="2257"/>
      <c r="R1732" s="2442"/>
      <c r="S1732" s="2442"/>
    </row>
    <row r="1733" spans="1:19" ht="15">
      <c r="A1733" s="2288"/>
      <c r="B1733" s="504" t="s">
        <v>3712</v>
      </c>
      <c r="C1733" s="2442"/>
      <c r="D1733" s="2079"/>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4" t="s">
        <v>3713</v>
      </c>
      <c r="C1734" s="2442"/>
      <c r="D1734" s="2079"/>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4" t="s">
        <v>3961</v>
      </c>
      <c r="C1735" s="2442"/>
      <c r="D1735" s="2079"/>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1937</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2955</v>
      </c>
      <c r="C1739" s="2546"/>
      <c r="D1739" s="2546"/>
      <c r="E1739" s="519" t="s">
        <v>3865</v>
      </c>
      <c r="F1739" s="2546"/>
      <c r="G1739" s="2422" t="str">
        <f>'Part I-Project Information'!$H$90</f>
        <v>Rural</v>
      </c>
      <c r="H1739" s="2307" t="str">
        <f>IF(G1739="Flexible","(NOTE: Only Rural pool applicants are eligible for this section.)","")</f>
        <v/>
      </c>
      <c r="I1739" s="2546"/>
      <c r="J1739" s="2546"/>
      <c r="K1739" s="2467" t="s">
        <v>3866</v>
      </c>
      <c r="L1739" s="2307" t="str">
        <f>'Part I-Project Information'!$K$30</f>
        <v>Rural</v>
      </c>
      <c r="M1739" s="2257">
        <v>2</v>
      </c>
      <c r="N1739" s="2486"/>
      <c r="O1739" s="2438">
        <f>'Part IX A-Scoring Criteria'!O222</f>
        <v>2</v>
      </c>
      <c r="P1739" s="2438">
        <f>'Part IX A-Scoring Criteria'!P222</f>
        <v>0</v>
      </c>
      <c r="Q1739" s="2257" t="s">
        <v>456</v>
      </c>
      <c r="R1739" s="1305" t="s">
        <v>2810</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4462</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3864</v>
      </c>
      <c r="B1742" s="2546"/>
      <c r="C1742" s="2548" t="str">
        <f>'Part II-Development Team'!$H$14</f>
        <v>Village on Park GP, LLC</v>
      </c>
      <c r="D1742" s="2548"/>
      <c r="E1742" s="2546"/>
      <c r="F1742" s="2549">
        <f>'Part II-Development Team'!$L$139</f>
        <v>1E-4</v>
      </c>
      <c r="G1742" s="2548" t="str">
        <f>'Part II-Development Team'!$Q$14</f>
        <v>Shawn Smith</v>
      </c>
      <c r="H1742" s="2548"/>
      <c r="I1742" s="2550" t="s">
        <v>4463</v>
      </c>
      <c r="J1742" s="2551">
        <f>'Part VI-Revenues &amp; Expenses'!$O$62</f>
        <v>64</v>
      </c>
      <c r="K1742" s="2552" t="s">
        <v>4464</v>
      </c>
      <c r="L1742" s="2458"/>
      <c r="M1742" s="2553"/>
      <c r="N1742" s="2486"/>
      <c r="O1742" s="2554" t="s">
        <v>4202</v>
      </c>
      <c r="P1742" s="2554"/>
      <c r="Q1742" s="2257"/>
      <c r="S1742" s="2546"/>
    </row>
    <row r="1743" spans="1:19" ht="15">
      <c r="A1743" s="2547" t="s">
        <v>3867</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458"/>
      <c r="M1743" s="2555">
        <f>'Part IX A-Scoring Criteria'!$M$226</f>
        <v>0</v>
      </c>
      <c r="N1743" s="2546"/>
      <c r="O1743" s="2556" t="s">
        <v>1399</v>
      </c>
      <c r="P1743" s="2557">
        <f>IF('Part VI-Revenues &amp; Expenses'!$O$62=0,0,'Part VI-Revenues &amp; Expenses'!$O$74/'Part VI-Revenues &amp; Expenses'!$O$62)</f>
        <v>1</v>
      </c>
      <c r="Q1743" s="2257"/>
      <c r="S1743" s="2546"/>
    </row>
    <row r="1744" spans="1:19" ht="15">
      <c r="A1744" s="2547" t="s">
        <v>3963</v>
      </c>
      <c r="B1744" s="2546"/>
      <c r="C1744" s="2548">
        <f>'Part II-Development Team'!$H$26</f>
        <v>0</v>
      </c>
      <c r="D1744" s="2548"/>
      <c r="E1744" s="2546"/>
      <c r="F1744" s="2549">
        <f>'Part II-Development Team'!$L$141</f>
        <v>0</v>
      </c>
      <c r="G1744" s="2548">
        <f>'Part II-Development Team'!$Q$26</f>
        <v>0</v>
      </c>
      <c r="H1744" s="2548"/>
      <c r="I1744" s="2550" t="s">
        <v>2375</v>
      </c>
      <c r="J1744" s="2551">
        <f>'Part VI-Revenues &amp; Expenses'!$O$74</f>
        <v>64</v>
      </c>
      <c r="K1744" s="2552"/>
      <c r="L1744" s="2458"/>
      <c r="M1744" s="2458"/>
      <c r="N1744" s="2486"/>
      <c r="O1744" s="2556" t="s">
        <v>873</v>
      </c>
      <c r="P1744" s="2557">
        <f>IF('Part VI-Revenues &amp; Expenses'!$O$62=0,0,('Part VI-Revenues &amp; Expenses'!$O$81 + 'Part VI-Revenues &amp; Expenses'!$O$82)/'Part VI-Revenues &amp; Expenses'!$O$62)</f>
        <v>0</v>
      </c>
      <c r="Q1744" s="2257"/>
      <c r="S1744" s="2546"/>
    </row>
    <row r="1745" spans="1:19" ht="15">
      <c r="A1745" s="2558" t="s">
        <v>3964</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Alga Development, LLC</v>
      </c>
      <c r="K1745" s="2548"/>
      <c r="L1745" s="2549">
        <f>'Part II-Development Team'!$L$145</f>
        <v>0</v>
      </c>
      <c r="M1745" s="2548" t="str">
        <f>'Part II-Development Team'!$Q$54</f>
        <v>Ryan Hudspeth</v>
      </c>
      <c r="N1745" s="2548"/>
      <c r="O1745" s="2546"/>
      <c r="P1745" s="2546"/>
      <c r="Q1745" s="2257"/>
      <c r="S1745" s="2546"/>
    </row>
    <row r="1746" spans="1:19" ht="15">
      <c r="A1746" s="2547" t="s">
        <v>3967</v>
      </c>
      <c r="B1746" s="2546"/>
      <c r="C1746" s="2548" t="str">
        <f>'Part II-Development Team'!$H$33</f>
        <v>Affordable Equity Partners, Inc</v>
      </c>
      <c r="D1746" s="2548"/>
      <c r="E1746" s="2546"/>
      <c r="F1746" s="2549">
        <f>'Part II-Development Team'!$L$142</f>
        <v>0.9899</v>
      </c>
      <c r="G1746" s="2548" t="str">
        <f>'Part II-Development Team'!$Q$33</f>
        <v>Brian Kimes</v>
      </c>
      <c r="H1746" s="2548"/>
      <c r="I1746" s="2547" t="s">
        <v>3039</v>
      </c>
      <c r="J1746" s="2548">
        <f>'Part II-Development Team'!$H$60</f>
        <v>0</v>
      </c>
      <c r="K1746" s="2548"/>
      <c r="L1746" s="2549">
        <f>'Part II-Development Team'!$L$146</f>
        <v>0</v>
      </c>
      <c r="M1746" s="2548">
        <f>'Part II-Development Team'!$Q$60</f>
        <v>0</v>
      </c>
      <c r="N1746" s="2548"/>
      <c r="O1746" s="2486"/>
      <c r="P1746" s="2486"/>
      <c r="Q1746" s="2257"/>
      <c r="S1746" s="2546"/>
    </row>
    <row r="1747" spans="1:19" ht="15">
      <c r="A1747" s="2547" t="s">
        <v>3968</v>
      </c>
      <c r="B1747" s="2546"/>
      <c r="C1747" s="2548" t="str">
        <f>'Part II-Development Team'!$H$39</f>
        <v>Affordable Equity Partners, Inc</v>
      </c>
      <c r="D1747" s="2548"/>
      <c r="E1747" s="2546"/>
      <c r="F1747" s="2549">
        <f>'Part II-Development Team'!$L$143</f>
        <v>0.01</v>
      </c>
      <c r="G1747" s="2548" t="str">
        <f>'Part II-Development Team'!$Q$39</f>
        <v>Brian Kimes</v>
      </c>
      <c r="H1747" s="2548"/>
      <c r="I1747" s="2547" t="s">
        <v>3040</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3966</v>
      </c>
      <c r="B1748" s="2546"/>
      <c r="C1748" s="2548">
        <f>'Part II-Development Team'!$H$46</f>
        <v>0</v>
      </c>
      <c r="D1748" s="2548"/>
      <c r="E1748" s="2546"/>
      <c r="F1748" s="2549">
        <f>'Part II-Development Team'!$L$144</f>
        <v>0</v>
      </c>
      <c r="G1748" s="2548">
        <f>'Part II-Development Team'!$Q$46</f>
        <v>0</v>
      </c>
      <c r="H1748" s="2548"/>
      <c r="I1748" s="2547" t="s">
        <v>3965</v>
      </c>
      <c r="J1748" s="2548" t="str">
        <f>'Part II-Development Team'!$H$72</f>
        <v>Peachtree Housing Communities II, LLC</v>
      </c>
      <c r="K1748" s="2548"/>
      <c r="L1748" s="2549">
        <f>'Part II-Development Team'!$L$149</f>
        <v>0</v>
      </c>
      <c r="M1748" s="2548" t="str">
        <f>'Part II-Development Team'!$Q$72</f>
        <v>Josh Thomason</v>
      </c>
      <c r="N1748" s="2548"/>
      <c r="O1748" s="2486"/>
      <c r="P1748" s="2486"/>
      <c r="Q1748" s="2257"/>
      <c r="S1748" s="2546"/>
    </row>
    <row r="1749" spans="1:19" ht="15">
      <c r="A1749" s="2079"/>
      <c r="B1749" s="2335" t="s">
        <v>267</v>
      </c>
      <c r="C1749" s="2079"/>
      <c r="D1749" s="2260"/>
      <c r="E1749" s="2260"/>
      <c r="F1749" s="2260"/>
      <c r="G1749" s="2260"/>
      <c r="H1749" s="519"/>
      <c r="I1749" s="519"/>
      <c r="J1749" s="2374" t="s">
        <v>1937</v>
      </c>
      <c r="K1749" s="2442"/>
      <c r="L1749" s="2442"/>
      <c r="M1749" s="2080"/>
      <c r="N1749" s="2252"/>
      <c r="O1749" s="2438"/>
      <c r="P1749" s="2254"/>
      <c r="Q1749" s="2442"/>
      <c r="R1749" s="2442"/>
      <c r="S1749" s="2442"/>
    </row>
    <row r="1750" spans="1:19" ht="168.75">
      <c r="A1750" s="2373" t="str">
        <f>'Part IX A-Scoring Criteria'!A233</f>
        <v>Please see Tab 00, Item Number 5 for Rural Designation proof. The proposed development consists of 64 units and is completely new construction.</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2058</v>
      </c>
      <c r="B1753" s="2404" t="s">
        <v>3971</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2810</v>
      </c>
      <c r="S1753" s="2442"/>
    </row>
    <row r="1754" spans="1:19" ht="15">
      <c r="A1754" s="2442"/>
      <c r="B1754" s="2307" t="s">
        <v>3969</v>
      </c>
      <c r="C1754" s="2442"/>
      <c r="D1754" s="2457"/>
      <c r="E1754" s="2329"/>
      <c r="F1754" s="519"/>
      <c r="G1754" s="519"/>
      <c r="H1754" s="519"/>
      <c r="I1754" s="2371"/>
      <c r="J1754" s="2442"/>
      <c r="K1754" s="2442"/>
      <c r="L1754" s="2442"/>
      <c r="M1754" s="2442"/>
      <c r="N1754" s="2344" t="s">
        <v>2058</v>
      </c>
      <c r="O1754" s="2424" t="s">
        <v>2597</v>
      </c>
      <c r="P1754" s="2424" t="s">
        <v>2597</v>
      </c>
      <c r="Q1754" s="2442"/>
      <c r="R1754" s="2442"/>
      <c r="S1754" s="2442"/>
    </row>
    <row r="1755" spans="1:19">
      <c r="A1755" s="504"/>
      <c r="B1755" s="2537" t="s">
        <v>2062</v>
      </c>
      <c r="C1755" s="519" t="s">
        <v>3970</v>
      </c>
      <c r="D1755" s="519"/>
      <c r="E1755" s="519"/>
      <c r="F1755" s="519"/>
      <c r="G1755" s="504"/>
      <c r="H1755" s="504"/>
      <c r="I1755" s="519" t="str">
        <f>'Part IX A-Scoring Criteria'!I238</f>
        <v>&lt; Select applicable GICH &gt;</v>
      </c>
      <c r="J1755" s="519"/>
      <c r="K1755" s="519"/>
      <c r="L1755" s="504"/>
      <c r="M1755" s="504"/>
      <c r="N1755" s="2537" t="s">
        <v>2062</v>
      </c>
      <c r="O1755" s="2371">
        <f>'Part IX A-Scoring Criteria'!O238</f>
        <v>0</v>
      </c>
      <c r="P1755" s="2371">
        <f>'Part IX A-Scoring Criteria'!P238</f>
        <v>0</v>
      </c>
      <c r="Q1755" s="504"/>
      <c r="R1755" s="504"/>
      <c r="S1755" s="504"/>
    </row>
    <row r="1756" spans="1:19">
      <c r="A1756" s="504"/>
      <c r="B1756" s="2537" t="s">
        <v>2064</v>
      </c>
      <c r="C1756" s="519" t="s">
        <v>3021</v>
      </c>
      <c r="D1756" s="519"/>
      <c r="E1756" s="519"/>
      <c r="F1756" s="519"/>
      <c r="G1756" s="519"/>
      <c r="H1756" s="504"/>
      <c r="I1756" s="504"/>
      <c r="J1756" s="504"/>
      <c r="K1756" s="504"/>
      <c r="L1756" s="504"/>
      <c r="M1756" s="519"/>
      <c r="N1756" s="2537" t="s">
        <v>2064</v>
      </c>
      <c r="O1756" s="2371">
        <f>'Part IX A-Scoring Criteria'!O239</f>
        <v>0</v>
      </c>
      <c r="P1756" s="2371">
        <f>'Part IX A-Scoring Criteria'!P239</f>
        <v>0</v>
      </c>
      <c r="Q1756" s="504"/>
      <c r="R1756" s="504"/>
      <c r="S1756" s="504"/>
    </row>
    <row r="1757" spans="1:19">
      <c r="A1757" s="2288"/>
      <c r="B1757" s="2537" t="s">
        <v>2622</v>
      </c>
      <c r="C1757" s="519" t="s">
        <v>3972</v>
      </c>
      <c r="D1757" s="519"/>
      <c r="E1757" s="519"/>
      <c r="F1757" s="519"/>
      <c r="G1757" s="519"/>
      <c r="H1757" s="519"/>
      <c r="I1757" s="504"/>
      <c r="J1757" s="504"/>
      <c r="K1757" s="504"/>
      <c r="L1757" s="519"/>
      <c r="M1757" s="519"/>
      <c r="N1757" s="2537" t="s">
        <v>2622</v>
      </c>
      <c r="O1757" s="2371">
        <f>'Part IX A-Scoring Criteria'!O240</f>
        <v>0</v>
      </c>
      <c r="P1757" s="2371">
        <f>'Part IX A-Scoring Criteria'!P240</f>
        <v>0</v>
      </c>
      <c r="Q1757" s="504"/>
      <c r="R1757" s="504"/>
      <c r="S1757" s="504"/>
    </row>
    <row r="1758" spans="1:19">
      <c r="A1758" s="2288"/>
      <c r="B1758" s="2537" t="s">
        <v>1270</v>
      </c>
      <c r="C1758" s="519" t="s">
        <v>3973</v>
      </c>
      <c r="D1758" s="519"/>
      <c r="E1758" s="519"/>
      <c r="F1758" s="519"/>
      <c r="G1758" s="519"/>
      <c r="H1758" s="519"/>
      <c r="I1758" s="519"/>
      <c r="J1758" s="519"/>
      <c r="K1758" s="519"/>
      <c r="L1758" s="519"/>
      <c r="M1758" s="519"/>
      <c r="N1758" s="2537" t="s">
        <v>1270</v>
      </c>
      <c r="O1758" s="2371">
        <f>'Part IX A-Scoring Criteria'!O241</f>
        <v>0</v>
      </c>
      <c r="P1758" s="2371">
        <f>'Part IX A-Scoring Criteria'!P241</f>
        <v>0</v>
      </c>
      <c r="Q1758" s="504"/>
      <c r="R1758" s="504"/>
      <c r="S1758" s="504"/>
    </row>
    <row r="1759" spans="1:19">
      <c r="A1759" s="504"/>
      <c r="B1759" s="2454" t="s">
        <v>3974</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2061</v>
      </c>
      <c r="B1760" s="2276" t="s">
        <v>2915</v>
      </c>
      <c r="D1760" s="2079"/>
      <c r="G1760" s="2559" t="s">
        <v>3762</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2810</v>
      </c>
    </row>
    <row r="1761" spans="1:19" ht="13.5">
      <c r="B1761" s="504" t="s">
        <v>2917</v>
      </c>
      <c r="N1761" s="2344" t="s">
        <v>2061</v>
      </c>
      <c r="O1761" s="2371">
        <f>'Part IX A-Scoring Criteria'!O244</f>
        <v>0</v>
      </c>
      <c r="P1761" s="2371">
        <f>'Part IX A-Scoring Criteria'!P244</f>
        <v>0</v>
      </c>
      <c r="Q1761" s="2311"/>
    </row>
    <row r="1762" spans="1:19">
      <c r="A1762" s="2372"/>
      <c r="C1762" s="519" t="s">
        <v>3976</v>
      </c>
      <c r="D1762" s="519" t="str">
        <f>'Part I-Project Information'!$F$28</f>
        <v>Hahira</v>
      </c>
      <c r="F1762" s="519" t="s">
        <v>3756</v>
      </c>
      <c r="G1762" s="519" t="str">
        <f>'Part I-Project Information'!$J$29</f>
        <v>Lowndes</v>
      </c>
      <c r="H1762" s="2416" t="s">
        <v>468</v>
      </c>
      <c r="I1762" s="2467" t="str">
        <f>'Part I-Project Information'!$N$29</f>
        <v>No</v>
      </c>
      <c r="K1762" s="2467" t="s">
        <v>3975</v>
      </c>
      <c r="L1762" s="2528" t="str">
        <f>'Part I-Project Information'!$O$28</f>
        <v>13185010202</v>
      </c>
      <c r="M1762" s="2528"/>
      <c r="N1762" s="2528"/>
      <c r="O1762" s="2528"/>
      <c r="P1762" s="2528"/>
    </row>
    <row r="1763" spans="1:19" ht="15">
      <c r="A1763" s="2079"/>
      <c r="B1763" s="2335" t="s">
        <v>267</v>
      </c>
      <c r="C1763" s="2079"/>
      <c r="D1763" s="2260"/>
      <c r="E1763" s="2260"/>
      <c r="F1763" s="2260"/>
      <c r="G1763" s="2260"/>
      <c r="H1763" s="519"/>
      <c r="I1763" s="519"/>
      <c r="J1763" s="2374" t="s">
        <v>1937</v>
      </c>
      <c r="K1763" s="2442"/>
      <c r="L1763" s="2442"/>
      <c r="M1763" s="2080"/>
      <c r="N1763" s="2252"/>
      <c r="O1763" s="2438"/>
      <c r="P1763" s="2254"/>
      <c r="Q1763" s="2442"/>
      <c r="R1763" s="2442"/>
      <c r="S1763" s="2442"/>
    </row>
    <row r="1764" spans="1:19" ht="15.75">
      <c r="A1764" s="2373">
        <f>'Part IX A-Scoring Criteria'!A247</f>
        <v>0</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2957</v>
      </c>
      <c r="C1766" s="2442"/>
      <c r="D1766" s="2329"/>
      <c r="E1766" s="2329"/>
      <c r="F1766" s="519"/>
      <c r="G1766" s="519"/>
      <c r="H1766" s="519"/>
      <c r="I1766" s="2276" t="s">
        <v>2912</v>
      </c>
      <c r="J1766" s="2258"/>
      <c r="K1766" s="2546"/>
      <c r="L1766" s="2276" t="str">
        <f>'Part I-Project Information'!$H$90</f>
        <v>Rural</v>
      </c>
      <c r="M1766" s="2438">
        <v>8</v>
      </c>
      <c r="N1766" s="2080"/>
      <c r="O1766" s="2438">
        <f>'Part IX A-Scoring Criteria'!O249</f>
        <v>6</v>
      </c>
      <c r="P1766" s="2438">
        <f>'Part IX A-Scoring Criteria'!P249</f>
        <v>0</v>
      </c>
      <c r="Q1766" s="2257" t="s">
        <v>456</v>
      </c>
      <c r="R1766" s="2442"/>
      <c r="S1766" s="2442"/>
    </row>
    <row r="1767" spans="1:19" ht="15">
      <c r="A1767" s="2079"/>
      <c r="B1767" s="2404" t="s">
        <v>3024</v>
      </c>
      <c r="C1767" s="2442"/>
      <c r="D1767" s="2442"/>
      <c r="E1767" s="2329"/>
      <c r="F1767" s="519"/>
      <c r="G1767" s="519"/>
      <c r="H1767" s="519"/>
      <c r="I1767" s="519"/>
      <c r="J1767" s="2442"/>
      <c r="K1767" s="2368"/>
      <c r="L1767" s="2560"/>
      <c r="M1767" s="2442"/>
      <c r="N1767" s="2442"/>
      <c r="O1767" s="2424" t="s">
        <v>2597</v>
      </c>
      <c r="P1767" s="2424" t="s">
        <v>2597</v>
      </c>
      <c r="Q1767" s="2442"/>
      <c r="R1767" s="2442"/>
      <c r="S1767" s="2442"/>
    </row>
    <row r="1768" spans="1:19" ht="15">
      <c r="A1768" s="504"/>
      <c r="B1768" s="2537" t="s">
        <v>2062</v>
      </c>
      <c r="C1768" s="504" t="s">
        <v>2956</v>
      </c>
      <c r="D1768" s="504"/>
      <c r="E1768" s="2329"/>
      <c r="F1768" s="519"/>
      <c r="G1768" s="519"/>
      <c r="H1768" s="519"/>
      <c r="I1768" s="519"/>
      <c r="J1768" s="2442"/>
      <c r="K1768" s="2368"/>
      <c r="L1768" s="2432" t="str">
        <f>IF(OR(O1768="No",O1769="No",O1770="No",O1771="No",O1773="No"),"Unmet criterion results in no points!","")</f>
        <v/>
      </c>
      <c r="M1768" s="504"/>
      <c r="N1768" s="2472" t="s">
        <v>2062</v>
      </c>
      <c r="O1768" s="2371" t="str">
        <f>'Part IX A-Scoring Criteria'!O251</f>
        <v>Yes</v>
      </c>
      <c r="P1768" s="2371">
        <f>'Part IX A-Scoring Criteria'!P251</f>
        <v>0</v>
      </c>
      <c r="Q1768" s="504"/>
      <c r="R1768" s="504"/>
      <c r="S1768" s="504"/>
    </row>
    <row r="1769" spans="1:19">
      <c r="A1769" s="504"/>
      <c r="B1769" s="2537" t="s">
        <v>2064</v>
      </c>
      <c r="C1769" s="504" t="s">
        <v>588</v>
      </c>
      <c r="D1769" s="504"/>
      <c r="E1769" s="504"/>
      <c r="F1769" s="504"/>
      <c r="G1769" s="504"/>
      <c r="H1769" s="504"/>
      <c r="I1769" s="504"/>
      <c r="J1769" s="504"/>
      <c r="K1769" s="504"/>
      <c r="L1769" s="2432"/>
      <c r="M1769" s="504"/>
      <c r="N1769" s="2472" t="s">
        <v>2064</v>
      </c>
      <c r="O1769" s="2371" t="str">
        <f>'Part IX A-Scoring Criteria'!O252</f>
        <v>Yes</v>
      </c>
      <c r="P1769" s="2371">
        <f>'Part IX A-Scoring Criteria'!P252</f>
        <v>0</v>
      </c>
      <c r="Q1769" s="504"/>
      <c r="R1769" s="504"/>
      <c r="S1769" s="504"/>
    </row>
    <row r="1770" spans="1:19">
      <c r="A1770" s="504"/>
      <c r="B1770" s="2537" t="s">
        <v>2622</v>
      </c>
      <c r="C1770" s="504" t="s">
        <v>589</v>
      </c>
      <c r="D1770" s="504"/>
      <c r="E1770" s="504"/>
      <c r="F1770" s="504"/>
      <c r="G1770" s="504"/>
      <c r="H1770" s="504"/>
      <c r="I1770" s="504"/>
      <c r="J1770" s="504"/>
      <c r="K1770" s="504"/>
      <c r="L1770" s="2432" t="str">
        <f>IF(OR(P1768="No",P1769="No",P1770="No",P1771="No",P1773="No"),"Unmet criterion results in no points!","")</f>
        <v/>
      </c>
      <c r="M1770" s="504"/>
      <c r="N1770" s="2472" t="s">
        <v>2622</v>
      </c>
      <c r="O1770" s="2371" t="str">
        <f>'Part IX A-Scoring Criteria'!O253</f>
        <v>Yes</v>
      </c>
      <c r="P1770" s="2371">
        <f>'Part IX A-Scoring Criteria'!P253</f>
        <v>0</v>
      </c>
      <c r="Q1770" s="504"/>
      <c r="R1770" s="504"/>
      <c r="S1770" s="504"/>
    </row>
    <row r="1771" spans="1:19">
      <c r="A1771" s="504"/>
      <c r="B1771" s="2537" t="s">
        <v>1270</v>
      </c>
      <c r="C1771" s="504" t="s">
        <v>3979</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2520</v>
      </c>
      <c r="C1772" s="504" t="s">
        <v>4465</v>
      </c>
      <c r="D1772" s="504"/>
      <c r="E1772" s="504"/>
      <c r="F1772" s="504"/>
      <c r="G1772" s="504"/>
      <c r="H1772" s="504"/>
      <c r="I1772" s="504"/>
      <c r="J1772" s="504"/>
      <c r="K1772" s="504"/>
      <c r="L1772" s="504"/>
      <c r="M1772" s="504"/>
      <c r="N1772" s="2472" t="s">
        <v>2520</v>
      </c>
      <c r="O1772" s="2371" t="str">
        <f>'Part IX A-Scoring Criteria'!O255</f>
        <v>Yes</v>
      </c>
      <c r="P1772" s="2371">
        <f>'Part IX A-Scoring Criteria'!P255</f>
        <v>0</v>
      </c>
      <c r="Q1772" s="504"/>
      <c r="R1772" s="504"/>
      <c r="S1772" s="504"/>
    </row>
    <row r="1773" spans="1:19" ht="12.75" customHeight="1">
      <c r="A1773" s="2414" t="s">
        <v>3529</v>
      </c>
      <c r="B1773" s="2414" t="s">
        <v>2521</v>
      </c>
      <c r="C1773" s="2373" t="s">
        <v>3980</v>
      </c>
      <c r="D1773" s="2373"/>
      <c r="E1773" s="2373"/>
      <c r="F1773" s="2373"/>
      <c r="G1773" s="2373"/>
      <c r="H1773" s="2373"/>
      <c r="I1773" s="2373"/>
      <c r="J1773" s="2373"/>
      <c r="K1773" s="2373"/>
      <c r="L1773" s="2373"/>
      <c r="M1773" s="2373"/>
      <c r="N1773" s="2459" t="s">
        <v>2521</v>
      </c>
      <c r="O1773" s="2371">
        <f>'Part IX A-Scoring Criteria'!O256</f>
        <v>0</v>
      </c>
      <c r="P1773" s="2371">
        <f>'Part IX A-Scoring Criteria'!P256</f>
        <v>0</v>
      </c>
      <c r="Q1773" s="2396"/>
      <c r="R1773" s="2396"/>
      <c r="S1773" s="2396"/>
    </row>
    <row r="1774" spans="1:19" ht="15">
      <c r="A1774" s="2288" t="s">
        <v>2058</v>
      </c>
      <c r="B1774" s="2454" t="s">
        <v>1914</v>
      </c>
      <c r="C1774" s="2442"/>
      <c r="D1774" s="2307"/>
      <c r="E1774" s="2307"/>
      <c r="F1774" s="2079"/>
      <c r="G1774" s="2457"/>
      <c r="H1774" s="2457"/>
      <c r="I1774" s="2457"/>
      <c r="J1774" s="2307"/>
      <c r="K1774" s="2457"/>
      <c r="L1774" s="2079"/>
      <c r="M1774" s="2080">
        <v>4</v>
      </c>
      <c r="N1774" s="2344" t="s">
        <v>2058</v>
      </c>
      <c r="O1774" s="2438">
        <f>'Part IX A-Scoring Criteria'!O257</f>
        <v>4</v>
      </c>
      <c r="P1774" s="2438">
        <f>'Part IX A-Scoring Criteria'!P257</f>
        <v>0</v>
      </c>
      <c r="Q1774" s="2442"/>
      <c r="R1774" s="2442"/>
      <c r="S1774" s="2442"/>
    </row>
    <row r="1775" spans="1:19">
      <c r="B1775" s="2516" t="s">
        <v>2062</v>
      </c>
      <c r="C1775" s="2418" t="s">
        <v>4466</v>
      </c>
      <c r="I1775" s="2561" t="s">
        <v>2066</v>
      </c>
      <c r="J1775" s="2561"/>
      <c r="L1775" s="2561" t="s">
        <v>2066</v>
      </c>
      <c r="M1775" s="2561"/>
      <c r="N1775" s="2472"/>
      <c r="O1775" s="2254"/>
      <c r="P1775" s="2254"/>
    </row>
    <row r="1776" spans="1:19" ht="15">
      <c r="A1776" s="2484"/>
      <c r="B1776" s="2344" t="s">
        <v>2520</v>
      </c>
      <c r="C1776" s="519" t="s">
        <v>1539</v>
      </c>
      <c r="D1776" s="2442"/>
      <c r="E1776" s="2442"/>
      <c r="F1776" s="2442"/>
      <c r="G1776" s="2442"/>
      <c r="H1776" s="2344" t="s">
        <v>2520</v>
      </c>
      <c r="I1776" s="2562">
        <f>'Part IX A-Scoring Criteria'!I259</f>
        <v>0</v>
      </c>
      <c r="J1776" s="2562"/>
      <c r="K1776" s="2344" t="s">
        <v>2520</v>
      </c>
      <c r="L1776" s="2562">
        <f>'Part IX A-Scoring Criteria'!L259</f>
        <v>0</v>
      </c>
      <c r="M1776" s="2562"/>
      <c r="N1776" s="2472"/>
      <c r="O1776" s="2254"/>
      <c r="P1776" s="2254"/>
      <c r="Q1776" s="2442"/>
      <c r="R1776" s="2452"/>
      <c r="S1776" s="2442"/>
    </row>
    <row r="1777" spans="1:19">
      <c r="A1777" s="2349"/>
      <c r="B1777" s="2414" t="s">
        <v>2521</v>
      </c>
      <c r="C1777" s="519" t="s">
        <v>3985</v>
      </c>
      <c r="H1777" s="2414" t="s">
        <v>2521</v>
      </c>
      <c r="I1777" s="2562">
        <f>'Part IX A-Scoring Criteria'!I260</f>
        <v>0</v>
      </c>
      <c r="J1777" s="2562"/>
      <c r="K1777" s="2414" t="s">
        <v>2521</v>
      </c>
      <c r="L1777" s="2562">
        <f>'Part IX A-Scoring Criteria'!L260</f>
        <v>0</v>
      </c>
      <c r="M1777" s="2562"/>
      <c r="N1777" s="2472"/>
      <c r="O1777" s="2254"/>
      <c r="P1777" s="2254"/>
      <c r="R1777" s="2452"/>
    </row>
    <row r="1778" spans="1:19">
      <c r="B1778" s="2344" t="s">
        <v>2522</v>
      </c>
      <c r="C1778" s="519" t="s">
        <v>2716</v>
      </c>
      <c r="H1778" s="2344" t="s">
        <v>2522</v>
      </c>
      <c r="I1778" s="2562">
        <f>'Part IX A-Scoring Criteria'!I261</f>
        <v>0</v>
      </c>
      <c r="J1778" s="2562"/>
      <c r="K1778" s="2344" t="s">
        <v>2522</v>
      </c>
      <c r="L1778" s="2562">
        <f>'Part IX A-Scoring Criteria'!L261</f>
        <v>0</v>
      </c>
      <c r="M1778" s="2562"/>
      <c r="N1778" s="2472"/>
      <c r="O1778" s="2254"/>
      <c r="P1778" s="2254"/>
      <c r="R1778" s="2452"/>
    </row>
    <row r="1779" spans="1:19">
      <c r="A1779" s="2349"/>
      <c r="B1779" s="2344" t="s">
        <v>2523</v>
      </c>
      <c r="C1779" s="519" t="s">
        <v>3714</v>
      </c>
      <c r="H1779" s="2344" t="s">
        <v>2523</v>
      </c>
      <c r="I1779" s="2562">
        <f>'Part IX A-Scoring Criteria'!I262</f>
        <v>0</v>
      </c>
      <c r="J1779" s="2562"/>
      <c r="K1779" s="2344" t="s">
        <v>2523</v>
      </c>
      <c r="L1779" s="2562">
        <f>'Part IX A-Scoring Criteria'!L262</f>
        <v>0</v>
      </c>
      <c r="M1779" s="2562"/>
      <c r="N1779" s="2472"/>
      <c r="O1779" s="2254"/>
      <c r="P1779" s="2254"/>
      <c r="R1779" s="2452"/>
    </row>
    <row r="1780" spans="1:19" ht="15">
      <c r="A1780" s="2484"/>
      <c r="B1780" s="2414" t="s">
        <v>2524</v>
      </c>
      <c r="C1780" s="519" t="s">
        <v>2842</v>
      </c>
      <c r="D1780" s="2442"/>
      <c r="E1780" s="2442"/>
      <c r="F1780" s="2442"/>
      <c r="G1780" s="2442"/>
      <c r="H1780" s="2414" t="s">
        <v>2524</v>
      </c>
      <c r="I1780" s="2562">
        <f>'Part IX A-Scoring Criteria'!I263</f>
        <v>0</v>
      </c>
      <c r="J1780" s="2562"/>
      <c r="K1780" s="2414" t="s">
        <v>2524</v>
      </c>
      <c r="L1780" s="2562">
        <f>'Part IX A-Scoring Criteria'!L263</f>
        <v>0</v>
      </c>
      <c r="M1780" s="2562"/>
      <c r="N1780" s="2472"/>
      <c r="O1780" s="2254"/>
      <c r="P1780" s="2254"/>
      <c r="Q1780" s="2442"/>
      <c r="R1780" s="2452"/>
      <c r="S1780" s="2442"/>
    </row>
    <row r="1781" spans="1:19">
      <c r="B1781" s="2344" t="s">
        <v>2540</v>
      </c>
      <c r="C1781" s="519" t="s">
        <v>1538</v>
      </c>
      <c r="H1781" s="2344" t="s">
        <v>2540</v>
      </c>
      <c r="I1781" s="2562">
        <f>'Part IX A-Scoring Criteria'!I264</f>
        <v>0</v>
      </c>
      <c r="J1781" s="2562"/>
      <c r="K1781" s="2344" t="s">
        <v>2540</v>
      </c>
      <c r="L1781" s="2562">
        <f>'Part IX A-Scoring Criteria'!L264</f>
        <v>0</v>
      </c>
      <c r="M1781" s="2562"/>
      <c r="N1781" s="2472"/>
      <c r="O1781" s="2254"/>
      <c r="P1781" s="2254"/>
      <c r="R1781" s="2452"/>
    </row>
    <row r="1782" spans="1:19">
      <c r="A1782" s="2349"/>
      <c r="B1782" s="2344" t="s">
        <v>2541</v>
      </c>
      <c r="C1782" s="519" t="s">
        <v>3983</v>
      </c>
      <c r="H1782" s="2344" t="s">
        <v>2541</v>
      </c>
      <c r="I1782" s="2562">
        <f>'Part IX A-Scoring Criteria'!I265</f>
        <v>0</v>
      </c>
      <c r="J1782" s="2562"/>
      <c r="K1782" s="2344" t="s">
        <v>2541</v>
      </c>
      <c r="L1782" s="2562">
        <f>'Part IX A-Scoring Criteria'!L265</f>
        <v>0</v>
      </c>
      <c r="M1782" s="2562"/>
      <c r="N1782" s="2472"/>
      <c r="O1782" s="2254"/>
      <c r="P1782" s="2254"/>
      <c r="R1782" s="2452"/>
    </row>
    <row r="1783" spans="1:19">
      <c r="B1783" s="2344" t="s">
        <v>2542</v>
      </c>
      <c r="C1783" s="519" t="s">
        <v>3984</v>
      </c>
      <c r="H1783" s="2344" t="s">
        <v>2542</v>
      </c>
      <c r="I1783" s="2562">
        <f>'Part IX A-Scoring Criteria'!I266</f>
        <v>0</v>
      </c>
      <c r="J1783" s="2562"/>
      <c r="K1783" s="2344" t="s">
        <v>2542</v>
      </c>
      <c r="L1783" s="2562">
        <f>'Part IX A-Scoring Criteria'!L266</f>
        <v>0</v>
      </c>
      <c r="M1783" s="2562"/>
      <c r="N1783" s="2472"/>
      <c r="O1783" s="2254"/>
      <c r="P1783" s="2254"/>
      <c r="R1783" s="2452"/>
    </row>
    <row r="1784" spans="1:19">
      <c r="B1784" s="2344" t="s">
        <v>2543</v>
      </c>
      <c r="C1784" s="519" t="s">
        <v>3986</v>
      </c>
      <c r="H1784" s="2344" t="s">
        <v>2543</v>
      </c>
      <c r="I1784" s="2562">
        <f>'Part IX A-Scoring Criteria'!I267</f>
        <v>0</v>
      </c>
      <c r="J1784" s="2562"/>
      <c r="K1784" s="2344" t="s">
        <v>2543</v>
      </c>
      <c r="L1784" s="2562">
        <f>'Part IX A-Scoring Criteria'!L267</f>
        <v>0</v>
      </c>
      <c r="M1784" s="2562"/>
      <c r="N1784" s="2472"/>
      <c r="O1784" s="2254"/>
      <c r="P1784" s="2254"/>
      <c r="R1784" s="2452"/>
    </row>
    <row r="1785" spans="1:19">
      <c r="A1785" s="2349"/>
      <c r="B1785" s="2344" t="s">
        <v>3987</v>
      </c>
      <c r="C1785" s="519" t="s">
        <v>3988</v>
      </c>
      <c r="H1785" s="2344" t="s">
        <v>3987</v>
      </c>
      <c r="I1785" s="2562">
        <f>'Part IX A-Scoring Criteria'!I268</f>
        <v>1060000</v>
      </c>
      <c r="J1785" s="2562"/>
      <c r="K1785" s="2344" t="s">
        <v>3987</v>
      </c>
      <c r="L1785" s="2562">
        <f>'Part IX A-Scoring Criteria'!L268</f>
        <v>0</v>
      </c>
      <c r="M1785" s="2562"/>
      <c r="N1785" s="2563" t="s">
        <v>3989</v>
      </c>
      <c r="O1785" s="2254"/>
      <c r="P1785" s="2254"/>
      <c r="R1785" s="2452"/>
    </row>
    <row r="1786" spans="1:19">
      <c r="A1786" s="2349"/>
      <c r="B1786" s="2537"/>
      <c r="C1786" s="2307" t="s">
        <v>2718</v>
      </c>
      <c r="H1786" s="504"/>
      <c r="I1786" s="2562">
        <f>SUM(I1776:J1785)</f>
        <v>1060000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2064</v>
      </c>
      <c r="C1788" s="2418" t="s">
        <v>2717</v>
      </c>
      <c r="D1788" s="2307" t="s">
        <v>2719</v>
      </c>
      <c r="I1788" s="2562">
        <f>'Part IV-Uses of Funds'!$G$131</f>
        <v>10550624</v>
      </c>
      <c r="J1788" s="2562"/>
      <c r="L1788" s="2219"/>
      <c r="M1788" s="2219"/>
      <c r="N1788" s="2219"/>
      <c r="O1788" s="2219"/>
      <c r="P1788" s="2219"/>
    </row>
    <row r="1789" spans="1:19">
      <c r="B1789" s="2472"/>
      <c r="C1789" s="2565"/>
      <c r="D1789" s="2467" t="s">
        <v>2720</v>
      </c>
      <c r="G1789" s="2343"/>
      <c r="H1789" s="2343"/>
      <c r="I1789" s="2566">
        <f>IF($I1788=0,0,$I1786/$I1788)</f>
        <v>0.10046799127710361</v>
      </c>
      <c r="J1789" s="2566"/>
      <c r="L1789" s="2566">
        <f>IF($I1788=0,0,$L1786/$I1788)</f>
        <v>0</v>
      </c>
      <c r="M1789" s="2566"/>
    </row>
    <row r="1790" spans="1:19" ht="15">
      <c r="A1790" s="2288" t="s">
        <v>2061</v>
      </c>
      <c r="B1790" s="2454" t="s">
        <v>3990</v>
      </c>
      <c r="C1790" s="2442"/>
      <c r="D1790" s="519"/>
      <c r="E1790" s="519"/>
      <c r="F1790" s="2257"/>
      <c r="G1790" s="2442"/>
      <c r="H1790" s="519"/>
      <c r="I1790" s="2257"/>
      <c r="J1790" s="2307"/>
      <c r="K1790" s="2307"/>
      <c r="L1790" s="2307"/>
      <c r="M1790" s="2080">
        <v>2</v>
      </c>
      <c r="N1790" s="2344" t="s">
        <v>2061</v>
      </c>
      <c r="O1790" s="2438">
        <f>'Part IX A-Scoring Criteria'!O273</f>
        <v>2</v>
      </c>
      <c r="P1790" s="2438">
        <f>'Part IX A-Scoring Criteria'!P273</f>
        <v>0</v>
      </c>
      <c r="Q1790" s="2311" t="s">
        <v>2810</v>
      </c>
      <c r="R1790" s="2442"/>
      <c r="S1790" s="2442"/>
    </row>
    <row r="1791" spans="1:19" ht="15">
      <c r="A1791" s="2288"/>
      <c r="B1791" s="519" t="s">
        <v>3991</v>
      </c>
      <c r="C1791" s="519"/>
      <c r="D1791" s="519"/>
      <c r="E1791" s="519"/>
      <c r="F1791" s="519"/>
      <c r="G1791" s="519"/>
      <c r="H1791" s="519"/>
      <c r="I1791" s="519"/>
      <c r="J1791" s="519"/>
      <c r="K1791" s="519"/>
      <c r="L1791" s="519"/>
      <c r="M1791" s="519"/>
      <c r="N1791" s="519"/>
      <c r="O1791" s="2371" t="str">
        <f>'Part IX A-Scoring Criteria'!O274</f>
        <v>Yes</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80">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9" t="s">
        <v>2972</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3993</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4085</v>
      </c>
      <c r="F1795" s="2413"/>
      <c r="G1795" s="2413"/>
      <c r="H1795" s="2413"/>
      <c r="I1795" s="2404">
        <f>'Part IX A-Scoring Criteria'!I278</f>
        <v>0</v>
      </c>
      <c r="K1795" s="2413"/>
      <c r="L1795" s="2413"/>
      <c r="M1795" s="2413"/>
      <c r="N1795" s="2413"/>
      <c r="O1795" s="2413"/>
      <c r="P1795" s="2413"/>
    </row>
    <row r="1796" spans="1:19">
      <c r="A1796" s="2349"/>
      <c r="B1796" s="2396" t="s">
        <v>3992</v>
      </c>
      <c r="G1796" s="2396"/>
      <c r="I1796" s="2567">
        <f>'Part IX A-Scoring Criteria'!I279</f>
        <v>0</v>
      </c>
      <c r="J1796" s="2568"/>
      <c r="K1796" s="2413"/>
      <c r="L1796" s="2413"/>
      <c r="M1796" s="2413"/>
      <c r="N1796" s="2413"/>
      <c r="O1796" s="2413"/>
      <c r="P1796" s="2413"/>
    </row>
    <row r="1797" spans="1:19" ht="12.75" customHeight="1">
      <c r="A1797" s="2349"/>
      <c r="B1797" s="2373" t="s">
        <v>2438</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3701</v>
      </c>
      <c r="E1798" s="2424"/>
      <c r="I1798" s="2569">
        <f>'Part IX A-Scoring Criteria'!I281</f>
        <v>0</v>
      </c>
      <c r="J1798" s="2569"/>
      <c r="L1798" s="2562">
        <f>'Part IX A-Scoring Criteria'!L281</f>
        <v>0</v>
      </c>
      <c r="M1798" s="2562"/>
      <c r="P1798" s="2254"/>
    </row>
    <row r="1799" spans="1:19" ht="15">
      <c r="A1799" s="2079"/>
      <c r="B1799" s="2442"/>
      <c r="C1799" s="519" t="s">
        <v>4168</v>
      </c>
      <c r="D1799" s="2376"/>
      <c r="E1799" s="2376"/>
      <c r="F1799" s="2376"/>
      <c r="G1799" s="2376"/>
      <c r="H1799" s="2376"/>
      <c r="I1799" s="2566">
        <f>IF($I1798=0,0,$I1798/$I1788)</f>
        <v>0</v>
      </c>
      <c r="J1799" s="2566"/>
      <c r="K1799" s="2376"/>
      <c r="L1799" s="2566">
        <f>IF($L1798=0,0,$L1798/$I1788)</f>
        <v>0</v>
      </c>
      <c r="M1799" s="2566"/>
      <c r="N1799" s="2470"/>
      <c r="O1799" s="2445"/>
      <c r="P1799" s="2257"/>
      <c r="Q1799" s="2442"/>
      <c r="R1799" s="2442"/>
      <c r="S1799" s="2442"/>
    </row>
    <row r="1800" spans="1:19" ht="15">
      <c r="A1800" s="2079"/>
      <c r="B1800" s="2335" t="s">
        <v>267</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409.5">
      <c r="A1801" s="2373" t="str">
        <f>'Part IX A-Scoring Criteria'!A284</f>
        <v>Please see Tab 37 of the Application for the appropriate documentation regarding the USDA-RD 538 loan, which includes the Notice of Funds Available Selection Letter and the related lender commitment.  In addition, the applicant has an option and legally binding long-term ground lease (for no less than 50 years) for nominal consideration and no other land costs for the entire property.</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9"/>
      <c r="B1802" s="2335" t="s">
        <v>1937</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3604</v>
      </c>
      <c r="C1805" s="2344"/>
      <c r="D1805" s="2442"/>
      <c r="E1805" s="2471"/>
      <c r="F1805" s="2442"/>
      <c r="G1805" s="2276" t="s">
        <v>2912</v>
      </c>
      <c r="H1805" s="2442"/>
      <c r="I1805" s="2268" t="str">
        <f>'Part I-Project Information'!$H$90</f>
        <v>Rural</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2058</v>
      </c>
      <c r="B1806" s="2276" t="s">
        <v>2843</v>
      </c>
      <c r="C1806" s="2442"/>
      <c r="D1806" s="2079"/>
      <c r="E1806" s="2442"/>
      <c r="F1806" s="2442"/>
      <c r="G1806" s="504" t="s">
        <v>2433</v>
      </c>
      <c r="H1806" s="2442"/>
      <c r="I1806" s="2442"/>
      <c r="J1806" s="2442"/>
      <c r="K1806" s="2442"/>
      <c r="L1806" s="2442"/>
      <c r="M1806" s="2080">
        <v>3</v>
      </c>
      <c r="N1806" s="2344" t="s">
        <v>2058</v>
      </c>
      <c r="O1806" s="2371">
        <f>'Part IX A-Scoring Criteria'!O289</f>
        <v>0</v>
      </c>
      <c r="P1806" s="2371">
        <f>'Part IX A-Scoring Criteria'!P289</f>
        <v>0</v>
      </c>
      <c r="Q1806" s="2442"/>
      <c r="R1806" s="2452"/>
      <c r="S1806" s="2442"/>
    </row>
    <row r="1807" spans="1:19" ht="15" customHeight="1">
      <c r="A1807" s="2288" t="s">
        <v>2061</v>
      </c>
      <c r="B1807" s="2276" t="s">
        <v>3605</v>
      </c>
      <c r="C1807" s="2442"/>
      <c r="D1807" s="2079"/>
      <c r="E1807" s="2442"/>
      <c r="F1807" s="2344"/>
      <c r="G1807" s="504" t="s">
        <v>4113</v>
      </c>
      <c r="H1807" s="2442"/>
      <c r="I1807" s="2367" t="str">
        <f>'Part IX A-Scoring Criteria'!I290</f>
        <v>&lt;&lt; Choose category in which to compete &gt;&gt;</v>
      </c>
      <c r="J1807" s="2367"/>
      <c r="K1807" s="2367"/>
      <c r="L1807" s="2367"/>
      <c r="M1807" s="2442"/>
      <c r="N1807" s="2442"/>
      <c r="O1807" s="2153" t="s">
        <v>4467</v>
      </c>
      <c r="P1807" s="2153"/>
      <c r="Q1807" s="2442"/>
      <c r="R1807" s="2452"/>
      <c r="S1807" s="2442"/>
    </row>
    <row r="1808" spans="1:19" ht="15">
      <c r="A1808" s="2461" t="s">
        <v>779</v>
      </c>
      <c r="B1808" s="2305" t="s">
        <v>3994</v>
      </c>
      <c r="C1808" s="2464"/>
      <c r="D1808" s="2250"/>
      <c r="E1808" s="2250"/>
      <c r="F1808" s="2079"/>
      <c r="G1808" s="2442"/>
      <c r="H1808" s="2442"/>
      <c r="I1808" s="2442"/>
      <c r="J1808" s="2442"/>
      <c r="K1808" s="2442"/>
      <c r="L1808" s="2570" t="s">
        <v>4001</v>
      </c>
      <c r="M1808" s="2442"/>
      <c r="N1808" s="2442"/>
      <c r="O1808" s="2153"/>
      <c r="P1808" s="2153"/>
      <c r="Q1808" s="2442"/>
      <c r="R1808" s="2452"/>
      <c r="S1808" s="2442"/>
    </row>
    <row r="1809" spans="1:19" ht="15">
      <c r="A1809" s="2288"/>
      <c r="B1809" s="2516" t="s">
        <v>2062</v>
      </c>
      <c r="C1809" s="519" t="s">
        <v>3995</v>
      </c>
      <c r="D1809" s="2079"/>
      <c r="E1809" s="2457"/>
      <c r="F1809" s="2079"/>
      <c r="G1809" s="2457"/>
      <c r="H1809" s="519"/>
      <c r="I1809" s="2457"/>
      <c r="J1809" s="2457"/>
      <c r="K1809" s="2457"/>
      <c r="L1809" s="2537" t="s">
        <v>4002</v>
      </c>
      <c r="M1809" s="2457"/>
      <c r="N1809" s="2344" t="s">
        <v>779</v>
      </c>
      <c r="O1809" s="2472" t="s">
        <v>2062</v>
      </c>
      <c r="P1809" s="2371">
        <f>'Part IX A-Scoring Criteria'!P292</f>
        <v>0</v>
      </c>
      <c r="Q1809" s="2457"/>
      <c r="R1809" s="2452"/>
      <c r="S1809" s="2457"/>
    </row>
    <row r="1810" spans="1:19" ht="15">
      <c r="A1810" s="2288"/>
      <c r="B1810" s="2516" t="s">
        <v>2064</v>
      </c>
      <c r="C1810" s="519" t="s">
        <v>3996</v>
      </c>
      <c r="D1810" s="2079"/>
      <c r="E1810" s="2457"/>
      <c r="F1810" s="2079"/>
      <c r="G1810" s="2457"/>
      <c r="H1810" s="519"/>
      <c r="I1810" s="2457"/>
      <c r="J1810" s="2457"/>
      <c r="K1810" s="2457"/>
      <c r="L1810" s="2537" t="s">
        <v>4002</v>
      </c>
      <c r="M1810" s="2457"/>
      <c r="N1810" s="2457"/>
      <c r="O1810" s="2472" t="s">
        <v>2064</v>
      </c>
      <c r="P1810" s="2371">
        <f>'Part IX A-Scoring Criteria'!P293</f>
        <v>0</v>
      </c>
      <c r="Q1810" s="2457"/>
      <c r="R1810" s="2452"/>
      <c r="S1810" s="2457"/>
    </row>
    <row r="1811" spans="1:19" ht="15">
      <c r="A1811" s="2288"/>
      <c r="B1811" s="2516" t="s">
        <v>2622</v>
      </c>
      <c r="C1811" s="519" t="s">
        <v>3997</v>
      </c>
      <c r="D1811" s="2079"/>
      <c r="E1811" s="2457"/>
      <c r="F1811" s="2079"/>
      <c r="G1811" s="2457"/>
      <c r="H1811" s="519"/>
      <c r="I1811" s="2457"/>
      <c r="J1811" s="2457"/>
      <c r="K1811" s="2457"/>
      <c r="L1811" s="2537" t="s">
        <v>4003</v>
      </c>
      <c r="M1811" s="2457"/>
      <c r="N1811" s="2457"/>
      <c r="O1811" s="2472" t="s">
        <v>2622</v>
      </c>
      <c r="P1811" s="2371">
        <f>'Part IX A-Scoring Criteria'!P294</f>
        <v>0</v>
      </c>
      <c r="Q1811" s="2457"/>
      <c r="R1811" s="2452"/>
      <c r="S1811" s="2457"/>
    </row>
    <row r="1812" spans="1:19" ht="15">
      <c r="A1812" s="2288"/>
      <c r="B1812" s="2516" t="s">
        <v>1270</v>
      </c>
      <c r="C1812" s="519" t="s">
        <v>3998</v>
      </c>
      <c r="D1812" s="2079"/>
      <c r="E1812" s="2457"/>
      <c r="F1812" s="2079"/>
      <c r="G1812" s="2457"/>
      <c r="H1812" s="519"/>
      <c r="I1812" s="2457"/>
      <c r="J1812" s="2457"/>
      <c r="K1812" s="2457"/>
      <c r="L1812" s="2537" t="s">
        <v>4003</v>
      </c>
      <c r="M1812" s="2457"/>
      <c r="N1812" s="2457"/>
      <c r="O1812" s="2472" t="s">
        <v>1270</v>
      </c>
      <c r="P1812" s="2371">
        <f>'Part IX A-Scoring Criteria'!P295</f>
        <v>0</v>
      </c>
      <c r="Q1812" s="2457"/>
      <c r="R1812" s="2452"/>
      <c r="S1812" s="2457"/>
    </row>
    <row r="1813" spans="1:19" ht="15">
      <c r="A1813" s="2288"/>
      <c r="B1813" s="2516" t="s">
        <v>1271</v>
      </c>
      <c r="C1813" s="519" t="s">
        <v>3999</v>
      </c>
      <c r="D1813" s="2079"/>
      <c r="E1813" s="2457"/>
      <c r="F1813" s="2079"/>
      <c r="G1813" s="2457"/>
      <c r="H1813" s="519"/>
      <c r="I1813" s="2457"/>
      <c r="J1813" s="2457"/>
      <c r="K1813" s="2457"/>
      <c r="L1813" s="2537" t="s">
        <v>4003</v>
      </c>
      <c r="M1813" s="2457"/>
      <c r="N1813" s="2457"/>
      <c r="O1813" s="2472" t="s">
        <v>1271</v>
      </c>
      <c r="P1813" s="2371">
        <f>'Part IX A-Scoring Criteria'!P296</f>
        <v>0</v>
      </c>
      <c r="Q1813" s="2457"/>
      <c r="R1813" s="2452"/>
      <c r="S1813" s="2457"/>
    </row>
    <row r="1814" spans="1:19" ht="15">
      <c r="A1814" s="2409"/>
      <c r="B1814" s="2529" t="s">
        <v>1955</v>
      </c>
      <c r="C1814" s="2396" t="s">
        <v>4000</v>
      </c>
      <c r="D1814" s="2396"/>
      <c r="E1814" s="2396"/>
      <c r="F1814" s="2396"/>
      <c r="G1814" s="2396"/>
      <c r="H1814" s="2396"/>
      <c r="I1814" s="2396"/>
      <c r="J1814" s="2396"/>
      <c r="K1814" s="2396"/>
      <c r="L1814" s="2537" t="s">
        <v>4003</v>
      </c>
      <c r="M1814" s="2481"/>
      <c r="N1814" s="2481"/>
      <c r="O1814" s="2459" t="s">
        <v>1955</v>
      </c>
      <c r="P1814" s="2371">
        <f>'Part IX A-Scoring Criteria'!P297</f>
        <v>0</v>
      </c>
      <c r="Q1814" s="2481"/>
      <c r="R1814" s="2480"/>
      <c r="S1814" s="2481"/>
    </row>
    <row r="1815" spans="1:19" ht="15">
      <c r="A1815" s="2442"/>
      <c r="B1815" s="2335" t="s">
        <v>1937</v>
      </c>
      <c r="C1815" s="504"/>
      <c r="D1815" s="2079"/>
      <c r="E1815" s="2442"/>
      <c r="F1815" s="2079"/>
      <c r="G1815" s="2442"/>
      <c r="H1815" s="504"/>
      <c r="I1815" s="2442"/>
      <c r="J1815" s="2442"/>
      <c r="K1815" s="2442"/>
      <c r="L1815" s="2537" t="s">
        <v>4004</v>
      </c>
      <c r="M1815" s="2442"/>
      <c r="N1815" s="2442"/>
      <c r="O1815" s="2571" t="s">
        <v>3606</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1734</v>
      </c>
      <c r="B1818" s="2450" t="s">
        <v>2825</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456</v>
      </c>
      <c r="R1818" s="2442"/>
      <c r="S1818" s="2442"/>
    </row>
    <row r="1819" spans="1:19" ht="15">
      <c r="A1819" s="2288" t="s">
        <v>2058</v>
      </c>
      <c r="B1819" s="2276" t="s">
        <v>4070</v>
      </c>
      <c r="C1819" s="2442"/>
      <c r="D1819" s="2079"/>
      <c r="E1819" s="2079"/>
      <c r="F1819" s="2079"/>
      <c r="G1819" s="2442"/>
      <c r="H1819" s="2572" t="s">
        <v>4209</v>
      </c>
      <c r="I1819" s="2573">
        <f>IF('Part VI-Revenues &amp; Expenses'!$O$62=0,0,L1820/'Part VI-Revenues &amp; Expenses'!$O$62)</f>
        <v>6.25E-2</v>
      </c>
      <c r="J1819" s="2442"/>
      <c r="K1819" s="2344" t="s">
        <v>4069</v>
      </c>
      <c r="L1819" s="2573">
        <f>IF('Part VI-Revenues &amp; Expenses'!$O$58=0,0,'Part VI-Revenues &amp; Expenses'!$K$58/'Part VI-Revenues &amp; Expenses'!$O$58)</f>
        <v>0.13333333333333333</v>
      </c>
      <c r="M1819" s="2080">
        <v>2</v>
      </c>
      <c r="N1819" s="2344" t="s">
        <v>2058</v>
      </c>
      <c r="O1819" s="2438">
        <f>'Part IX A-Scoring Criteria'!O302</f>
        <v>2</v>
      </c>
      <c r="P1819" s="2438">
        <f>'Part IX A-Scoring Criteria'!P302</f>
        <v>0</v>
      </c>
      <c r="Q1819" s="2311"/>
      <c r="R1819" s="2257"/>
      <c r="S1819" s="2442"/>
    </row>
    <row r="1820" spans="1:19" ht="15" customHeight="1">
      <c r="A1820" s="2409"/>
      <c r="B1820" s="2529" t="s">
        <v>2062</v>
      </c>
      <c r="C1820" s="2373" t="s">
        <v>4205</v>
      </c>
      <c r="D1820" s="2373"/>
      <c r="E1820" s="2373"/>
      <c r="F1820" s="2373"/>
      <c r="G1820" s="2373"/>
      <c r="H1820" s="2373"/>
      <c r="I1820" s="2574" t="s">
        <v>4206</v>
      </c>
      <c r="J1820" s="2575">
        <f>'Part IX A-Scoring Criteria'!J303</f>
        <v>4</v>
      </c>
      <c r="K1820" s="2574" t="s">
        <v>4204</v>
      </c>
      <c r="L1820" s="2575">
        <f>'Part IX A-Scoring Criteria'!L303</f>
        <v>4</v>
      </c>
      <c r="M1820" s="2373" t="str">
        <f>'Part IX A-Scoring Criteria'!M303</f>
        <v/>
      </c>
      <c r="N1820" s="2459" t="s">
        <v>2062</v>
      </c>
      <c r="O1820" s="2371" t="str">
        <f>'Part IX A-Scoring Criteria'!O303</f>
        <v>Agree</v>
      </c>
      <c r="P1820" s="2371">
        <f>'Part IX A-Scoring Criteria'!P303</f>
        <v>0</v>
      </c>
      <c r="Q1820" s="2576"/>
      <c r="R1820" s="2480"/>
      <c r="S1820" s="2481"/>
    </row>
    <row r="1821" spans="1:19" ht="12.75" customHeight="1">
      <c r="A1821" s="2329"/>
      <c r="B1821" s="2529" t="s">
        <v>2064</v>
      </c>
      <c r="C1821" s="2373" t="s">
        <v>3607</v>
      </c>
      <c r="D1821" s="2373"/>
      <c r="E1821" s="2373"/>
      <c r="F1821" s="2373"/>
      <c r="G1821" s="2373"/>
      <c r="H1821" s="2373"/>
      <c r="I1821" s="2373"/>
      <c r="J1821" s="2373"/>
      <c r="K1821" s="2373"/>
      <c r="L1821" s="2373"/>
      <c r="M1821" s="2373"/>
      <c r="N1821" s="2459" t="s">
        <v>2064</v>
      </c>
      <c r="O1821" s="2371" t="str">
        <f>'Part IX A-Scoring Criteria'!O304</f>
        <v>Yes</v>
      </c>
      <c r="P1821" s="2371">
        <f>'Part IX A-Scoring Criteria'!P304</f>
        <v>0</v>
      </c>
      <c r="Q1821" s="2396"/>
      <c r="R1821" s="2396"/>
      <c r="S1821" s="2396"/>
    </row>
    <row r="1822" spans="1:19" ht="12.75" customHeight="1">
      <c r="A1822" s="2329"/>
      <c r="B1822" s="2529" t="s">
        <v>2622</v>
      </c>
      <c r="C1822" s="2373" t="s">
        <v>4007</v>
      </c>
      <c r="D1822" s="2373"/>
      <c r="E1822" s="2373"/>
      <c r="F1822" s="2373"/>
      <c r="G1822" s="2373"/>
      <c r="H1822" s="2373"/>
      <c r="I1822" s="2373"/>
      <c r="J1822" s="2373"/>
      <c r="K1822" s="2373"/>
      <c r="L1822" s="2373"/>
      <c r="M1822" s="2373"/>
      <c r="N1822" s="2459" t="s">
        <v>2622</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2061</v>
      </c>
      <c r="B1824" s="2276" t="s">
        <v>2826</v>
      </c>
      <c r="C1824" s="2442"/>
      <c r="D1824" s="2307"/>
      <c r="E1824" s="2442"/>
      <c r="F1824" s="2442"/>
      <c r="G1824" s="519"/>
      <c r="H1824" s="2442"/>
      <c r="I1824" s="2442"/>
      <c r="J1824" s="2442"/>
      <c r="K1824" s="2442"/>
      <c r="L1824" s="2442"/>
      <c r="M1824" s="2080">
        <v>3</v>
      </c>
      <c r="N1824" s="2344" t="s">
        <v>2061</v>
      </c>
      <c r="O1824" s="2438">
        <f>'Part IX A-Scoring Criteria'!O307</f>
        <v>0</v>
      </c>
      <c r="P1824" s="2438">
        <f>'Part IX A-Scoring Criteria'!P307</f>
        <v>0</v>
      </c>
      <c r="Q1824" s="2311"/>
      <c r="R1824" s="2452"/>
      <c r="S1824" s="2442"/>
    </row>
    <row r="1825" spans="1:19" ht="15" customHeight="1">
      <c r="A1825" s="2409"/>
      <c r="B1825" s="2529" t="s">
        <v>2062</v>
      </c>
      <c r="C1825" s="2373" t="s">
        <v>3715</v>
      </c>
      <c r="D1825" s="2373"/>
      <c r="E1825" s="2373"/>
      <c r="F1825" s="2373"/>
      <c r="G1825" s="2373"/>
      <c r="H1825" s="2373"/>
      <c r="I1825" s="2373"/>
      <c r="J1825" s="2373"/>
      <c r="K1825" s="2373"/>
      <c r="L1825" s="2373"/>
      <c r="M1825" s="2373"/>
      <c r="N1825" s="2459" t="s">
        <v>2062</v>
      </c>
      <c r="O1825" s="2371">
        <f>'Part IX A-Scoring Criteria'!O308</f>
        <v>0</v>
      </c>
      <c r="P1825" s="2371">
        <f>'Part IX A-Scoring Criteria'!P308</f>
        <v>0</v>
      </c>
      <c r="Q1825" s="2576"/>
      <c r="R1825" s="2480"/>
      <c r="S1825" s="2481"/>
    </row>
    <row r="1826" spans="1:19" ht="22.5">
      <c r="A1826" s="2409"/>
      <c r="B1826" s="2529"/>
      <c r="C1826" s="2422" t="s">
        <v>4087</v>
      </c>
      <c r="D1826" s="2376"/>
      <c r="E1826" s="2376"/>
      <c r="F1826" s="2376"/>
      <c r="G1826" s="2373">
        <f>'Part IX A-Scoring Criteria'!G309</f>
        <v>0</v>
      </c>
      <c r="H1826" s="2373"/>
      <c r="I1826" s="2373"/>
      <c r="J1826" s="2373"/>
      <c r="K1826" s="2376" t="s">
        <v>4088</v>
      </c>
      <c r="L1826" s="2578">
        <f>'Part IX A-Scoring Criteria'!L309</f>
        <v>0</v>
      </c>
      <c r="M1826" s="2373"/>
      <c r="N1826" s="2459"/>
      <c r="O1826" s="2459"/>
      <c r="P1826" s="2459"/>
      <c r="Q1826" s="2576"/>
      <c r="R1826" s="2480"/>
      <c r="S1826" s="2481"/>
    </row>
    <row r="1827" spans="1:19">
      <c r="A1827" s="2329"/>
      <c r="B1827" s="2529" t="s">
        <v>2064</v>
      </c>
      <c r="C1827" s="2396" t="s">
        <v>3608</v>
      </c>
      <c r="D1827" s="2396"/>
      <c r="E1827" s="2396"/>
      <c r="F1827" s="2396"/>
      <c r="G1827" s="2396"/>
      <c r="H1827" s="2396"/>
      <c r="I1827" s="2396"/>
      <c r="J1827" s="2396" t="s">
        <v>4086</v>
      </c>
      <c r="K1827" s="2396"/>
      <c r="L1827" s="2343">
        <f>'Part IX A-Scoring Criteria'!L310</f>
        <v>0</v>
      </c>
      <c r="M1827" s="2579">
        <f>IF('Part VI-Revenues &amp; Expenses'!$O$62=0,0,L1827/'Part VI-Revenues &amp; Expenses'!$O$62)</f>
        <v>0</v>
      </c>
      <c r="N1827" s="2459" t="s">
        <v>2064</v>
      </c>
      <c r="O1827" s="2371">
        <f>'Part IX A-Scoring Criteria'!O310</f>
        <v>0</v>
      </c>
      <c r="P1827" s="2371">
        <f>'Part IX A-Scoring Criteria'!P310</f>
        <v>0</v>
      </c>
      <c r="Q1827" s="2396"/>
      <c r="R1827" s="2396"/>
      <c r="S1827" s="2396"/>
    </row>
    <row r="1828" spans="1:19" ht="15">
      <c r="A1828" s="2442"/>
      <c r="B1828" s="2374" t="s">
        <v>1937</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2827</v>
      </c>
      <c r="C1831" s="2442"/>
      <c r="D1831" s="2307"/>
      <c r="E1831" s="2442"/>
      <c r="F1831" s="2442"/>
      <c r="G1831" s="2541" t="s">
        <v>3601</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3716</v>
      </c>
      <c r="C1833" s="2481"/>
      <c r="D1833" s="519" t="str">
        <f>'Part IX A-Scoring Criteria'!D316</f>
        <v>&lt;&lt;Select applicable status&gt;&gt;</v>
      </c>
      <c r="E1833" s="519"/>
      <c r="F1833" s="519"/>
      <c r="G1833" s="519"/>
      <c r="H1833" s="519"/>
      <c r="I1833" s="519"/>
      <c r="J1833" s="2396" t="s">
        <v>2961</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2058</v>
      </c>
      <c r="B1835" s="2366" t="s">
        <v>4468</v>
      </c>
      <c r="C1835" s="2396"/>
      <c r="D1835" s="2396"/>
      <c r="E1835" s="2396"/>
      <c r="F1835" s="2396"/>
      <c r="G1835" s="2396"/>
      <c r="H1835" s="2396"/>
      <c r="I1835" s="2396"/>
      <c r="J1835" s="2396" t="s">
        <v>4008</v>
      </c>
      <c r="K1835" s="2481"/>
      <c r="L1835" s="2580">
        <f>'Part VI-Revenues &amp; Expenses'!$O$82</f>
        <v>0</v>
      </c>
      <c r="M1835" s="2479">
        <v>2</v>
      </c>
      <c r="N1835" s="2414" t="s">
        <v>2058</v>
      </c>
      <c r="O1835" s="2438">
        <f>'Part IX A-Scoring Criteria'!O318</f>
        <v>0</v>
      </c>
      <c r="P1835" s="2438">
        <f>'Part IX A-Scoring Criteria'!P318</f>
        <v>0</v>
      </c>
      <c r="Q1835" s="2074" t="s">
        <v>2810</v>
      </c>
      <c r="R1835" s="2481"/>
      <c r="S1835" s="2481"/>
    </row>
    <row r="1836" spans="1:19" ht="15" customHeight="1">
      <c r="A1836" s="2576"/>
      <c r="B1836" s="2373" t="s">
        <v>4009</v>
      </c>
      <c r="C1836" s="2373"/>
      <c r="D1836" s="2373"/>
      <c r="E1836" s="2373"/>
      <c r="F1836" s="2373"/>
      <c r="G1836" s="2373"/>
      <c r="H1836" s="2373"/>
      <c r="I1836" s="2396"/>
      <c r="J1836" s="2422" t="s">
        <v>2959</v>
      </c>
      <c r="K1836" s="2481"/>
      <c r="L1836" s="2580">
        <f>'Part VI-Revenues &amp; Expenses'!$O$62</f>
        <v>64</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2960</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7" t="s">
        <v>1301</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2061</v>
      </c>
      <c r="B1841" s="2366" t="s">
        <v>3544</v>
      </c>
      <c r="C1841" s="2396"/>
      <c r="D1841" s="2481"/>
      <c r="E1841" s="2481"/>
      <c r="F1841" s="2481"/>
      <c r="G1841" s="2481"/>
      <c r="H1841" s="2396"/>
      <c r="I1841" s="2481"/>
      <c r="J1841" s="2396" t="s">
        <v>3610</v>
      </c>
      <c r="K1841" s="2481"/>
      <c r="L1841" s="2580">
        <f>'Part VI-Revenues &amp; Expenses'!$O$84</f>
        <v>0</v>
      </c>
      <c r="M1841" s="2479">
        <v>1</v>
      </c>
      <c r="N1841" s="2414" t="s">
        <v>2061</v>
      </c>
      <c r="O1841" s="2438">
        <f>'Part IX A-Scoring Criteria'!O324</f>
        <v>0</v>
      </c>
      <c r="P1841" s="2438">
        <f>'Part IX A-Scoring Criteria'!P324</f>
        <v>0</v>
      </c>
      <c r="Q1841" s="2074" t="s">
        <v>2810</v>
      </c>
      <c r="R1841" s="2481"/>
      <c r="S1841" s="2481"/>
    </row>
    <row r="1842" spans="1:19" ht="15" customHeight="1">
      <c r="A1842" s="2581"/>
      <c r="B1842" s="2373" t="s">
        <v>4115</v>
      </c>
      <c r="C1842" s="2373"/>
      <c r="D1842" s="2373"/>
      <c r="E1842" s="2373"/>
      <c r="F1842" s="2373"/>
      <c r="G1842" s="2373"/>
      <c r="H1842" s="2373"/>
      <c r="I1842" s="2373"/>
      <c r="J1842" s="2422" t="s">
        <v>2959</v>
      </c>
      <c r="K1842" s="2481"/>
      <c r="L1842" s="2580">
        <f>'Part VI-Revenues &amp; Expenses'!$O$62</f>
        <v>64</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2960</v>
      </c>
      <c r="K1843" s="2481"/>
      <c r="L1843" s="2582">
        <f>IF(L1842=0,0,L1841/L1842)</f>
        <v>0</v>
      </c>
      <c r="M1843" s="2479"/>
      <c r="N1843" s="2479"/>
      <c r="O1843" s="2479"/>
      <c r="P1843" s="2479"/>
      <c r="Q1843" s="2074"/>
      <c r="R1843" s="2481"/>
      <c r="S1843" s="2481"/>
    </row>
    <row r="1844" spans="1:19" ht="15">
      <c r="A1844" s="2442"/>
      <c r="B1844" s="2374" t="s">
        <v>1937</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1736</v>
      </c>
      <c r="B1847" s="2440" t="s">
        <v>2721</v>
      </c>
      <c r="C1847" s="2442"/>
      <c r="D1847" s="2471"/>
      <c r="E1847" s="2471"/>
      <c r="F1847" s="2442"/>
      <c r="G1847" s="2442"/>
      <c r="H1847" s="2442"/>
      <c r="I1847" s="2542" t="s">
        <v>4469</v>
      </c>
      <c r="J1847" s="2471"/>
      <c r="K1847" s="2471"/>
      <c r="L1847" s="2442"/>
      <c r="M1847" s="2254">
        <v>5</v>
      </c>
      <c r="N1847" s="2442"/>
      <c r="O1847" s="2442"/>
      <c r="P1847" s="2257">
        <f>'Part IX A-Scoring Criteria'!P330</f>
        <v>0</v>
      </c>
      <c r="Q1847" s="2257" t="s">
        <v>456</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4116</v>
      </c>
      <c r="C1849" s="2260"/>
      <c r="D1849" s="2584">
        <f>IF('Part VI-Revenues &amp; Expenses'!$O$62=0,0,'Part IV-Uses of Funds'!$J$172/'Part VI-Revenues &amp; Expenses'!$O$62)</f>
        <v>12819.59375</v>
      </c>
      <c r="E1849" s="2584"/>
      <c r="F1849" s="2260" t="s">
        <v>4117</v>
      </c>
      <c r="G1849" s="2585"/>
      <c r="H1849" s="2586">
        <f>IF('Part VI-Revenues &amp; Expenses'!$O$62=0,0,('Part VI-Revenues &amp; Expenses'!$O$77+'Part VI-Revenues &amp; Expenses'!$O$80+'Part VI-Revenues &amp; Expenses'!$O$84)/'Part VI-Revenues &amp; Expenses'!$O$62)</f>
        <v>0</v>
      </c>
      <c r="I1849" s="2306" t="s">
        <v>4470</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2058</v>
      </c>
      <c r="B1850" s="2371" t="s">
        <v>2062</v>
      </c>
      <c r="C1850" s="519" t="s">
        <v>4011</v>
      </c>
      <c r="D1850" s="2442"/>
      <c r="E1850" s="519"/>
      <c r="F1850" s="519"/>
      <c r="G1850" s="519"/>
      <c r="H1850" s="2442"/>
      <c r="I1850" s="2442"/>
      <c r="J1850" s="2442"/>
      <c r="K1850" s="2442"/>
      <c r="L1850" s="2442"/>
      <c r="M1850" s="2479">
        <v>6</v>
      </c>
      <c r="N1850" s="2471"/>
      <c r="O1850" s="2587">
        <f>'Part IX A-Scoring Criteria'!O333</f>
        <v>0</v>
      </c>
      <c r="P1850" s="2587">
        <f>'Part IX A-Scoring Criteria'!P333</f>
        <v>0</v>
      </c>
      <c r="Q1850" s="2074" t="s">
        <v>2810</v>
      </c>
      <c r="R1850" s="2442"/>
      <c r="S1850" s="2442"/>
    </row>
    <row r="1851" spans="1:19" ht="15">
      <c r="A1851" s="2366"/>
      <c r="B1851" s="2371"/>
      <c r="C1851" s="2307" t="s">
        <v>3881</v>
      </c>
      <c r="D1851" s="2343">
        <f>'Part IX A-Scoring Criteria'!D334</f>
        <v>0</v>
      </c>
      <c r="E1851" s="519"/>
      <c r="F1851" s="2307" t="s">
        <v>3882</v>
      </c>
      <c r="G1851" s="2588">
        <f>'Part IX A-Scoring Criteria'!G334</f>
        <v>0</v>
      </c>
      <c r="H1851" s="2442"/>
      <c r="I1851" s="504" t="s">
        <v>4012</v>
      </c>
      <c r="J1851" s="504"/>
      <c r="K1851" s="2425">
        <f>'Part IX A-Scoring Criteria'!K334:L334</f>
        <v>0</v>
      </c>
      <c r="L1851" s="2425"/>
      <c r="M1851" s="2479"/>
      <c r="N1851" s="2471"/>
      <c r="O1851" s="2587"/>
      <c r="P1851" s="2587"/>
      <c r="Q1851" s="2074"/>
      <c r="R1851" s="2442"/>
      <c r="S1851" s="2442"/>
    </row>
    <row r="1852" spans="1:19" ht="15">
      <c r="A1852" s="2366" t="s">
        <v>1403</v>
      </c>
      <c r="B1852" s="2371" t="s">
        <v>2064</v>
      </c>
      <c r="C1852" s="519" t="s">
        <v>4013</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3881</v>
      </c>
      <c r="D1853" s="2343">
        <f>'Part IX A-Scoring Criteria'!D336</f>
        <v>0</v>
      </c>
      <c r="E1853" s="519"/>
      <c r="F1853" s="2307" t="s">
        <v>3882</v>
      </c>
      <c r="G1853" s="2588">
        <f>'Part IX A-Scoring Criteria'!G336</f>
        <v>0</v>
      </c>
      <c r="H1853" s="2442"/>
      <c r="I1853" s="504" t="s">
        <v>4012</v>
      </c>
      <c r="J1853" s="504"/>
      <c r="K1853" s="2425">
        <f>'Part IX A-Scoring Criteria'!K336:L336</f>
        <v>0</v>
      </c>
      <c r="L1853" s="2425"/>
      <c r="M1853" s="2479"/>
      <c r="N1853" s="2471"/>
      <c r="O1853" s="2587"/>
      <c r="P1853" s="2587"/>
      <c r="Q1853" s="2074"/>
      <c r="R1853" s="2442"/>
      <c r="S1853" s="2442"/>
    </row>
    <row r="1854" spans="1:19" ht="15" customHeight="1">
      <c r="A1854" s="2366" t="s">
        <v>1403</v>
      </c>
      <c r="B1854" s="2589" t="s">
        <v>2622</v>
      </c>
      <c r="C1854" s="2373" t="s">
        <v>3611</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3869</v>
      </c>
      <c r="D1855" s="2577"/>
      <c r="E1855" s="2481"/>
      <c r="F1855" s="2481"/>
      <c r="G1855" s="2591">
        <f>'Part IX A-Scoring Criteria'!G338</f>
        <v>0</v>
      </c>
      <c r="H1855" s="2577"/>
      <c r="I1855" s="2422" t="s">
        <v>3868</v>
      </c>
      <c r="J1855" s="2481"/>
      <c r="K1855" s="2591">
        <f>'Part IX A-Scoring Criteria'!K338</f>
        <v>0</v>
      </c>
      <c r="L1855" s="2481"/>
      <c r="M1855" s="2577"/>
      <c r="N1855" s="2577"/>
      <c r="O1855" s="2577"/>
      <c r="P1855" s="2577"/>
      <c r="Q1855" s="2577"/>
      <c r="R1855" s="2577"/>
      <c r="S1855" s="2481"/>
    </row>
    <row r="1856" spans="1:19" ht="15" customHeight="1">
      <c r="A1856" s="2409" t="s">
        <v>2061</v>
      </c>
      <c r="B1856" s="2481"/>
      <c r="C1856" s="2373" t="s">
        <v>4014</v>
      </c>
      <c r="D1856" s="2373"/>
      <c r="E1856" s="2373"/>
      <c r="F1856" s="2373"/>
      <c r="G1856" s="2373"/>
      <c r="H1856" s="2373"/>
      <c r="I1856" s="2373"/>
      <c r="J1856" s="2373"/>
      <c r="K1856" s="2373"/>
      <c r="L1856" s="2373"/>
      <c r="M1856" s="2479">
        <v>2</v>
      </c>
      <c r="N1856" s="2590"/>
      <c r="O1856" s="2438">
        <f>'Part IX A-Scoring Criteria'!O339</f>
        <v>0</v>
      </c>
      <c r="P1856" s="2438">
        <f>'Part IX A-Scoring Criteria'!P339</f>
        <v>0</v>
      </c>
      <c r="Q1856" s="1305" t="s">
        <v>2810</v>
      </c>
      <c r="R1856" s="2481"/>
      <c r="S1856" s="2481"/>
    </row>
    <row r="1857" spans="1:19" ht="22.5">
      <c r="A1857" s="2409"/>
      <c r="B1857" s="2529"/>
      <c r="C1857" s="2422" t="s">
        <v>4089</v>
      </c>
      <c r="D1857" s="2376"/>
      <c r="E1857" s="2376"/>
      <c r="F1857" s="2373">
        <f>'Part IX A-Scoring Criteria'!F340</f>
        <v>0</v>
      </c>
      <c r="G1857" s="2373"/>
      <c r="H1857" s="2373"/>
      <c r="I1857" s="2373"/>
      <c r="K1857" s="2376" t="s">
        <v>4088</v>
      </c>
      <c r="L1857" s="2578">
        <f>'Part IX A-Scoring Criteria'!L340</f>
        <v>0</v>
      </c>
      <c r="M1857" s="2373"/>
      <c r="N1857" s="2459"/>
      <c r="O1857" s="2459"/>
      <c r="P1857" s="2459"/>
      <c r="Q1857" s="2576"/>
      <c r="R1857" s="2480"/>
      <c r="S1857" s="2481"/>
    </row>
    <row r="1858" spans="1:19" ht="15" customHeight="1">
      <c r="A1858" s="2409" t="s">
        <v>779</v>
      </c>
      <c r="B1858" s="2481"/>
      <c r="C1858" s="2373" t="s">
        <v>4015</v>
      </c>
      <c r="D1858" s="2373"/>
      <c r="E1858" s="2373"/>
      <c r="F1858" s="2373"/>
      <c r="G1858" s="2373"/>
      <c r="H1858" s="2373"/>
      <c r="I1858" s="2373"/>
      <c r="J1858" s="2373" t="s">
        <v>4017</v>
      </c>
      <c r="K1858" s="2373"/>
      <c r="L1858" s="2371" t="str">
        <f>'Part I-Project Information'!$H$90</f>
        <v>Rural</v>
      </c>
      <c r="M1858" s="2479">
        <v>3</v>
      </c>
      <c r="N1858" s="2590"/>
      <c r="O1858" s="2587">
        <f>'Part IX A-Scoring Criteria'!O341</f>
        <v>0</v>
      </c>
      <c r="P1858" s="2587">
        <f>'Part IX A-Scoring Criteria'!P341</f>
        <v>0</v>
      </c>
      <c r="Q1858" s="2074" t="s">
        <v>2810</v>
      </c>
      <c r="R1858" s="2481"/>
      <c r="S1858" s="2481"/>
    </row>
    <row r="1859" spans="1:19" ht="15" customHeight="1">
      <c r="A1859" s="2409"/>
      <c r="B1859" s="2481"/>
      <c r="C1859" s="2373"/>
      <c r="D1859" s="2373"/>
      <c r="E1859" s="2373"/>
      <c r="F1859" s="2373"/>
      <c r="G1859" s="2373"/>
      <c r="H1859" s="2373"/>
      <c r="I1859" s="2373"/>
      <c r="J1859" s="2373" t="s">
        <v>4018</v>
      </c>
      <c r="K1859" s="2373"/>
      <c r="L1859" s="2592">
        <f>'Part IX A-Scoring Criteria'!L342</f>
        <v>5</v>
      </c>
      <c r="M1859" s="2479"/>
      <c r="N1859" s="2590"/>
      <c r="O1859" s="2587"/>
      <c r="P1859" s="2587"/>
      <c r="Q1859" s="2074"/>
      <c r="R1859" s="2481"/>
      <c r="S1859" s="2481"/>
    </row>
    <row r="1860" spans="1:19" ht="15" customHeight="1">
      <c r="A1860" s="2409" t="s">
        <v>2193</v>
      </c>
      <c r="B1860" s="2481"/>
      <c r="C1860" s="2373" t="s">
        <v>4016</v>
      </c>
      <c r="D1860" s="2373"/>
      <c r="E1860" s="2373"/>
      <c r="F1860" s="2373"/>
      <c r="G1860" s="2373"/>
      <c r="H1860" s="2373"/>
      <c r="I1860" s="2396"/>
      <c r="J1860" s="2373" t="s">
        <v>4019</v>
      </c>
      <c r="K1860" s="2373"/>
      <c r="L1860" s="2592">
        <f>'Part IX A-Scoring Criteria'!L343</f>
        <v>0</v>
      </c>
      <c r="M1860" s="2479">
        <v>3</v>
      </c>
      <c r="N1860" s="2590"/>
      <c r="O1860" s="2438">
        <f>'Part IX A-Scoring Criteria'!O343</f>
        <v>0</v>
      </c>
      <c r="P1860" s="2438">
        <f>'Part IX A-Scoring Criteria'!P343</f>
        <v>0</v>
      </c>
      <c r="Q1860" s="2074" t="s">
        <v>2810</v>
      </c>
      <c r="R1860" s="2481"/>
      <c r="S1860" s="2481"/>
    </row>
    <row r="1861" spans="1:19" ht="15" customHeight="1">
      <c r="A1861" s="2409" t="s">
        <v>1801</v>
      </c>
      <c r="B1861" s="2371" t="s">
        <v>2062</v>
      </c>
      <c r="C1861" s="2373" t="s">
        <v>3704</v>
      </c>
      <c r="D1861" s="2373"/>
      <c r="E1861" s="2373"/>
      <c r="F1861" s="2373"/>
      <c r="G1861" s="2373"/>
      <c r="H1861" s="2373"/>
      <c r="I1861" s="2373"/>
      <c r="J1861" s="2373"/>
      <c r="K1861" s="2373"/>
      <c r="L1861" s="2373"/>
      <c r="M1861" s="2479">
        <v>2</v>
      </c>
      <c r="N1861" s="2471"/>
      <c r="O1861" s="2587">
        <f>'Part IX A-Scoring Criteria'!O344</f>
        <v>0</v>
      </c>
      <c r="P1861" s="2587">
        <f>'Part IX A-Scoring Criteria'!P344</f>
        <v>0</v>
      </c>
      <c r="Q1861" s="2074" t="s">
        <v>2810</v>
      </c>
      <c r="R1861" s="2442"/>
      <c r="S1861" s="2442"/>
    </row>
    <row r="1862" spans="1:19" ht="15" customHeight="1">
      <c r="A1862" s="2366" t="s">
        <v>1403</v>
      </c>
      <c r="B1862" s="2371" t="s">
        <v>2064</v>
      </c>
      <c r="C1862" s="2381" t="s">
        <v>3703</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3879</v>
      </c>
      <c r="D1863" s="2593"/>
      <c r="E1863" s="2593"/>
      <c r="F1863" s="2403" t="s">
        <v>3872</v>
      </c>
      <c r="G1863" s="2403" t="s">
        <v>3873</v>
      </c>
      <c r="H1863" s="2403" t="s">
        <v>3874</v>
      </c>
      <c r="I1863" s="2403" t="s">
        <v>3875</v>
      </c>
      <c r="J1863" s="2403" t="s">
        <v>3876</v>
      </c>
      <c r="K1863" s="2403" t="s">
        <v>3877</v>
      </c>
      <c r="L1863" s="2403" t="s">
        <v>3878</v>
      </c>
      <c r="M1863" s="2594"/>
      <c r="N1863" s="2594"/>
      <c r="O1863" s="2594"/>
      <c r="P1863" s="2594"/>
      <c r="Q1863" s="504"/>
      <c r="R1863" s="2442"/>
      <c r="S1863" s="2442"/>
    </row>
    <row r="1864" spans="1:19" ht="15">
      <c r="A1864" s="2442"/>
      <c r="B1864" s="2366"/>
      <c r="C1864" s="2335" t="s">
        <v>3880</v>
      </c>
      <c r="D1864" s="2335"/>
      <c r="E1864" s="2335"/>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4"/>
      <c r="R1864" s="2442"/>
      <c r="S1864" s="2442"/>
    </row>
    <row r="1865" spans="1:19" ht="15" customHeight="1">
      <c r="A1865" s="2409" t="s">
        <v>1802</v>
      </c>
      <c r="B1865" s="2407" t="s">
        <v>2062</v>
      </c>
      <c r="C1865" s="2373" t="s">
        <v>3612</v>
      </c>
      <c r="D1865" s="2373"/>
      <c r="E1865" s="2373"/>
      <c r="F1865" s="2373"/>
      <c r="G1865" s="2373"/>
      <c r="H1865" s="2373"/>
      <c r="I1865" s="2373"/>
      <c r="J1865" s="2481"/>
      <c r="K1865" s="2373" t="s">
        <v>4119</v>
      </c>
      <c r="L1865" s="2373"/>
      <c r="M1865" s="2479">
        <v>2</v>
      </c>
      <c r="N1865" s="2590"/>
      <c r="O1865" s="2587">
        <f>'Part IX A-Scoring Criteria'!O348</f>
        <v>0</v>
      </c>
      <c r="P1865" s="2587">
        <f>'Part IX A-Scoring Criteria'!P348</f>
        <v>0</v>
      </c>
      <c r="Q1865" s="2074" t="s">
        <v>2810</v>
      </c>
      <c r="R1865" s="2481"/>
      <c r="S1865" s="2481"/>
    </row>
    <row r="1866" spans="1:19" ht="15" customHeight="1">
      <c r="A1866" s="2366" t="s">
        <v>1403</v>
      </c>
      <c r="B1866" s="2407" t="s">
        <v>2064</v>
      </c>
      <c r="C1866" s="2373" t="s">
        <v>3613</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2021</v>
      </c>
      <c r="B1867" s="2457"/>
      <c r="C1867" s="2336" t="s">
        <v>3614</v>
      </c>
      <c r="D1867" s="2336"/>
      <c r="E1867" s="2336"/>
      <c r="F1867" s="2336"/>
      <c r="G1867" s="2336"/>
      <c r="H1867" s="2336"/>
      <c r="I1867" s="2336"/>
      <c r="J1867" s="2336"/>
      <c r="K1867" s="2336"/>
      <c r="L1867" s="2336"/>
      <c r="M1867" s="2261">
        <v>2</v>
      </c>
      <c r="N1867" s="2596"/>
      <c r="O1867" s="2438">
        <f>'Part IX A-Scoring Criteria'!O350</f>
        <v>0</v>
      </c>
      <c r="P1867" s="2438">
        <f>'Part IX A-Scoring Criteria'!P350</f>
        <v>0</v>
      </c>
      <c r="Q1867" s="2074" t="s">
        <v>2810</v>
      </c>
      <c r="R1867" s="2457"/>
      <c r="S1867" s="2457"/>
    </row>
    <row r="1868" spans="1:19" ht="15" customHeight="1">
      <c r="A1868" s="2288"/>
      <c r="B1868" s="2442"/>
      <c r="C1868" s="2307" t="s">
        <v>4020</v>
      </c>
      <c r="D1868" s="2594"/>
      <c r="E1868" s="2569">
        <f>'Part IV-Uses of Funds'!$B$44</f>
        <v>7280254</v>
      </c>
      <c r="F1868" s="2569"/>
      <c r="G1868" s="519" t="s">
        <v>4021</v>
      </c>
      <c r="H1868" s="519"/>
      <c r="I1868" s="2597">
        <f>'Part IV-Uses of Funds'!$G$131</f>
        <v>10550624</v>
      </c>
      <c r="J1868" s="2336" t="s">
        <v>4022</v>
      </c>
      <c r="K1868" s="2336"/>
      <c r="L1868" s="2595">
        <f>IF(I1868=0, 0,E1868/I1868)</f>
        <v>0.69003065600669689</v>
      </c>
      <c r="M1868" s="2259"/>
      <c r="N1868" s="2259"/>
      <c r="O1868" s="2259"/>
      <c r="P1868" s="2259"/>
      <c r="Q1868" s="2074"/>
      <c r="R1868" s="2442"/>
      <c r="S1868" s="2442"/>
    </row>
    <row r="1869" spans="1:19" ht="15" customHeight="1">
      <c r="A1869" s="2409" t="s">
        <v>3559</v>
      </c>
      <c r="B1869" s="2481"/>
      <c r="C1869" s="2373" t="s">
        <v>3615</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2810</v>
      </c>
      <c r="R1869" s="2481"/>
      <c r="S1869" s="2481"/>
    </row>
    <row r="1870" spans="1:19" ht="15" customHeight="1">
      <c r="A1870" s="2409" t="s">
        <v>640</v>
      </c>
      <c r="B1870" s="2481"/>
      <c r="C1870" s="2373" t="s">
        <v>3705</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2810</v>
      </c>
      <c r="R1870" s="2481"/>
      <c r="S1870" s="2481"/>
    </row>
    <row r="1871" spans="1:19" ht="15" customHeight="1">
      <c r="A1871" s="2409" t="s">
        <v>3560</v>
      </c>
      <c r="B1871" s="2481"/>
      <c r="C1871" s="2373" t="s">
        <v>3616</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2810</v>
      </c>
      <c r="R1871" s="2481"/>
      <c r="S1871" s="2481"/>
    </row>
    <row r="1872" spans="1:19" ht="22.5" customHeight="1">
      <c r="A1872" s="2409" t="s">
        <v>4023</v>
      </c>
      <c r="B1872" s="2481"/>
      <c r="C1872" s="2373" t="s">
        <v>4024</v>
      </c>
      <c r="D1872" s="2373"/>
      <c r="E1872" s="2373"/>
      <c r="F1872" s="2373"/>
      <c r="G1872" s="2373"/>
      <c r="H1872" s="2373"/>
      <c r="I1872" s="2373"/>
      <c r="J1872" s="2373"/>
      <c r="K1872" s="2373" t="s">
        <v>4025</v>
      </c>
      <c r="L1872" s="2597">
        <f>'Part IV-Uses of Funds'!$G$127</f>
        <v>0</v>
      </c>
      <c r="M1872" s="2598">
        <v>1</v>
      </c>
      <c r="N1872" s="2598"/>
      <c r="O1872" s="2438">
        <f>'Part IX A-Scoring Criteria'!O355</f>
        <v>0</v>
      </c>
      <c r="P1872" s="2438">
        <f>'Part IX A-Scoring Criteria'!P355</f>
        <v>0</v>
      </c>
      <c r="Q1872" s="1305" t="s">
        <v>2810</v>
      </c>
      <c r="R1872" s="2481"/>
      <c r="S1872" s="2481"/>
    </row>
    <row r="1873" spans="1:19" ht="22.5">
      <c r="A1873" s="2409"/>
      <c r="B1873" s="2481"/>
      <c r="C1873" s="2373"/>
      <c r="D1873" s="2373"/>
      <c r="E1873" s="2373"/>
      <c r="F1873" s="2373"/>
      <c r="G1873" s="2373"/>
      <c r="H1873" s="2373"/>
      <c r="I1873" s="2373"/>
      <c r="J1873" s="2373"/>
      <c r="K1873" s="2373" t="s">
        <v>4026</v>
      </c>
      <c r="L1873" s="2597">
        <f>'Part IV-Uses of Funds'!$G$20</f>
        <v>0</v>
      </c>
      <c r="M1873" s="2598"/>
      <c r="N1873" s="2598"/>
      <c r="O1873" s="2598"/>
      <c r="P1873" s="2598"/>
      <c r="Q1873" s="1305"/>
      <c r="R1873" s="2481"/>
      <c r="S1873" s="2481"/>
    </row>
    <row r="1874" spans="1:19" ht="15">
      <c r="A1874" s="2079"/>
      <c r="B1874" s="2335" t="s">
        <v>267</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15.75">
      <c r="A1875" s="2373">
        <f>'Part IX A-Scoring Criteria'!A358</f>
        <v>0</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9"/>
      <c r="B1876" s="2335" t="s">
        <v>1937</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2962</v>
      </c>
      <c r="B1879" s="2440" t="s">
        <v>3627</v>
      </c>
      <c r="C1879" s="2442"/>
      <c r="D1879" s="2471"/>
      <c r="E1879" s="2471"/>
      <c r="F1879" s="2471"/>
      <c r="G1879" s="2471"/>
      <c r="H1879" s="2471"/>
      <c r="I1879" s="2471"/>
      <c r="J1879" s="2471"/>
      <c r="K1879" s="2471"/>
      <c r="L1879" s="2471"/>
      <c r="M1879" s="2257">
        <v>2</v>
      </c>
      <c r="N1879" s="2472"/>
      <c r="O1879" s="2438">
        <f>'Part IX A-Scoring Criteria'!O362</f>
        <v>2</v>
      </c>
      <c r="P1879" s="2438">
        <f>'Part IX A-Scoring Criteria'!P362</f>
        <v>0</v>
      </c>
      <c r="Q1879" s="2257" t="s">
        <v>456</v>
      </c>
      <c r="R1879" s="2074"/>
      <c r="S1879" s="2442"/>
    </row>
    <row r="1880" spans="1:19" ht="15" customHeight="1">
      <c r="A1880" s="2442"/>
      <c r="B1880" s="2381" t="s">
        <v>3629</v>
      </c>
      <c r="C1880" s="2381"/>
      <c r="D1880" s="2381"/>
      <c r="E1880" s="2381"/>
      <c r="F1880" s="2381"/>
      <c r="G1880" s="2381"/>
      <c r="H1880" s="2381"/>
      <c r="I1880" s="2381"/>
      <c r="J1880" s="2381"/>
      <c r="K1880" s="2381"/>
      <c r="L1880" s="2381"/>
      <c r="M1880" s="2381"/>
      <c r="N1880" s="2381"/>
      <c r="O1880" s="2371" t="str">
        <f>'Part IX A-Scoring Criteria'!O363</f>
        <v>Yes</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4027</v>
      </c>
      <c r="C1882" s="2442"/>
      <c r="D1882" s="2442"/>
      <c r="E1882" s="2442"/>
      <c r="F1882" s="519" t="s">
        <v>3624</v>
      </c>
      <c r="G1882" s="519"/>
      <c r="H1882" s="2442"/>
      <c r="I1882" s="2442"/>
      <c r="J1882" s="2336" t="str">
        <f>'Part IX A-Scoring Criteria'!J365</f>
        <v>Lowndes County - 692</v>
      </c>
      <c r="K1882" s="2336"/>
      <c r="L1882" s="2336"/>
      <c r="M1882" s="2336"/>
      <c r="N1882" s="2336"/>
      <c r="O1882" s="2153" t="s">
        <v>3722</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3051</v>
      </c>
      <c r="G1884" s="504"/>
      <c r="H1884" s="2442"/>
      <c r="I1884" s="2442"/>
      <c r="J1884" s="2425" t="str">
        <f>'Part I-Project Information'!$H$67</f>
        <v>Family</v>
      </c>
      <c r="K1884" s="2425"/>
      <c r="L1884" s="2599"/>
      <c r="M1884" s="2153" t="s">
        <v>3901</v>
      </c>
      <c r="N1884" s="2381"/>
      <c r="O1884" s="2153"/>
      <c r="P1884" s="2381"/>
      <c r="Q1884" s="2442"/>
      <c r="R1884" s="2442"/>
      <c r="S1884" s="2442"/>
    </row>
    <row r="1885" spans="1:19" ht="15" customHeight="1">
      <c r="A1885" s="2288"/>
      <c r="B1885" s="2219" t="s">
        <v>3625</v>
      </c>
      <c r="C1885" s="2342"/>
      <c r="D1885" s="2342"/>
      <c r="E1885" s="2599"/>
      <c r="F1885" s="2452"/>
      <c r="G1885" s="2442"/>
      <c r="H1885" s="2599"/>
      <c r="I1885" s="2599"/>
      <c r="J1885" s="2599"/>
      <c r="K1885" s="2599"/>
      <c r="L1885" s="2599"/>
      <c r="M1885" s="2153"/>
      <c r="N1885" s="2381"/>
      <c r="O1885" s="2153"/>
      <c r="P1885" s="2336" t="s">
        <v>3621</v>
      </c>
      <c r="Q1885" s="2442"/>
      <c r="R1885" s="2442"/>
      <c r="S1885" s="2442"/>
    </row>
    <row r="1886" spans="1:19" ht="15">
      <c r="A1886" s="2288"/>
      <c r="B1886" s="2442"/>
      <c r="C1886" s="2302"/>
      <c r="D1886" s="2442"/>
      <c r="E1886" s="2442"/>
      <c r="F1886" s="2307" t="s">
        <v>3626</v>
      </c>
      <c r="G1886" s="2442"/>
      <c r="H1886" s="2599"/>
      <c r="I1886" s="2395" t="s">
        <v>3620</v>
      </c>
      <c r="J1886" s="2424" t="s">
        <v>3622</v>
      </c>
      <c r="K1886" s="2368" t="s">
        <v>3621</v>
      </c>
      <c r="L1886" s="2261" t="s">
        <v>3623</v>
      </c>
      <c r="M1886" s="2153"/>
      <c r="N1886" s="2259"/>
      <c r="O1886" s="2153"/>
      <c r="P1886" s="2336"/>
      <c r="Q1886" s="2442"/>
      <c r="R1886" s="2442"/>
      <c r="S1886" s="2442"/>
    </row>
    <row r="1887" spans="1:19" ht="33.75">
      <c r="A1887" s="2288"/>
      <c r="B1887" s="2344" t="s">
        <v>2520</v>
      </c>
      <c r="C1887" s="2342" t="s">
        <v>3619</v>
      </c>
      <c r="D1887" s="2342"/>
      <c r="E1887" s="2599"/>
      <c r="F1887" s="2336" t="str">
        <f>'Part IX A-Scoring Criteria'!F370</f>
        <v>Hahira Elementary School</v>
      </c>
      <c r="G1887" s="2336"/>
      <c r="H1887" s="2336"/>
      <c r="I1887" s="2403" t="str">
        <f>'Part IX A-Scoring Criteria'!I370</f>
        <v>PK, - 0.5</v>
      </c>
      <c r="J1887" s="2403" t="str">
        <f>'Part IX A-Scoring Criteria'!J370</f>
        <v>No</v>
      </c>
      <c r="K1887" s="2600">
        <f>'Part IX A-Scoring Criteria'!K370</f>
        <v>89.8</v>
      </c>
      <c r="L1887" s="2259">
        <v>78</v>
      </c>
      <c r="M1887" s="2261" t="str">
        <f>IF(K1887="","",IF(K1887&gt;=L1887,"Yes",IF(K1887&lt;L1887,"No","")))</f>
        <v>Yes</v>
      </c>
      <c r="N1887" s="2259"/>
      <c r="O1887" s="2261" t="str">
        <f>IF(P1887="","",IF(P1887&gt;=L1887,"Yes",IF(P1887&lt;L1887,"No","")))</f>
        <v>No</v>
      </c>
      <c r="P1887" s="2600">
        <f>'Part IX A-Scoring Criteria'!P370</f>
        <v>0</v>
      </c>
      <c r="Q1887" s="519" t="s">
        <v>4120</v>
      </c>
      <c r="R1887" s="2442"/>
      <c r="S1887" s="2442"/>
    </row>
    <row r="1888" spans="1:19" ht="22.5">
      <c r="A1888" s="2288"/>
      <c r="B1888" s="2414" t="s">
        <v>2521</v>
      </c>
      <c r="C1888" s="2342" t="s">
        <v>3617</v>
      </c>
      <c r="D1888" s="2342"/>
      <c r="E1888" s="2599"/>
      <c r="F1888" s="2336" t="str">
        <f>'Part IX A-Scoring Criteria'!F371</f>
        <v>Hahira Middle School</v>
      </c>
      <c r="G1888" s="2336"/>
      <c r="H1888" s="2336"/>
      <c r="I1888" s="2403" t="str">
        <f>'Part IX A-Scoring Criteria'!I371</f>
        <v>06, 07, 08</v>
      </c>
      <c r="J1888" s="2403" t="str">
        <f>'Part IX A-Scoring Criteria'!J371</f>
        <v>No</v>
      </c>
      <c r="K1888" s="2600">
        <f>'Part IX A-Scoring Criteria'!K371</f>
        <v>86.9</v>
      </c>
      <c r="L1888" s="2259">
        <v>75</v>
      </c>
      <c r="M1888" s="2261" t="str">
        <f>IF(K1888="","",IF(K1888&gt;=L1888,"Yes",IF(K1888&lt;L1888,"No","")))</f>
        <v>Yes</v>
      </c>
      <c r="N1888" s="2259"/>
      <c r="O1888" s="2261" t="str">
        <f>IF(P1888="","",IF(P1888&gt;=L1888,"Yes",IF(P1888&lt;L1888,"No","")))</f>
        <v>No</v>
      </c>
      <c r="P1888" s="2600">
        <f>'Part IX A-Scoring Criteria'!P371</f>
        <v>0</v>
      </c>
      <c r="Q1888" s="519" t="s">
        <v>4120</v>
      </c>
      <c r="R1888" s="2442"/>
      <c r="S1888" s="2442"/>
    </row>
    <row r="1889" spans="1:19" ht="33.75">
      <c r="A1889" s="2288"/>
      <c r="B1889" s="2344" t="s">
        <v>2522</v>
      </c>
      <c r="C1889" s="2342" t="s">
        <v>3618</v>
      </c>
      <c r="D1889" s="2342"/>
      <c r="E1889" s="2599"/>
      <c r="F1889" s="2336" t="str">
        <f>'Part IX A-Scoring Criteria'!F372</f>
        <v>Lowndes County High School</v>
      </c>
      <c r="G1889" s="2336"/>
      <c r="H1889" s="2336"/>
      <c r="I1889" s="2403" t="str">
        <f>'Part IX A-Scoring Criteria'!I372</f>
        <v>09, 10, 11, 12</v>
      </c>
      <c r="J1889" s="2403" t="str">
        <f>'Part IX A-Scoring Criteria'!J372</f>
        <v>No</v>
      </c>
      <c r="K1889" s="2600">
        <f>'Part IX A-Scoring Criteria'!K372</f>
        <v>72.8</v>
      </c>
      <c r="L1889" s="2259">
        <v>72</v>
      </c>
      <c r="M1889" s="2261" t="str">
        <f>IF(K1889="","",IF(K1889&gt;=L1889,"Yes",IF(K1889&lt;L1889,"No","")))</f>
        <v>Yes</v>
      </c>
      <c r="N1889" s="2259"/>
      <c r="O1889" s="2261" t="str">
        <f>IF(P1889="","",IF(P1889&gt;=L1889,"Yes",IF(P1889&lt;L1889,"No","")))</f>
        <v>No</v>
      </c>
      <c r="P1889" s="2600">
        <f>'Part IX A-Scoring Criteria'!P372</f>
        <v>0</v>
      </c>
      <c r="Q1889" s="519" t="s">
        <v>4120</v>
      </c>
      <c r="R1889" s="2442"/>
      <c r="S1889" s="2442"/>
    </row>
    <row r="1890" spans="1:19" ht="15">
      <c r="A1890" s="2079"/>
      <c r="B1890" s="2335" t="s">
        <v>267</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337.5">
      <c r="A1891" s="2373" t="str">
        <f>'Part IX A-Scoring Criteria'!A374</f>
        <v>Please see Tab 42 for documentation confirming the proposed site is within the attendance zone of the elementary, middle and high schools and the 2014 CCRPI reports for the qualifying schools. All three schools have an CCRPI score that exceeds the state average threshold.</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9"/>
      <c r="B1892" s="2335" t="s">
        <v>1937</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2965</v>
      </c>
      <c r="B1895" s="2440" t="s">
        <v>2964</v>
      </c>
      <c r="C1895" s="2442"/>
      <c r="D1895" s="2471"/>
      <c r="E1895" s="2471"/>
      <c r="F1895" s="2471"/>
      <c r="G1895" s="2368" t="s">
        <v>4028</v>
      </c>
      <c r="H1895" s="2471"/>
      <c r="I1895" s="2442"/>
      <c r="J1895" s="2442"/>
      <c r="K1895" s="2442"/>
      <c r="L1895" s="2442"/>
      <c r="M1895" s="2257">
        <v>2</v>
      </c>
      <c r="N1895" s="2472"/>
      <c r="O1895" s="2438">
        <f>'Part IX A-Scoring Criteria'!O378</f>
        <v>0</v>
      </c>
      <c r="P1895" s="2438">
        <f>'Part IX A-Scoring Criteria'!P378</f>
        <v>0</v>
      </c>
      <c r="Q1895" s="2257" t="s">
        <v>456</v>
      </c>
      <c r="R1895" s="519" t="s">
        <v>2810</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2058</v>
      </c>
      <c r="C1897" s="519" t="s">
        <v>4471</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2061</v>
      </c>
      <c r="C1898" s="519" t="s">
        <v>4472</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4029</v>
      </c>
      <c r="C1900" s="2602"/>
      <c r="D1900" s="2446" t="s">
        <v>2966</v>
      </c>
      <c r="E1900" s="2432" t="s">
        <v>3628</v>
      </c>
      <c r="F1900" s="2432"/>
      <c r="G1900" s="2432"/>
      <c r="H1900" s="2432"/>
      <c r="I1900" s="2432"/>
      <c r="J1900" s="2432"/>
      <c r="K1900" s="2432"/>
      <c r="L1900" s="2432"/>
      <c r="M1900" s="2446" t="s">
        <v>1659</v>
      </c>
      <c r="N1900" s="2432" t="s">
        <v>2687</v>
      </c>
      <c r="O1900" s="2432"/>
      <c r="P1900" s="504"/>
      <c r="Q1900" s="504"/>
      <c r="R1900" s="504"/>
      <c r="S1900" s="504"/>
    </row>
    <row r="1901" spans="1:19" ht="12.75" customHeight="1">
      <c r="A1901" s="2372"/>
      <c r="B1901" s="2602"/>
      <c r="C1901" s="2602"/>
      <c r="D1901" s="2446" t="s">
        <v>1251</v>
      </c>
      <c r="E1901" s="2373" t="s">
        <v>2970</v>
      </c>
      <c r="F1901" s="2373"/>
      <c r="G1901" s="2373"/>
      <c r="H1901" s="2373"/>
      <c r="I1901" s="2373"/>
      <c r="J1901" s="2373"/>
      <c r="K1901" s="2373"/>
      <c r="L1901" s="2373"/>
      <c r="M1901" s="2446" t="s">
        <v>2701</v>
      </c>
      <c r="N1901" s="2432" t="s">
        <v>1326</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3911</v>
      </c>
      <c r="J1903" s="2424" t="s">
        <v>3912</v>
      </c>
      <c r="K1903" s="2597"/>
      <c r="L1903" s="2597"/>
      <c r="M1903" s="2597"/>
      <c r="N1903" s="504"/>
      <c r="O1903" s="504"/>
      <c r="P1903" s="504"/>
      <c r="Q1903" s="504"/>
      <c r="R1903" s="2601"/>
      <c r="S1903" s="504"/>
    </row>
    <row r="1904" spans="1:19">
      <c r="A1904" s="504"/>
      <c r="B1904" s="504"/>
      <c r="C1904" s="2603" t="s">
        <v>4034</v>
      </c>
      <c r="D1904" s="2597"/>
      <c r="E1904" s="2597"/>
      <c r="F1904" s="2597"/>
      <c r="G1904" s="2597"/>
      <c r="H1904" s="2597"/>
      <c r="I1904" s="2597">
        <f>'Part IX A-Scoring Criteria'!I387</f>
        <v>0</v>
      </c>
      <c r="J1904" s="2597">
        <f>'Part IX A-Scoring Criteria'!J387</f>
        <v>0</v>
      </c>
      <c r="K1904" s="2602" t="str">
        <f>IF(J1905&lt;J1904,"Threshold not met!","")</f>
        <v/>
      </c>
      <c r="L1904" s="504" t="s">
        <v>2967</v>
      </c>
      <c r="M1904" s="2425" t="str">
        <f>'Part I-Project Information'!$F$28</f>
        <v>Hahira</v>
      </c>
      <c r="N1904" s="2425"/>
      <c r="O1904" s="2425"/>
      <c r="P1904" s="2425"/>
      <c r="Q1904" s="504"/>
      <c r="R1904" s="504"/>
      <c r="S1904" s="504"/>
    </row>
    <row r="1905" spans="1:19" ht="13.5">
      <c r="A1905" s="2427"/>
      <c r="B1905" s="2427"/>
      <c r="C1905" s="2467" t="s">
        <v>4030</v>
      </c>
      <c r="D1905" s="504"/>
      <c r="E1905" s="504"/>
      <c r="F1905" s="504"/>
      <c r="G1905" s="504"/>
      <c r="H1905" s="2604" t="str">
        <f>IF(I1905&lt;I1904,"Threshold not met!","")</f>
        <v/>
      </c>
      <c r="I1905" s="2597">
        <f>'Part IX A-Scoring Criteria'!I388</f>
        <v>0</v>
      </c>
      <c r="J1905" s="2597">
        <f>'Part IX A-Scoring Criteria'!J388</f>
        <v>0</v>
      </c>
      <c r="K1905" s="2602"/>
      <c r="L1905" s="2425" t="s">
        <v>2968</v>
      </c>
      <c r="M1905" s="2425" t="str">
        <f>'Part I-Project Information'!$J$29</f>
        <v>Lowndes</v>
      </c>
      <c r="N1905" s="2425"/>
      <c r="O1905" s="2425"/>
      <c r="P1905" s="2425"/>
      <c r="Q1905" s="504"/>
      <c r="R1905" s="504"/>
      <c r="S1905" s="504"/>
    </row>
    <row r="1906" spans="1:19" ht="13.5">
      <c r="A1906" s="2427"/>
      <c r="B1906" s="2427"/>
      <c r="C1906" s="2467" t="s">
        <v>4169</v>
      </c>
      <c r="D1906" s="504"/>
      <c r="E1906" s="504"/>
      <c r="F1906" s="504"/>
      <c r="G1906" s="504"/>
      <c r="H1906" s="504"/>
      <c r="I1906" s="2597">
        <f>'Part IX A-Scoring Criteria'!I389</f>
        <v>0</v>
      </c>
      <c r="J1906" s="2597">
        <f>'Part IX A-Scoring Criteria'!J389</f>
        <v>0</v>
      </c>
      <c r="K1906" s="504"/>
      <c r="L1906" s="2467" t="s">
        <v>2969</v>
      </c>
      <c r="M1906" s="2425" t="str">
        <f>'Part I-Project Information'!$O$30</f>
        <v>Valdosta</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3052</v>
      </c>
      <c r="M1907" s="2425" t="str">
        <f>VLOOKUP('Part I-Project Information'!$J$29,'DCA Underwriting Assumptions'!$G$141:$J$300,4)</f>
        <v>MSA</v>
      </c>
      <c r="N1907" s="2425"/>
      <c r="O1907" s="2425"/>
      <c r="P1907" s="2425"/>
      <c r="Q1907" s="504"/>
      <c r="R1907" s="504"/>
      <c r="S1907" s="504"/>
    </row>
    <row r="1908" spans="1:19">
      <c r="A1908" s="504"/>
      <c r="B1908" s="504"/>
      <c r="C1908" s="2467" t="s">
        <v>4170</v>
      </c>
      <c r="D1908" s="504"/>
      <c r="E1908" s="504"/>
      <c r="F1908" s="504"/>
      <c r="G1908" s="504"/>
      <c r="H1908" s="504"/>
      <c r="I1908" s="2466">
        <f>IF(I1905=0,0,I1906/I1905)</f>
        <v>0</v>
      </c>
      <c r="J1908" s="2523">
        <f>IF(J1905=0,0,J1906/J1905)</f>
        <v>0</v>
      </c>
      <c r="K1908" s="504"/>
      <c r="L1908" s="504" t="s">
        <v>4031</v>
      </c>
      <c r="M1908" s="2425" t="str">
        <f>'Part I-Project Information'!$K$30</f>
        <v>Rural</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267</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15.75">
      <c r="A1911" s="2373">
        <f>'Part IX A-Scoring Criteria'!A394</f>
        <v>0</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9"/>
      <c r="B1912" s="2335" t="s">
        <v>1937</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2963</v>
      </c>
      <c r="B1915" s="2440" t="s">
        <v>1737</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4092</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4093</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4094</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2058</v>
      </c>
      <c r="B1921" s="2276" t="s">
        <v>1492</v>
      </c>
      <c r="D1921" s="2079"/>
      <c r="E1921" s="2079"/>
      <c r="F1921" s="2079"/>
      <c r="G1921" s="2079"/>
      <c r="H1921" s="2079"/>
      <c r="I1921" s="2079"/>
      <c r="J1921" s="2079"/>
      <c r="K1921" s="2079"/>
      <c r="L1921" s="2079"/>
      <c r="M1921" s="2080"/>
      <c r="N1921" s="2344" t="s">
        <v>2058</v>
      </c>
      <c r="O1921" s="2438">
        <f>'Part IX A-Scoring Criteria'!O404</f>
        <v>0</v>
      </c>
      <c r="P1921" s="2438">
        <f>'Part IX A-Scoring Criteria'!P404</f>
        <v>0</v>
      </c>
      <c r="Q1921" s="2074" t="s">
        <v>2810</v>
      </c>
    </row>
    <row r="1922" spans="1:19" ht="15">
      <c r="A1922" s="2335"/>
      <c r="B1922" s="2335" t="s">
        <v>1937</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9"/>
      <c r="B1924" s="2079"/>
      <c r="C1924" s="2376"/>
      <c r="D1924" s="2376"/>
      <c r="E1924" s="2376"/>
      <c r="F1924" s="2376"/>
      <c r="G1924" s="2376"/>
      <c r="H1924" s="2376"/>
      <c r="I1924" s="2376"/>
      <c r="J1924" s="2376"/>
      <c r="K1924" s="2376"/>
      <c r="L1924" s="2420" t="s">
        <v>4159</v>
      </c>
      <c r="M1924" s="2376"/>
      <c r="N1924" s="2470"/>
      <c r="O1924" s="2605">
        <f>'Part IX A-Scoring Criteria'!O408</f>
        <v>61</v>
      </c>
      <c r="P1924" s="2605">
        <f>'Part IX A-Scoring Criteria'!P408</f>
        <v>22</v>
      </c>
      <c r="Q1924" s="2442"/>
      <c r="R1924" s="2442"/>
      <c r="S1924" s="2442"/>
    </row>
    <row r="1925" spans="1:19" ht="15">
      <c r="A1925" s="2117"/>
      <c r="B1925" s="2556"/>
      <c r="C1925" s="2079"/>
      <c r="F1925" s="2442"/>
      <c r="G1925" s="2442"/>
      <c r="H1925" s="2606" t="s">
        <v>441</v>
      </c>
      <c r="I1925" s="2436"/>
      <c r="J1925" s="2436"/>
      <c r="K1925" s="2436"/>
      <c r="L1925" s="2457"/>
      <c r="M1925" s="2607">
        <f>M1525+M1546+M1560+M1573+M1596+M1603+M1630+M1646+M1689+M1712+M1723+M1731+M1739+M1752+M1766+M1805+M1818+M1831+M1847+M1879+M1895+M1915</f>
        <v>103</v>
      </c>
      <c r="N1925" s="2608"/>
      <c r="O1925" s="2607">
        <f>O1525+O1546+O1560+O1573+O1596+O1603+O1630+O1646+O1689+O1712+O1723+O1739+O1752+O1766+O1818+O1831+O1879+O1895+O1915</f>
        <v>61</v>
      </c>
      <c r="P1925" s="2607">
        <f>P1525+P1546+P1560+P1573+P1596+P1603+P1630+P1646+P1689+P1712+P1723+P1731+P1739+P1752+P1766+P1805+P1818+P1831+P1847+P1879+P1895+P1915</f>
        <v>22</v>
      </c>
      <c r="Q1925" s="2079"/>
      <c r="R1925" s="2079"/>
      <c r="S1925" s="2079"/>
    </row>
    <row r="1926" spans="1:19" ht="15.75">
      <c r="A1926" s="2442"/>
      <c r="B1926" s="2556"/>
      <c r="C1926" s="2442"/>
      <c r="F1926" s="2437"/>
      <c r="G1926" s="2437"/>
      <c r="H1926" s="2276"/>
      <c r="I1926" s="2276" t="s">
        <v>3057</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3058</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3059</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3060</v>
      </c>
      <c r="I1929" s="2257"/>
      <c r="J1929" s="2307"/>
      <c r="K1929" s="2307"/>
      <c r="L1929" s="2307"/>
      <c r="M1929" s="2368"/>
      <c r="N1929" s="2257"/>
      <c r="O1929" s="2254"/>
      <c r="P1929" s="2521">
        <f>P1925-P1926-P1927-P1928</f>
        <v>22</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4140</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409.5">
      <c r="A1932" s="2373" t="str">
        <f>'Part IX A-Scoring Criteria'!A415</f>
        <v>1. APPLICATION COMPLETENESS: The applicant has reviewed the application and does not believe there are any missing or incomplete documents. Additionally, the applicant believes the application should not require any financial adjustments or other revisions.
2. DEEPER TARGETING / RENT / INCOME RESTRICTIONS: The applicant agrees to set income limits at 50% AMI and gross rents at or below 30% of the 50% income limit for at least 20% of total residential units.
7. STABLE COMMUNITIES: See Tab 31 of the application for the FFIEC Report and Census Tract for evidence the property is located within a Stable Communities Census Tract with less than 15% below poverty line and designated as a upper tract income level. Tab 31 of the application also contains the Public Health Map, which indicates that the property is located in the A3 Demographic Cluster. 
11. EXTENDED AFFORDABILITY COMMITMENT: The applicant agrees to forgo the cancellation option for at least five (5) years after the close of the compliance period.
17. INTEGRATED SUPPORTIVE HOUSING: The applicant agrees to accept Section 811 project based rental assistance or other DCA offered rental assistance for up to 10% of the units for the purpose of providing integrated housing opportunities to Persons with Disabilities. The applicant understands the requirements of HUD's Section 811 Project Rental Assistance (PRA) program, including the 30-year use restriction for all PRA units and applicant is willing to accept rents affordable to 50% AMI tenants.
20. COMPLIANCE / PERFORMANCE: Please see Tab 20 of the application for the Qualification Determination documentation.</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0" t="s">
        <v>4171</v>
      </c>
      <c r="B1936" s="505"/>
      <c r="C1936" s="505"/>
      <c r="D1936" s="505"/>
      <c r="E1936" s="505"/>
      <c r="F1936" s="505"/>
    </row>
    <row r="1937" spans="1:6" ht="16.5">
      <c r="A1937" s="2611" t="str">
        <f>'Part I-Project Information'!$F$24</f>
        <v>The Village on Park</v>
      </c>
      <c r="B1937" s="507"/>
      <c r="C1937" s="507"/>
      <c r="D1937" s="507"/>
      <c r="E1937" s="507"/>
      <c r="F1937" s="507"/>
    </row>
    <row r="1938" spans="1:6" ht="16.5">
      <c r="A1938" s="2611" t="str">
        <f>CONCATENATE('Part I-Project Information'!$F$28,", ", 'Part I-Project Information'!$J$29," County")</f>
        <v>Hahira, Lowndes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2793</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3766</v>
      </c>
    </row>
    <row r="1964" spans="1:6" ht="16.5">
      <c r="A1964" s="2615" t="str">
        <f>'Part I-Project Information'!$F$24</f>
        <v>The Village on Park</v>
      </c>
    </row>
    <row r="1965" spans="1:6" ht="16.5">
      <c r="A1965" s="2615" t="str">
        <f>CONCATENATE('Part I-Project Information'!$F$28,", ", 'Part I-Project Information'!$J$29," County")</f>
        <v>Hahira, Lowndes County</v>
      </c>
    </row>
    <row r="1966" spans="1:6" ht="16.5">
      <c r="A1966" s="2616"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dSr0UTCdpTTbZWOthhW9c1+o0gdxst56EKIzUuHbUlMVaZcF0L+GzulZbJp7j7wWYEz6LBhtDGm+ePWcIxn1FQ==" saltValue="ORG003YECP7A33RzAdXa9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2016-028 The Village on Park, Hahira, Lowndes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4203</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1928</v>
      </c>
      <c r="C3" s="335"/>
      <c r="E3" s="335"/>
      <c r="F3" s="335"/>
      <c r="G3" s="335"/>
      <c r="J3" s="1463" t="s">
        <v>4216</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6" t="s">
        <v>4231</v>
      </c>
      <c r="I5" s="2739"/>
      <c r="J5" s="2739"/>
      <c r="K5" s="2739"/>
      <c r="L5" s="2739"/>
      <c r="M5" s="2739"/>
      <c r="N5" s="2740"/>
      <c r="O5" s="1387" t="s">
        <v>2065</v>
      </c>
      <c r="P5" s="1387"/>
      <c r="Q5" s="2646" t="s">
        <v>4363</v>
      </c>
      <c r="R5" s="2739"/>
      <c r="S5" s="2740"/>
    </row>
    <row r="6" spans="1:26" s="329" customFormat="1" ht="11.25" customHeight="1">
      <c r="D6" s="372"/>
      <c r="E6" s="334" t="s">
        <v>1058</v>
      </c>
      <c r="F6" s="342"/>
      <c r="H6" s="2646" t="s">
        <v>4306</v>
      </c>
      <c r="I6" s="2739"/>
      <c r="J6" s="2739"/>
      <c r="K6" s="2739"/>
      <c r="L6" s="2739"/>
      <c r="M6" s="2739"/>
      <c r="N6" s="2740"/>
      <c r="O6" s="1387" t="s">
        <v>1813</v>
      </c>
      <c r="Q6" s="2646" t="s">
        <v>4364</v>
      </c>
      <c r="R6" s="2739"/>
      <c r="S6" s="2740"/>
    </row>
    <row r="7" spans="1:26" s="329" customFormat="1" ht="11.25" customHeight="1">
      <c r="D7" s="372"/>
      <c r="E7" s="334" t="s">
        <v>642</v>
      </c>
      <c r="H7" s="2646" t="s">
        <v>4250</v>
      </c>
      <c r="I7" s="2739"/>
      <c r="J7" s="2740"/>
      <c r="K7" s="2741" t="s">
        <v>793</v>
      </c>
      <c r="L7" s="2646" t="s">
        <v>3380</v>
      </c>
      <c r="M7" s="2739"/>
      <c r="N7" s="2740"/>
      <c r="O7" s="1387" t="s">
        <v>1869</v>
      </c>
      <c r="Q7" s="2742"/>
      <c r="R7" s="2743"/>
      <c r="S7" s="2744"/>
    </row>
    <row r="8" spans="1:26" s="329" customFormat="1" ht="11.25" customHeight="1">
      <c r="D8" s="372"/>
      <c r="E8" s="334" t="s">
        <v>1865</v>
      </c>
      <c r="H8" s="2745" t="s">
        <v>1402</v>
      </c>
      <c r="I8" s="1392" t="s">
        <v>2308</v>
      </c>
      <c r="J8" s="2746">
        <v>731024617</v>
      </c>
      <c r="K8" s="2740"/>
      <c r="L8" s="329" t="s">
        <v>4139</v>
      </c>
      <c r="M8" s="2747" t="s">
        <v>4297</v>
      </c>
      <c r="N8" s="2748"/>
      <c r="O8" s="1387" t="s">
        <v>2054</v>
      </c>
      <c r="Q8" s="2742"/>
      <c r="R8" s="2743"/>
      <c r="S8" s="2744"/>
    </row>
    <row r="9" spans="1:26" s="329" customFormat="1" ht="11.25" customHeight="1">
      <c r="D9" s="372"/>
      <c r="E9" s="334" t="s">
        <v>2060</v>
      </c>
      <c r="H9" s="2742">
        <v>4056045074</v>
      </c>
      <c r="I9" s="2744"/>
      <c r="J9" s="2749"/>
      <c r="K9" s="1401" t="s">
        <v>2059</v>
      </c>
      <c r="L9" s="2643" t="s">
        <v>4301</v>
      </c>
      <c r="M9" s="2644"/>
      <c r="N9" s="2644"/>
      <c r="O9" s="2644"/>
      <c r="P9" s="2644"/>
      <c r="Q9" s="2644"/>
      <c r="R9" s="2644"/>
      <c r="S9" s="2645"/>
    </row>
    <row r="10" spans="1:26" s="329" customFormat="1" ht="11.25" customHeight="1">
      <c r="D10" s="372"/>
      <c r="E10" s="322" t="s">
        <v>2847</v>
      </c>
      <c r="H10" s="366"/>
      <c r="K10" s="297"/>
      <c r="N10" s="405" t="s">
        <v>3851</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0" t="s">
        <v>1331</v>
      </c>
      <c r="W12" s="2750"/>
      <c r="X12" s="2750"/>
      <c r="Y12" s="2750"/>
      <c r="Z12" s="2750"/>
    </row>
    <row r="13" spans="1:26" s="329" customFormat="1" ht="11.25" customHeight="1">
      <c r="C13" s="374" t="s">
        <v>2062</v>
      </c>
      <c r="D13" s="371" t="s">
        <v>2063</v>
      </c>
      <c r="H13" s="1397"/>
      <c r="I13" s="1397"/>
      <c r="J13" s="1397"/>
      <c r="N13" s="1381"/>
      <c r="W13" s="2751"/>
      <c r="X13" s="2751"/>
      <c r="Y13" s="2751"/>
      <c r="Z13" s="2751"/>
    </row>
    <row r="14" spans="1:26" s="329" customFormat="1" ht="11.25" customHeight="1">
      <c r="D14" s="331" t="s">
        <v>2194</v>
      </c>
      <c r="E14" s="329" t="s">
        <v>1926</v>
      </c>
      <c r="H14" s="2628" t="s">
        <v>4299</v>
      </c>
      <c r="I14" s="2689"/>
      <c r="J14" s="2689"/>
      <c r="K14" s="2689"/>
      <c r="L14" s="2689"/>
      <c r="M14" s="2689"/>
      <c r="N14" s="2690"/>
      <c r="O14" s="1387" t="s">
        <v>2065</v>
      </c>
      <c r="P14" s="1387"/>
      <c r="Q14" s="2628" t="s">
        <v>4363</v>
      </c>
      <c r="R14" s="2689"/>
      <c r="S14" s="2690"/>
    </row>
    <row r="15" spans="1:26" s="329" customFormat="1" ht="11.25" customHeight="1">
      <c r="D15" s="372"/>
      <c r="E15" s="334" t="s">
        <v>1058</v>
      </c>
      <c r="F15" s="342"/>
      <c r="H15" s="2628" t="s">
        <v>4306</v>
      </c>
      <c r="I15" s="2689"/>
      <c r="J15" s="2689"/>
      <c r="K15" s="2689"/>
      <c r="L15" s="2689"/>
      <c r="M15" s="2689"/>
      <c r="N15" s="2690"/>
      <c r="O15" s="1387" t="s">
        <v>1813</v>
      </c>
      <c r="Q15" s="2628" t="s">
        <v>4364</v>
      </c>
      <c r="R15" s="2689"/>
      <c r="S15" s="2690"/>
    </row>
    <row r="16" spans="1:26" s="329" customFormat="1" ht="11.25" customHeight="1">
      <c r="D16" s="372"/>
      <c r="E16" s="334" t="s">
        <v>642</v>
      </c>
      <c r="H16" s="2628" t="s">
        <v>4250</v>
      </c>
      <c r="I16" s="2689"/>
      <c r="J16" s="2690"/>
      <c r="K16" s="1391" t="s">
        <v>2808</v>
      </c>
      <c r="L16" s="2628"/>
      <c r="M16" s="2689"/>
      <c r="N16" s="2690"/>
      <c r="O16" s="1387" t="s">
        <v>1869</v>
      </c>
      <c r="Q16" s="2636"/>
      <c r="R16" s="2641"/>
      <c r="S16" s="2637"/>
    </row>
    <row r="17" spans="3:19" s="329" customFormat="1" ht="11.25" customHeight="1">
      <c r="D17" s="331"/>
      <c r="E17" s="334" t="s">
        <v>1865</v>
      </c>
      <c r="H17" s="2642" t="s">
        <v>1402</v>
      </c>
      <c r="K17" s="1392"/>
      <c r="L17" s="2639">
        <v>731024617</v>
      </c>
      <c r="M17" s="2690"/>
      <c r="O17" s="1387" t="s">
        <v>2054</v>
      </c>
      <c r="Q17" s="2636"/>
      <c r="R17" s="2641"/>
      <c r="S17" s="2637"/>
    </row>
    <row r="18" spans="3:19" s="329" customFormat="1" ht="11.25" customHeight="1">
      <c r="D18" s="372"/>
      <c r="E18" s="334" t="s">
        <v>2060</v>
      </c>
      <c r="H18" s="2636">
        <v>4056045074</v>
      </c>
      <c r="I18" s="2637"/>
      <c r="J18" s="2752"/>
      <c r="K18" s="1401" t="s">
        <v>2059</v>
      </c>
      <c r="L18" s="2643" t="s">
        <v>4301</v>
      </c>
      <c r="M18" s="2644"/>
      <c r="N18" s="2644"/>
      <c r="O18" s="2644"/>
      <c r="P18" s="2644"/>
      <c r="Q18" s="2644"/>
      <c r="R18" s="2644"/>
      <c r="S18" s="2645"/>
    </row>
    <row r="19" spans="3:19" ht="4.1500000000000004" customHeight="1">
      <c r="D19" s="357"/>
      <c r="H19" s="2753"/>
      <c r="I19" s="2753"/>
      <c r="J19" s="2753"/>
      <c r="K19" s="1401"/>
      <c r="L19" s="2753"/>
      <c r="M19" s="2753"/>
      <c r="N19" s="1389"/>
      <c r="O19" s="1382"/>
      <c r="P19" s="1382"/>
      <c r="Q19" s="1401"/>
      <c r="R19" s="1382"/>
      <c r="S19" s="1382"/>
    </row>
    <row r="20" spans="3:19" s="329" customFormat="1" ht="11.25" customHeight="1">
      <c r="D20" s="331" t="s">
        <v>2195</v>
      </c>
      <c r="E20" s="329" t="s">
        <v>1927</v>
      </c>
      <c r="F20" s="1397"/>
      <c r="H20" s="2628"/>
      <c r="I20" s="2689"/>
      <c r="J20" s="2689"/>
      <c r="K20" s="2689"/>
      <c r="L20" s="2689"/>
      <c r="M20" s="2689"/>
      <c r="N20" s="2690"/>
      <c r="O20" s="1387" t="s">
        <v>2065</v>
      </c>
      <c r="P20" s="1387"/>
      <c r="Q20" s="2628"/>
      <c r="R20" s="2689"/>
      <c r="S20" s="2690"/>
    </row>
    <row r="21" spans="3:19" s="329" customFormat="1" ht="11.25" customHeight="1">
      <c r="D21" s="372"/>
      <c r="E21" s="334" t="s">
        <v>1058</v>
      </c>
      <c r="F21" s="342"/>
      <c r="H21" s="2628"/>
      <c r="I21" s="2689"/>
      <c r="J21" s="2689"/>
      <c r="K21" s="2689"/>
      <c r="L21" s="2689"/>
      <c r="M21" s="2689"/>
      <c r="N21" s="2690"/>
      <c r="O21" s="1387" t="s">
        <v>1813</v>
      </c>
      <c r="Q21" s="2628"/>
      <c r="R21" s="2689"/>
      <c r="S21" s="2690"/>
    </row>
    <row r="22" spans="3:19" s="329" customFormat="1" ht="11.25" customHeight="1">
      <c r="D22" s="372"/>
      <c r="E22" s="334" t="s">
        <v>642</v>
      </c>
      <c r="H22" s="2628"/>
      <c r="I22" s="2689"/>
      <c r="J22" s="2690"/>
      <c r="K22" s="1391" t="s">
        <v>2808</v>
      </c>
      <c r="L22" s="2628"/>
      <c r="M22" s="2689"/>
      <c r="N22" s="2690"/>
      <c r="O22" s="1387" t="s">
        <v>1869</v>
      </c>
      <c r="Q22" s="2636"/>
      <c r="R22" s="2641"/>
      <c r="S22" s="2637"/>
    </row>
    <row r="23" spans="3:19" s="329" customFormat="1" ht="11.25" customHeight="1">
      <c r="E23" s="334" t="s">
        <v>1865</v>
      </c>
      <c r="H23" s="2642"/>
      <c r="K23" s="1392" t="s">
        <v>2308</v>
      </c>
      <c r="L23" s="2639"/>
      <c r="M23" s="2690"/>
      <c r="O23" s="1387" t="s">
        <v>2054</v>
      </c>
      <c r="Q23" s="2636"/>
      <c r="R23" s="2641"/>
      <c r="S23" s="2637"/>
    </row>
    <row r="24" spans="3:19" s="329" customFormat="1" ht="11.25" customHeight="1">
      <c r="D24" s="372"/>
      <c r="E24" s="334" t="s">
        <v>2060</v>
      </c>
      <c r="H24" s="2636"/>
      <c r="I24" s="2637"/>
      <c r="J24" s="2752"/>
      <c r="K24" s="1401" t="s">
        <v>2059</v>
      </c>
      <c r="L24" s="2643"/>
      <c r="M24" s="2644"/>
      <c r="N24" s="2644"/>
      <c r="O24" s="2644"/>
      <c r="P24" s="2644"/>
      <c r="Q24" s="2644"/>
      <c r="R24" s="2644"/>
      <c r="S24" s="2645"/>
    </row>
    <row r="25" spans="3:19" s="329" customFormat="1" ht="4.1500000000000004" customHeight="1">
      <c r="D25" s="372"/>
      <c r="E25" s="1397"/>
      <c r="F25" s="1397"/>
      <c r="G25" s="1387"/>
      <c r="H25" s="2753"/>
      <c r="I25" s="2753"/>
      <c r="J25" s="2753"/>
      <c r="K25" s="1401"/>
      <c r="L25" s="2753"/>
      <c r="M25" s="2753"/>
      <c r="N25" s="1389"/>
      <c r="O25" s="1382"/>
      <c r="P25" s="1382"/>
      <c r="Q25" s="1401"/>
      <c r="R25" s="1382"/>
      <c r="S25" s="1382"/>
    </row>
    <row r="26" spans="3:19" s="329" customFormat="1" ht="11.25" customHeight="1">
      <c r="D26" s="331" t="s">
        <v>1800</v>
      </c>
      <c r="E26" s="329" t="s">
        <v>1927</v>
      </c>
      <c r="F26" s="1397"/>
      <c r="H26" s="2628"/>
      <c r="I26" s="2689"/>
      <c r="J26" s="2689"/>
      <c r="K26" s="2689"/>
      <c r="L26" s="2689"/>
      <c r="M26" s="2689"/>
      <c r="N26" s="2690"/>
      <c r="O26" s="1387" t="s">
        <v>2065</v>
      </c>
      <c r="P26" s="1387"/>
      <c r="Q26" s="2628"/>
      <c r="R26" s="2689"/>
      <c r="S26" s="2690"/>
    </row>
    <row r="27" spans="3:19" s="329" customFormat="1" ht="11.25" customHeight="1">
      <c r="D27" s="372"/>
      <c r="E27" s="334" t="s">
        <v>1058</v>
      </c>
      <c r="F27" s="342"/>
      <c r="H27" s="2628"/>
      <c r="I27" s="2689"/>
      <c r="J27" s="2689"/>
      <c r="K27" s="2689"/>
      <c r="L27" s="2689"/>
      <c r="M27" s="2689"/>
      <c r="N27" s="2690"/>
      <c r="O27" s="1387" t="s">
        <v>1813</v>
      </c>
      <c r="Q27" s="2628"/>
      <c r="R27" s="2689"/>
      <c r="S27" s="2690"/>
    </row>
    <row r="28" spans="3:19" s="329" customFormat="1" ht="11.25" customHeight="1">
      <c r="D28" s="372"/>
      <c r="E28" s="334" t="s">
        <v>642</v>
      </c>
      <c r="H28" s="2628"/>
      <c r="I28" s="2689"/>
      <c r="J28" s="2690"/>
      <c r="K28" s="1391" t="s">
        <v>2808</v>
      </c>
      <c r="L28" s="2628"/>
      <c r="M28" s="2689"/>
      <c r="N28" s="2690"/>
      <c r="O28" s="1387" t="s">
        <v>1869</v>
      </c>
      <c r="Q28" s="2636"/>
      <c r="R28" s="2641"/>
      <c r="S28" s="2637"/>
    </row>
    <row r="29" spans="3:19" s="329" customFormat="1" ht="11.25" customHeight="1">
      <c r="E29" s="334" t="s">
        <v>1865</v>
      </c>
      <c r="H29" s="2642"/>
      <c r="K29" s="1392" t="s">
        <v>2308</v>
      </c>
      <c r="L29" s="2639"/>
      <c r="M29" s="2690"/>
      <c r="O29" s="1387" t="s">
        <v>2054</v>
      </c>
      <c r="Q29" s="2636"/>
      <c r="R29" s="2641"/>
      <c r="S29" s="2637"/>
    </row>
    <row r="30" spans="3:19" s="329" customFormat="1" ht="11.25" customHeight="1">
      <c r="D30" s="372"/>
      <c r="E30" s="334" t="s">
        <v>2060</v>
      </c>
      <c r="H30" s="2636"/>
      <c r="I30" s="2637"/>
      <c r="J30" s="2752"/>
      <c r="K30" s="1401" t="s">
        <v>2059</v>
      </c>
      <c r="L30" s="2643"/>
      <c r="M30" s="2644"/>
      <c r="N30" s="2644"/>
      <c r="O30" s="2644"/>
      <c r="P30" s="2644"/>
      <c r="Q30" s="2644"/>
      <c r="R30" s="2644"/>
      <c r="S30" s="2645"/>
    </row>
    <row r="31" spans="3:19" ht="4.1500000000000004" customHeight="1"/>
    <row r="32" spans="3:19" s="329" customFormat="1" ht="11.25" customHeight="1">
      <c r="C32" s="374" t="s">
        <v>2064</v>
      </c>
      <c r="D32" s="371" t="s">
        <v>1929</v>
      </c>
      <c r="H32" s="1397"/>
      <c r="I32" s="1397"/>
      <c r="J32" s="1397"/>
      <c r="K32" s="1397"/>
      <c r="L32" s="1397"/>
      <c r="M32" s="1397"/>
    </row>
    <row r="33" spans="3:19" s="329" customFormat="1" ht="11.25" customHeight="1">
      <c r="D33" s="331" t="s">
        <v>2194</v>
      </c>
      <c r="E33" s="329" t="s">
        <v>780</v>
      </c>
      <c r="H33" s="2628" t="s">
        <v>4253</v>
      </c>
      <c r="I33" s="2689"/>
      <c r="J33" s="2689"/>
      <c r="K33" s="2689"/>
      <c r="L33" s="2689"/>
      <c r="M33" s="2689"/>
      <c r="N33" s="2690"/>
      <c r="O33" s="1387" t="s">
        <v>2065</v>
      </c>
      <c r="P33" s="1387"/>
      <c r="Q33" s="2628" t="s">
        <v>4260</v>
      </c>
      <c r="R33" s="2689"/>
      <c r="S33" s="2690"/>
    </row>
    <row r="34" spans="3:19" s="329" customFormat="1" ht="11.25" customHeight="1">
      <c r="D34" s="372"/>
      <c r="E34" s="334" t="s">
        <v>1058</v>
      </c>
      <c r="F34" s="342"/>
      <c r="H34" s="2628" t="s">
        <v>4257</v>
      </c>
      <c r="I34" s="2689"/>
      <c r="J34" s="2689"/>
      <c r="K34" s="2689"/>
      <c r="L34" s="2689"/>
      <c r="M34" s="2689"/>
      <c r="N34" s="2690"/>
      <c r="O34" s="1387" t="s">
        <v>1813</v>
      </c>
      <c r="Q34" s="2628" t="s">
        <v>4261</v>
      </c>
      <c r="R34" s="2689"/>
      <c r="S34" s="2690"/>
    </row>
    <row r="35" spans="3:19" s="329" customFormat="1" ht="11.25" customHeight="1">
      <c r="D35" s="372"/>
      <c r="E35" s="334" t="s">
        <v>642</v>
      </c>
      <c r="H35" s="2628" t="s">
        <v>2616</v>
      </c>
      <c r="I35" s="2689"/>
      <c r="J35" s="2690"/>
      <c r="K35" s="1391" t="s">
        <v>2808</v>
      </c>
      <c r="L35" s="2628" t="s">
        <v>4258</v>
      </c>
      <c r="M35" s="2689"/>
      <c r="N35" s="2690"/>
      <c r="O35" s="1387" t="s">
        <v>1869</v>
      </c>
      <c r="Q35" s="2636">
        <v>5734432021</v>
      </c>
      <c r="R35" s="2641"/>
      <c r="S35" s="2637"/>
    </row>
    <row r="36" spans="3:19" s="329" customFormat="1" ht="11.25" customHeight="1">
      <c r="E36" s="334" t="s">
        <v>1865</v>
      </c>
      <c r="H36" s="2642" t="s">
        <v>1391</v>
      </c>
      <c r="K36" s="1392" t="s">
        <v>2308</v>
      </c>
      <c r="L36" s="2639">
        <v>652030000</v>
      </c>
      <c r="M36" s="2690"/>
      <c r="O36" s="1387" t="s">
        <v>2054</v>
      </c>
      <c r="Q36" s="2636">
        <v>5734248811</v>
      </c>
      <c r="R36" s="2641"/>
      <c r="S36" s="2637"/>
    </row>
    <row r="37" spans="3:19" s="329" customFormat="1" ht="11.25" customHeight="1">
      <c r="D37" s="372"/>
      <c r="E37" s="334" t="s">
        <v>2060</v>
      </c>
      <c r="H37" s="2636">
        <v>5734432021</v>
      </c>
      <c r="I37" s="2637"/>
      <c r="J37" s="2752"/>
      <c r="K37" s="1401" t="s">
        <v>2059</v>
      </c>
      <c r="L37" s="2643" t="s">
        <v>4259</v>
      </c>
      <c r="M37" s="2644"/>
      <c r="N37" s="2644"/>
      <c r="O37" s="2644"/>
      <c r="P37" s="2644"/>
      <c r="Q37" s="2644"/>
      <c r="R37" s="2644"/>
      <c r="S37" s="2645"/>
    </row>
    <row r="38" spans="3:19" ht="4.1500000000000004" customHeight="1">
      <c r="H38" s="2753"/>
      <c r="I38" s="2753"/>
      <c r="J38" s="2753"/>
      <c r="K38" s="1401"/>
      <c r="L38" s="2753"/>
      <c r="M38" s="2753"/>
      <c r="N38" s="1389"/>
      <c r="O38" s="1382"/>
      <c r="P38" s="1382"/>
      <c r="Q38" s="1401"/>
      <c r="R38" s="1382"/>
      <c r="S38" s="1382"/>
    </row>
    <row r="39" spans="3:19" s="329" customFormat="1" ht="11.25" customHeight="1">
      <c r="D39" s="331" t="s">
        <v>2195</v>
      </c>
      <c r="E39" s="329" t="s">
        <v>781</v>
      </c>
      <c r="F39" s="331"/>
      <c r="H39" s="2628" t="s">
        <v>4253</v>
      </c>
      <c r="I39" s="2689"/>
      <c r="J39" s="2689"/>
      <c r="K39" s="2689"/>
      <c r="L39" s="2689"/>
      <c r="M39" s="2689"/>
      <c r="N39" s="2690"/>
      <c r="O39" s="1387" t="s">
        <v>2065</v>
      </c>
      <c r="P39" s="1387"/>
      <c r="Q39" s="2628" t="s">
        <v>4260</v>
      </c>
      <c r="R39" s="2689"/>
      <c r="S39" s="2690"/>
    </row>
    <row r="40" spans="3:19" s="329" customFormat="1" ht="11.25" customHeight="1">
      <c r="D40" s="372"/>
      <c r="E40" s="334" t="s">
        <v>1058</v>
      </c>
      <c r="F40" s="342"/>
      <c r="H40" s="2628" t="s">
        <v>4257</v>
      </c>
      <c r="I40" s="2689"/>
      <c r="J40" s="2689"/>
      <c r="K40" s="2689"/>
      <c r="L40" s="2689"/>
      <c r="M40" s="2689"/>
      <c r="N40" s="2690"/>
      <c r="O40" s="1387" t="s">
        <v>1813</v>
      </c>
      <c r="Q40" s="2628" t="s">
        <v>4261</v>
      </c>
      <c r="R40" s="2689"/>
      <c r="S40" s="2690"/>
    </row>
    <row r="41" spans="3:19" s="329" customFormat="1" ht="11.25" customHeight="1">
      <c r="D41" s="372"/>
      <c r="E41" s="334" t="s">
        <v>642</v>
      </c>
      <c r="H41" s="2628" t="s">
        <v>2616</v>
      </c>
      <c r="I41" s="2689"/>
      <c r="J41" s="2690"/>
      <c r="K41" s="1391" t="s">
        <v>2808</v>
      </c>
      <c r="L41" s="2628" t="s">
        <v>4258</v>
      </c>
      <c r="M41" s="2689"/>
      <c r="N41" s="2690"/>
      <c r="O41" s="1387" t="s">
        <v>1869</v>
      </c>
      <c r="Q41" s="2636">
        <v>5734432021</v>
      </c>
      <c r="R41" s="2641"/>
      <c r="S41" s="2637"/>
    </row>
    <row r="42" spans="3:19" s="329" customFormat="1" ht="11.25" customHeight="1">
      <c r="D42" s="331"/>
      <c r="E42" s="334" t="s">
        <v>1865</v>
      </c>
      <c r="H42" s="2642" t="s">
        <v>1391</v>
      </c>
      <c r="K42" s="1392" t="s">
        <v>2308</v>
      </c>
      <c r="L42" s="2639">
        <v>652034905</v>
      </c>
      <c r="M42" s="2690"/>
      <c r="O42" s="1387" t="s">
        <v>2054</v>
      </c>
      <c r="Q42" s="2636">
        <v>5734248811</v>
      </c>
      <c r="R42" s="2641"/>
      <c r="S42" s="2637"/>
    </row>
    <row r="43" spans="3:19" s="329" customFormat="1" ht="11.25" customHeight="1">
      <c r="D43" s="372"/>
      <c r="E43" s="334" t="s">
        <v>2060</v>
      </c>
      <c r="H43" s="2636">
        <v>5734432021</v>
      </c>
      <c r="I43" s="2637"/>
      <c r="J43" s="2752"/>
      <c r="K43" s="1401" t="s">
        <v>2059</v>
      </c>
      <c r="L43" s="2643" t="s">
        <v>4259</v>
      </c>
      <c r="M43" s="2644"/>
      <c r="N43" s="2644"/>
      <c r="O43" s="2644"/>
      <c r="P43" s="2644"/>
      <c r="Q43" s="2644"/>
      <c r="R43" s="2644"/>
      <c r="S43" s="2645"/>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2622</v>
      </c>
      <c r="D45" s="371" t="s">
        <v>676</v>
      </c>
      <c r="H45" s="1397"/>
      <c r="I45" s="1397"/>
      <c r="J45" s="1397"/>
      <c r="K45" s="1397"/>
      <c r="L45" s="1397"/>
      <c r="M45" s="1397"/>
    </row>
    <row r="46" spans="3:19" s="329" customFormat="1" ht="11.25" customHeight="1">
      <c r="E46" s="329" t="s">
        <v>94</v>
      </c>
      <c r="H46" s="2628"/>
      <c r="I46" s="2689"/>
      <c r="J46" s="2689"/>
      <c r="K46" s="2689"/>
      <c r="L46" s="2689"/>
      <c r="M46" s="2689"/>
      <c r="N46" s="2690"/>
      <c r="O46" s="1387" t="s">
        <v>2065</v>
      </c>
      <c r="P46" s="1387"/>
      <c r="Q46" s="2628"/>
      <c r="R46" s="2689"/>
      <c r="S46" s="2690"/>
    </row>
    <row r="47" spans="3:19" s="329" customFormat="1" ht="11.25" customHeight="1">
      <c r="D47" s="372"/>
      <c r="E47" s="334" t="s">
        <v>1058</v>
      </c>
      <c r="F47" s="342"/>
      <c r="H47" s="2628"/>
      <c r="I47" s="2689"/>
      <c r="J47" s="2689"/>
      <c r="K47" s="2689"/>
      <c r="L47" s="2689"/>
      <c r="M47" s="2689"/>
      <c r="N47" s="2690"/>
      <c r="O47" s="1387" t="s">
        <v>1813</v>
      </c>
      <c r="Q47" s="2628"/>
      <c r="R47" s="2689"/>
      <c r="S47" s="2690"/>
    </row>
    <row r="48" spans="3:19" s="329" customFormat="1" ht="11.25" customHeight="1">
      <c r="D48" s="372"/>
      <c r="E48" s="334" t="s">
        <v>642</v>
      </c>
      <c r="H48" s="2628"/>
      <c r="I48" s="2689"/>
      <c r="J48" s="2690"/>
      <c r="K48" s="1391" t="s">
        <v>2808</v>
      </c>
      <c r="L48" s="2628"/>
      <c r="M48" s="2689"/>
      <c r="N48" s="2690"/>
      <c r="O48" s="1387" t="s">
        <v>1869</v>
      </c>
      <c r="Q48" s="2636"/>
      <c r="R48" s="2641"/>
      <c r="S48" s="2637"/>
    </row>
    <row r="49" spans="1:19" s="329" customFormat="1" ht="11.25" customHeight="1">
      <c r="E49" s="334" t="s">
        <v>1865</v>
      </c>
      <c r="H49" s="2642"/>
      <c r="K49" s="1392" t="s">
        <v>2308</v>
      </c>
      <c r="L49" s="2639"/>
      <c r="M49" s="2690"/>
      <c r="O49" s="1387" t="s">
        <v>2054</v>
      </c>
      <c r="Q49" s="2636"/>
      <c r="R49" s="2641"/>
      <c r="S49" s="2637"/>
    </row>
    <row r="50" spans="1:19" s="329" customFormat="1" ht="11.25" customHeight="1">
      <c r="D50" s="372"/>
      <c r="E50" s="334" t="s">
        <v>2060</v>
      </c>
      <c r="H50" s="2636"/>
      <c r="I50" s="2637"/>
      <c r="J50" s="2752"/>
      <c r="K50" s="1401" t="s">
        <v>2059</v>
      </c>
      <c r="L50" s="2643"/>
      <c r="M50" s="2644"/>
      <c r="N50" s="2644"/>
      <c r="O50" s="2644"/>
      <c r="P50" s="2644"/>
      <c r="Q50" s="2644"/>
      <c r="R50" s="2644"/>
      <c r="S50" s="2645"/>
    </row>
    <row r="51" spans="1:19" ht="6.75" customHeight="1"/>
    <row r="52" spans="1:19" s="329" customFormat="1" ht="13.15" customHeight="1">
      <c r="A52" s="331" t="s">
        <v>770</v>
      </c>
      <c r="B52" s="331" t="s">
        <v>677</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54"/>
      <c r="I53" s="2754"/>
      <c r="J53" s="2754"/>
      <c r="K53" s="1389"/>
      <c r="L53" s="2754"/>
      <c r="M53" s="2754"/>
      <c r="N53" s="1389"/>
      <c r="O53" s="1382"/>
      <c r="P53" s="1382"/>
      <c r="Q53" s="1401"/>
      <c r="R53" s="1382"/>
      <c r="S53" s="1382"/>
    </row>
    <row r="54" spans="1:19" s="329" customFormat="1" ht="11.25" customHeight="1">
      <c r="B54" s="331" t="s">
        <v>2058</v>
      </c>
      <c r="C54" s="331" t="s">
        <v>295</v>
      </c>
      <c r="H54" s="2628" t="s">
        <v>4248</v>
      </c>
      <c r="I54" s="2689"/>
      <c r="J54" s="2689"/>
      <c r="K54" s="2689"/>
      <c r="L54" s="2689"/>
      <c r="M54" s="2689"/>
      <c r="N54" s="2690"/>
      <c r="O54" s="1387" t="s">
        <v>2065</v>
      </c>
      <c r="P54" s="1387"/>
      <c r="Q54" s="2628" t="s">
        <v>4298</v>
      </c>
      <c r="R54" s="2689"/>
      <c r="S54" s="2690"/>
    </row>
    <row r="55" spans="1:19" s="329" customFormat="1" ht="11.25" customHeight="1">
      <c r="D55" s="372"/>
      <c r="E55" s="334" t="s">
        <v>1058</v>
      </c>
      <c r="F55" s="342"/>
      <c r="H55" s="2628" t="s">
        <v>4307</v>
      </c>
      <c r="I55" s="2689"/>
      <c r="J55" s="2689"/>
      <c r="K55" s="2689"/>
      <c r="L55" s="2689"/>
      <c r="M55" s="2689"/>
      <c r="N55" s="2690"/>
      <c r="O55" s="1387" t="s">
        <v>1813</v>
      </c>
      <c r="Q55" s="2628" t="s">
        <v>4300</v>
      </c>
      <c r="R55" s="2689"/>
      <c r="S55" s="2690"/>
    </row>
    <row r="56" spans="1:19" s="329" customFormat="1" ht="11.25" customHeight="1">
      <c r="D56" s="372"/>
      <c r="E56" s="334" t="s">
        <v>642</v>
      </c>
      <c r="H56" s="2628" t="s">
        <v>4250</v>
      </c>
      <c r="I56" s="2689"/>
      <c r="J56" s="2690"/>
      <c r="K56" s="1391" t="s">
        <v>2808</v>
      </c>
      <c r="L56" s="2628"/>
      <c r="M56" s="2689"/>
      <c r="N56" s="2690"/>
      <c r="O56" s="1387" t="s">
        <v>1869</v>
      </c>
      <c r="Q56" s="2636"/>
      <c r="R56" s="2641"/>
      <c r="S56" s="2637"/>
    </row>
    <row r="57" spans="1:19" s="329" customFormat="1" ht="11.25" customHeight="1">
      <c r="E57" s="334" t="s">
        <v>1865</v>
      </c>
      <c r="H57" s="2642" t="s">
        <v>1402</v>
      </c>
      <c r="K57" s="1392" t="s">
        <v>2308</v>
      </c>
      <c r="L57" s="2639">
        <v>731024617</v>
      </c>
      <c r="M57" s="2690"/>
      <c r="O57" s="1387" t="s">
        <v>2054</v>
      </c>
      <c r="Q57" s="2636"/>
      <c r="R57" s="2641"/>
      <c r="S57" s="2637"/>
    </row>
    <row r="58" spans="1:19" s="329" customFormat="1" ht="11.25" customHeight="1">
      <c r="D58" s="372"/>
      <c r="E58" s="334" t="s">
        <v>2060</v>
      </c>
      <c r="H58" s="2636">
        <v>4056045074</v>
      </c>
      <c r="I58" s="2637"/>
      <c r="J58" s="2752"/>
      <c r="K58" s="1401" t="s">
        <v>2059</v>
      </c>
      <c r="L58" s="2643" t="s">
        <v>4301</v>
      </c>
      <c r="M58" s="2644"/>
      <c r="N58" s="2644"/>
      <c r="O58" s="2644"/>
      <c r="P58" s="2644"/>
      <c r="Q58" s="2644"/>
      <c r="R58" s="2644"/>
      <c r="S58" s="2645"/>
    </row>
    <row r="59" spans="1:19" s="329" customFormat="1" ht="6.6" customHeight="1">
      <c r="D59" s="372"/>
      <c r="E59" s="1397"/>
      <c r="F59" s="1397"/>
      <c r="G59" s="1387"/>
      <c r="H59" s="2753"/>
      <c r="I59" s="2753"/>
      <c r="J59" s="2753"/>
      <c r="K59" s="1401"/>
      <c r="L59" s="2753"/>
      <c r="M59" s="2753"/>
      <c r="N59" s="1389"/>
      <c r="O59" s="1382"/>
      <c r="P59" s="1382"/>
      <c r="Q59" s="1401"/>
      <c r="R59" s="1382"/>
      <c r="S59" s="1382"/>
    </row>
    <row r="60" spans="1:19" s="329" customFormat="1" ht="11.25" customHeight="1">
      <c r="B60" s="331" t="s">
        <v>2061</v>
      </c>
      <c r="C60" s="331" t="s">
        <v>296</v>
      </c>
      <c r="H60" s="2628"/>
      <c r="I60" s="2689"/>
      <c r="J60" s="2689"/>
      <c r="K60" s="2689"/>
      <c r="L60" s="2689"/>
      <c r="M60" s="2689"/>
      <c r="N60" s="2690"/>
      <c r="O60" s="1387" t="s">
        <v>2065</v>
      </c>
      <c r="P60" s="1387"/>
      <c r="Q60" s="2628"/>
      <c r="R60" s="2689"/>
      <c r="S60" s="2690"/>
    </row>
    <row r="61" spans="1:19" s="329" customFormat="1" ht="11.25" customHeight="1">
      <c r="D61" s="372"/>
      <c r="E61" s="334" t="s">
        <v>1058</v>
      </c>
      <c r="F61" s="342"/>
      <c r="H61" s="2628"/>
      <c r="I61" s="2689"/>
      <c r="J61" s="2689"/>
      <c r="K61" s="2689"/>
      <c r="L61" s="2689"/>
      <c r="M61" s="2689"/>
      <c r="N61" s="2690"/>
      <c r="O61" s="1387" t="s">
        <v>1813</v>
      </c>
      <c r="Q61" s="2628"/>
      <c r="R61" s="2689"/>
      <c r="S61" s="2690"/>
    </row>
    <row r="62" spans="1:19" s="329" customFormat="1" ht="11.25" customHeight="1">
      <c r="D62" s="372"/>
      <c r="E62" s="334" t="s">
        <v>642</v>
      </c>
      <c r="H62" s="2628"/>
      <c r="I62" s="2689"/>
      <c r="J62" s="2690"/>
      <c r="K62" s="1391" t="s">
        <v>2808</v>
      </c>
      <c r="L62" s="2628"/>
      <c r="M62" s="2689"/>
      <c r="N62" s="2690"/>
      <c r="O62" s="1387" t="s">
        <v>1869</v>
      </c>
      <c r="Q62" s="2636"/>
      <c r="R62" s="2641"/>
      <c r="S62" s="2637"/>
    </row>
    <row r="63" spans="1:19" s="329" customFormat="1" ht="11.25" customHeight="1">
      <c r="E63" s="334" t="s">
        <v>1865</v>
      </c>
      <c r="H63" s="2642"/>
      <c r="K63" s="1392" t="s">
        <v>2308</v>
      </c>
      <c r="L63" s="2639"/>
      <c r="M63" s="2690"/>
      <c r="O63" s="1387" t="s">
        <v>2054</v>
      </c>
      <c r="Q63" s="2636"/>
      <c r="R63" s="2641"/>
      <c r="S63" s="2637"/>
    </row>
    <row r="64" spans="1:19" s="329" customFormat="1" ht="11.25" customHeight="1">
      <c r="D64" s="372"/>
      <c r="E64" s="334" t="s">
        <v>2060</v>
      </c>
      <c r="H64" s="2636"/>
      <c r="I64" s="2637"/>
      <c r="J64" s="2752"/>
      <c r="K64" s="1401" t="s">
        <v>2059</v>
      </c>
      <c r="L64" s="2643"/>
      <c r="M64" s="2644"/>
      <c r="N64" s="2644"/>
      <c r="O64" s="2644"/>
      <c r="P64" s="2644"/>
      <c r="Q64" s="2644"/>
      <c r="R64" s="2644"/>
      <c r="S64" s="2645"/>
    </row>
    <row r="65" spans="1:19" s="329" customFormat="1" ht="6.6" customHeight="1">
      <c r="D65" s="372"/>
      <c r="E65" s="1397"/>
      <c r="F65" s="1397"/>
      <c r="G65" s="1387"/>
      <c r="H65" s="2753"/>
      <c r="I65" s="2753"/>
      <c r="J65" s="2753"/>
      <c r="K65" s="1401"/>
      <c r="L65" s="2753"/>
      <c r="M65" s="2753"/>
      <c r="N65" s="1389"/>
      <c r="O65" s="1382"/>
      <c r="P65" s="1382"/>
      <c r="Q65" s="1401"/>
      <c r="R65" s="1382"/>
      <c r="S65" s="1382"/>
    </row>
    <row r="66" spans="1:19" s="329" customFormat="1" ht="11.25" customHeight="1">
      <c r="B66" s="331" t="s">
        <v>779</v>
      </c>
      <c r="C66" s="331" t="s">
        <v>1585</v>
      </c>
      <c r="H66" s="2628"/>
      <c r="I66" s="2689"/>
      <c r="J66" s="2689"/>
      <c r="K66" s="2689"/>
      <c r="L66" s="2689"/>
      <c r="M66" s="2689"/>
      <c r="N66" s="2690"/>
      <c r="O66" s="1387" t="s">
        <v>2065</v>
      </c>
      <c r="P66" s="1387"/>
      <c r="Q66" s="2628"/>
      <c r="R66" s="2689"/>
      <c r="S66" s="2690"/>
    </row>
    <row r="67" spans="1:19" s="329" customFormat="1" ht="11.25" customHeight="1">
      <c r="D67" s="372"/>
      <c r="E67" s="334" t="s">
        <v>1058</v>
      </c>
      <c r="F67" s="342"/>
      <c r="H67" s="2628"/>
      <c r="I67" s="2689"/>
      <c r="J67" s="2689"/>
      <c r="K67" s="2689"/>
      <c r="L67" s="2689"/>
      <c r="M67" s="2689"/>
      <c r="N67" s="2690"/>
      <c r="O67" s="1387" t="s">
        <v>1813</v>
      </c>
      <c r="Q67" s="2628"/>
      <c r="R67" s="2689"/>
      <c r="S67" s="2690"/>
    </row>
    <row r="68" spans="1:19" s="329" customFormat="1" ht="11.25" customHeight="1">
      <c r="D68" s="372"/>
      <c r="E68" s="334" t="s">
        <v>642</v>
      </c>
      <c r="H68" s="2628"/>
      <c r="I68" s="2689"/>
      <c r="J68" s="2690"/>
      <c r="K68" s="1391" t="s">
        <v>2808</v>
      </c>
      <c r="L68" s="2628"/>
      <c r="M68" s="2689"/>
      <c r="N68" s="2690"/>
      <c r="O68" s="1387" t="s">
        <v>1869</v>
      </c>
      <c r="Q68" s="2636"/>
      <c r="R68" s="2641"/>
      <c r="S68" s="2637"/>
    </row>
    <row r="69" spans="1:19" s="329" customFormat="1" ht="11.25" customHeight="1">
      <c r="E69" s="334" t="s">
        <v>1865</v>
      </c>
      <c r="H69" s="2642"/>
      <c r="K69" s="1392" t="s">
        <v>2308</v>
      </c>
      <c r="L69" s="2639"/>
      <c r="M69" s="2690"/>
      <c r="O69" s="1387" t="s">
        <v>2054</v>
      </c>
      <c r="Q69" s="2636"/>
      <c r="R69" s="2641"/>
      <c r="S69" s="2637"/>
    </row>
    <row r="70" spans="1:19" s="329" customFormat="1" ht="11.25" customHeight="1">
      <c r="D70" s="372"/>
      <c r="E70" s="334" t="s">
        <v>2060</v>
      </c>
      <c r="H70" s="2636"/>
      <c r="I70" s="2637"/>
      <c r="J70" s="2752"/>
      <c r="K70" s="1401" t="s">
        <v>2059</v>
      </c>
      <c r="L70" s="2643"/>
      <c r="M70" s="2644"/>
      <c r="N70" s="2644"/>
      <c r="O70" s="2644"/>
      <c r="P70" s="2644"/>
      <c r="Q70" s="2644"/>
      <c r="R70" s="2644"/>
      <c r="S70" s="2645"/>
    </row>
    <row r="71" spans="1:19" ht="6.6" customHeight="1">
      <c r="H71" s="2753"/>
      <c r="I71" s="2753"/>
      <c r="J71" s="2753"/>
      <c r="K71" s="1401"/>
      <c r="L71" s="2753"/>
      <c r="M71" s="2753"/>
      <c r="N71" s="1389"/>
      <c r="O71" s="1382"/>
      <c r="P71" s="1382"/>
      <c r="Q71" s="1401"/>
      <c r="R71" s="1382"/>
      <c r="S71" s="1382"/>
    </row>
    <row r="72" spans="1:19" s="329" customFormat="1" ht="11.25" customHeight="1">
      <c r="B72" s="331" t="s">
        <v>2193</v>
      </c>
      <c r="C72" s="331" t="s">
        <v>297</v>
      </c>
      <c r="H72" s="2628" t="s">
        <v>4328</v>
      </c>
      <c r="I72" s="2689"/>
      <c r="J72" s="2689"/>
      <c r="K72" s="2689"/>
      <c r="L72" s="2689"/>
      <c r="M72" s="2689"/>
      <c r="N72" s="2690"/>
      <c r="O72" s="1387" t="s">
        <v>2065</v>
      </c>
      <c r="P72" s="1387"/>
      <c r="Q72" s="2628" t="s">
        <v>4240</v>
      </c>
      <c r="R72" s="2689"/>
      <c r="S72" s="2690"/>
    </row>
    <row r="73" spans="1:19" s="329" customFormat="1" ht="11.25" customHeight="1">
      <c r="D73" s="372"/>
      <c r="E73" s="334" t="s">
        <v>1058</v>
      </c>
      <c r="F73" s="342"/>
      <c r="H73" s="2628" t="s">
        <v>4273</v>
      </c>
      <c r="I73" s="2689"/>
      <c r="J73" s="2689"/>
      <c r="K73" s="2689"/>
      <c r="L73" s="2689"/>
      <c r="M73" s="2689"/>
      <c r="N73" s="2690"/>
      <c r="O73" s="1387" t="s">
        <v>1813</v>
      </c>
      <c r="Q73" s="2628" t="s">
        <v>4271</v>
      </c>
      <c r="R73" s="2689"/>
      <c r="S73" s="2690"/>
    </row>
    <row r="74" spans="1:19" s="329" customFormat="1" ht="11.25" customHeight="1">
      <c r="D74" s="372"/>
      <c r="E74" s="334" t="s">
        <v>642</v>
      </c>
      <c r="H74" s="2628" t="s">
        <v>1251</v>
      </c>
      <c r="I74" s="2689"/>
      <c r="J74" s="2690"/>
      <c r="K74" s="1391" t="s">
        <v>2808</v>
      </c>
      <c r="L74" s="2628" t="s">
        <v>4274</v>
      </c>
      <c r="M74" s="2689"/>
      <c r="N74" s="2690"/>
      <c r="O74" s="1387" t="s">
        <v>1869</v>
      </c>
      <c r="Q74" s="2636">
        <v>4042021357</v>
      </c>
      <c r="R74" s="2641"/>
      <c r="S74" s="2637"/>
    </row>
    <row r="75" spans="1:19" s="329" customFormat="1" ht="11.25" customHeight="1">
      <c r="E75" s="334" t="s">
        <v>1865</v>
      </c>
      <c r="H75" s="2642" t="s">
        <v>880</v>
      </c>
      <c r="K75" s="1392" t="s">
        <v>2308</v>
      </c>
      <c r="L75" s="2639">
        <v>303423243</v>
      </c>
      <c r="M75" s="2690"/>
      <c r="O75" s="1387" t="s">
        <v>2054</v>
      </c>
      <c r="Q75" s="2636">
        <v>4042021357</v>
      </c>
      <c r="R75" s="2641"/>
      <c r="S75" s="2637"/>
    </row>
    <row r="76" spans="1:19" s="329" customFormat="1" ht="11.25" customHeight="1">
      <c r="D76" s="372"/>
      <c r="E76" s="334" t="s">
        <v>2060</v>
      </c>
      <c r="H76" s="2636">
        <v>4042021357</v>
      </c>
      <c r="I76" s="2637"/>
      <c r="J76" s="2752"/>
      <c r="K76" s="1401" t="s">
        <v>2059</v>
      </c>
      <c r="L76" s="2643" t="s">
        <v>4272</v>
      </c>
      <c r="M76" s="2644"/>
      <c r="N76" s="2644"/>
      <c r="O76" s="2644"/>
      <c r="P76" s="2644"/>
      <c r="Q76" s="2644"/>
      <c r="R76" s="2644"/>
      <c r="S76" s="2645"/>
    </row>
    <row r="77" spans="1:19" ht="6.75" customHeight="1"/>
    <row r="78" spans="1:19" s="334" customFormat="1" ht="13.15" customHeight="1">
      <c r="A78" s="335" t="s">
        <v>772</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54"/>
      <c r="I79" s="2754"/>
      <c r="J79" s="2754"/>
      <c r="K79" s="1389"/>
      <c r="L79" s="2754"/>
      <c r="M79" s="2754"/>
      <c r="N79" s="1389"/>
      <c r="O79" s="1382"/>
      <c r="P79" s="1382"/>
      <c r="Q79" s="1401"/>
      <c r="R79" s="1382"/>
      <c r="S79" s="1382"/>
    </row>
    <row r="80" spans="1:19" s="329" customFormat="1" ht="11.25" customHeight="1">
      <c r="B80" s="331" t="s">
        <v>2058</v>
      </c>
      <c r="C80" s="331" t="s">
        <v>299</v>
      </c>
      <c r="H80" s="2628"/>
      <c r="I80" s="2689"/>
      <c r="J80" s="2689"/>
      <c r="K80" s="2689"/>
      <c r="L80" s="2689"/>
      <c r="M80" s="2689"/>
      <c r="N80" s="2690"/>
      <c r="O80" s="1387" t="s">
        <v>2065</v>
      </c>
      <c r="P80" s="1387"/>
      <c r="Q80" s="2628"/>
      <c r="R80" s="2689"/>
      <c r="S80" s="2690"/>
    </row>
    <row r="81" spans="2:19" s="329" customFormat="1" ht="11.25" customHeight="1">
      <c r="D81" s="372"/>
      <c r="E81" s="334" t="s">
        <v>1058</v>
      </c>
      <c r="F81" s="342"/>
      <c r="H81" s="2628"/>
      <c r="I81" s="2689"/>
      <c r="J81" s="2689"/>
      <c r="K81" s="2689"/>
      <c r="L81" s="2689"/>
      <c r="M81" s="2689"/>
      <c r="N81" s="2690"/>
      <c r="O81" s="1387" t="s">
        <v>1813</v>
      </c>
      <c r="Q81" s="2628"/>
      <c r="R81" s="2689"/>
      <c r="S81" s="2690"/>
    </row>
    <row r="82" spans="2:19" s="329" customFormat="1" ht="11.25" customHeight="1">
      <c r="D82" s="372"/>
      <c r="E82" s="334" t="s">
        <v>642</v>
      </c>
      <c r="H82" s="2628"/>
      <c r="I82" s="2689"/>
      <c r="J82" s="2690"/>
      <c r="K82" s="1391" t="s">
        <v>2808</v>
      </c>
      <c r="L82" s="2628"/>
      <c r="M82" s="2689"/>
      <c r="N82" s="2690"/>
      <c r="O82" s="1387" t="s">
        <v>1869</v>
      </c>
      <c r="Q82" s="2636"/>
      <c r="R82" s="2641"/>
      <c r="S82" s="2637"/>
    </row>
    <row r="83" spans="2:19" s="329" customFormat="1" ht="11.25" customHeight="1">
      <c r="E83" s="334" t="s">
        <v>1865</v>
      </c>
      <c r="H83" s="2642"/>
      <c r="K83" s="1392" t="s">
        <v>2308</v>
      </c>
      <c r="L83" s="2639"/>
      <c r="M83" s="2690"/>
      <c r="O83" s="1387" t="s">
        <v>2054</v>
      </c>
      <c r="Q83" s="2636"/>
      <c r="R83" s="2641"/>
      <c r="S83" s="2637"/>
    </row>
    <row r="84" spans="2:19" s="329" customFormat="1" ht="11.25" customHeight="1">
      <c r="D84" s="372"/>
      <c r="E84" s="334" t="s">
        <v>2060</v>
      </c>
      <c r="H84" s="2636"/>
      <c r="I84" s="2637"/>
      <c r="J84" s="2752"/>
      <c r="K84" s="1401" t="s">
        <v>2059</v>
      </c>
      <c r="L84" s="2643"/>
      <c r="M84" s="2644"/>
      <c r="N84" s="2644"/>
      <c r="O84" s="2644"/>
      <c r="P84" s="2644"/>
      <c r="Q84" s="2644"/>
      <c r="R84" s="2644"/>
      <c r="S84" s="2645"/>
    </row>
    <row r="85" spans="2:19" ht="6.6" customHeight="1">
      <c r="H85" s="2753"/>
      <c r="I85" s="2753"/>
      <c r="J85" s="2753"/>
      <c r="K85" s="1401"/>
      <c r="L85" s="2753"/>
      <c r="M85" s="2753"/>
      <c r="N85" s="1389"/>
      <c r="O85" s="1382"/>
      <c r="P85" s="1382"/>
      <c r="Q85" s="1401"/>
      <c r="R85" s="1382"/>
      <c r="S85" s="1382"/>
    </row>
    <row r="86" spans="2:19" s="329" customFormat="1" ht="11.25" customHeight="1">
      <c r="B86" s="331" t="s">
        <v>2061</v>
      </c>
      <c r="C86" s="331" t="s">
        <v>300</v>
      </c>
      <c r="H86" s="2628" t="s">
        <v>4275</v>
      </c>
      <c r="I86" s="2689"/>
      <c r="J86" s="2689"/>
      <c r="K86" s="2689"/>
      <c r="L86" s="2689"/>
      <c r="M86" s="2689"/>
      <c r="N86" s="2690"/>
      <c r="O86" s="1387" t="s">
        <v>2065</v>
      </c>
      <c r="P86" s="1387"/>
      <c r="Q86" s="2628" t="s">
        <v>4277</v>
      </c>
      <c r="R86" s="2689"/>
      <c r="S86" s="2690"/>
    </row>
    <row r="87" spans="2:19" s="329" customFormat="1" ht="11.25" customHeight="1">
      <c r="D87" s="372"/>
      <c r="E87" s="334" t="s">
        <v>1058</v>
      </c>
      <c r="F87" s="342"/>
      <c r="H87" s="2628" t="s">
        <v>4257</v>
      </c>
      <c r="I87" s="2689"/>
      <c r="J87" s="2689"/>
      <c r="K87" s="2689"/>
      <c r="L87" s="2689"/>
      <c r="M87" s="2689"/>
      <c r="N87" s="2690"/>
      <c r="O87" s="1387" t="s">
        <v>1813</v>
      </c>
      <c r="Q87" s="2628" t="s">
        <v>4278</v>
      </c>
      <c r="R87" s="2689"/>
      <c r="S87" s="2690"/>
    </row>
    <row r="88" spans="2:19" s="329" customFormat="1" ht="11.25" customHeight="1">
      <c r="D88" s="372"/>
      <c r="E88" s="334" t="s">
        <v>642</v>
      </c>
      <c r="H88" s="2628" t="s">
        <v>2616</v>
      </c>
      <c r="I88" s="2689"/>
      <c r="J88" s="2690"/>
      <c r="K88" s="1391" t="s">
        <v>2808</v>
      </c>
      <c r="L88" s="2628" t="s">
        <v>4276</v>
      </c>
      <c r="M88" s="2689"/>
      <c r="N88" s="2690"/>
      <c r="O88" s="1387" t="s">
        <v>1869</v>
      </c>
      <c r="Q88" s="2636">
        <v>5734432021</v>
      </c>
      <c r="R88" s="2641"/>
      <c r="S88" s="2637"/>
    </row>
    <row r="89" spans="2:19" s="329" customFormat="1" ht="11.25" customHeight="1">
      <c r="E89" s="334" t="s">
        <v>1865</v>
      </c>
      <c r="H89" s="2642" t="s">
        <v>1391</v>
      </c>
      <c r="K89" s="1392" t="s">
        <v>2308</v>
      </c>
      <c r="L89" s="2639">
        <v>652034905</v>
      </c>
      <c r="M89" s="2690"/>
      <c r="O89" s="1387" t="s">
        <v>2054</v>
      </c>
      <c r="Q89" s="2636">
        <v>4045207495</v>
      </c>
      <c r="R89" s="2641"/>
      <c r="S89" s="2637"/>
    </row>
    <row r="90" spans="2:19" s="329" customFormat="1" ht="11.25" customHeight="1">
      <c r="D90" s="372"/>
      <c r="E90" s="334" t="s">
        <v>2060</v>
      </c>
      <c r="H90" s="2636">
        <v>5734432021</v>
      </c>
      <c r="I90" s="2637"/>
      <c r="J90" s="2752"/>
      <c r="K90" s="1401" t="s">
        <v>2059</v>
      </c>
      <c r="L90" s="2643" t="s">
        <v>4279</v>
      </c>
      <c r="M90" s="2644"/>
      <c r="N90" s="2644"/>
      <c r="O90" s="2644"/>
      <c r="P90" s="2644"/>
      <c r="Q90" s="2644"/>
      <c r="R90" s="2644"/>
      <c r="S90" s="2645"/>
    </row>
    <row r="91" spans="2:19" ht="6.6" customHeight="1">
      <c r="H91" s="2753"/>
      <c r="I91" s="2753"/>
      <c r="J91" s="2753"/>
      <c r="K91" s="1401"/>
      <c r="L91" s="2753"/>
      <c r="M91" s="2753"/>
      <c r="N91" s="1389"/>
      <c r="O91" s="1382"/>
      <c r="P91" s="1382"/>
      <c r="Q91" s="1401"/>
      <c r="R91" s="1382"/>
      <c r="S91" s="1382"/>
    </row>
    <row r="92" spans="2:19" s="329" customFormat="1" ht="11.25" customHeight="1">
      <c r="B92" s="331" t="s">
        <v>779</v>
      </c>
      <c r="C92" s="331" t="s">
        <v>301</v>
      </c>
      <c r="F92" s="348"/>
      <c r="H92" s="2628" t="s">
        <v>4382</v>
      </c>
      <c r="I92" s="2689"/>
      <c r="J92" s="2689"/>
      <c r="K92" s="2689"/>
      <c r="L92" s="2689"/>
      <c r="M92" s="2689"/>
      <c r="N92" s="2690"/>
      <c r="O92" s="1387" t="s">
        <v>2065</v>
      </c>
      <c r="P92" s="1387"/>
      <c r="Q92" s="2628" t="s">
        <v>4365</v>
      </c>
      <c r="R92" s="2689"/>
      <c r="S92" s="2690"/>
    </row>
    <row r="93" spans="2:19" s="329" customFormat="1" ht="11.25" customHeight="1">
      <c r="D93" s="372"/>
      <c r="E93" s="334" t="s">
        <v>1058</v>
      </c>
      <c r="F93" s="342"/>
      <c r="H93" s="2628" t="s">
        <v>4369</v>
      </c>
      <c r="I93" s="2689"/>
      <c r="J93" s="2689"/>
      <c r="K93" s="2689"/>
      <c r="L93" s="2689"/>
      <c r="M93" s="2689"/>
      <c r="N93" s="2690"/>
      <c r="O93" s="1387" t="s">
        <v>1813</v>
      </c>
      <c r="Q93" s="2628" t="s">
        <v>4366</v>
      </c>
      <c r="R93" s="2689"/>
      <c r="S93" s="2690"/>
    </row>
    <row r="94" spans="2:19" s="329" customFormat="1" ht="11.25" customHeight="1">
      <c r="D94" s="372"/>
      <c r="E94" s="334" t="s">
        <v>642</v>
      </c>
      <c r="H94" s="2628" t="s">
        <v>4288</v>
      </c>
      <c r="I94" s="2689"/>
      <c r="J94" s="2690"/>
      <c r="K94" s="1391" t="s">
        <v>2808</v>
      </c>
      <c r="L94" s="2628" t="s">
        <v>4367</v>
      </c>
      <c r="M94" s="2689"/>
      <c r="N94" s="2690"/>
      <c r="O94" s="1387" t="s">
        <v>1869</v>
      </c>
      <c r="Q94" s="2636">
        <v>2057779765</v>
      </c>
      <c r="R94" s="2641"/>
      <c r="S94" s="2637"/>
    </row>
    <row r="95" spans="2:19" s="329" customFormat="1" ht="11.25" customHeight="1">
      <c r="D95" s="372"/>
      <c r="E95" s="334" t="s">
        <v>1865</v>
      </c>
      <c r="H95" s="2642" t="s">
        <v>870</v>
      </c>
      <c r="K95" s="1392" t="s">
        <v>2308</v>
      </c>
      <c r="L95" s="2639">
        <v>352424814</v>
      </c>
      <c r="M95" s="2690"/>
      <c r="O95" s="1387" t="s">
        <v>2054</v>
      </c>
      <c r="Q95" s="2636"/>
      <c r="R95" s="2641"/>
      <c r="S95" s="2637"/>
    </row>
    <row r="96" spans="2:19" s="329" customFormat="1" ht="11.25" customHeight="1">
      <c r="D96" s="372"/>
      <c r="E96" s="334" t="s">
        <v>2060</v>
      </c>
      <c r="H96" s="2636">
        <v>2059803245</v>
      </c>
      <c r="I96" s="2637"/>
      <c r="J96" s="2752"/>
      <c r="K96" s="1401" t="s">
        <v>2059</v>
      </c>
      <c r="L96" s="2643" t="s">
        <v>4368</v>
      </c>
      <c r="M96" s="2644"/>
      <c r="N96" s="2644"/>
      <c r="O96" s="2644"/>
      <c r="P96" s="2644"/>
      <c r="Q96" s="2644"/>
      <c r="R96" s="2644"/>
      <c r="S96" s="2645"/>
    </row>
    <row r="97" spans="2:19" ht="6.6" customHeight="1">
      <c r="H97" s="2753"/>
      <c r="I97" s="2753"/>
      <c r="J97" s="2753"/>
      <c r="K97" s="1401"/>
      <c r="L97" s="2753"/>
      <c r="M97" s="2753"/>
      <c r="N97" s="1389"/>
      <c r="O97" s="1382"/>
      <c r="P97" s="1382"/>
      <c r="Q97" s="1401"/>
      <c r="R97" s="1382"/>
      <c r="S97" s="1382"/>
    </row>
    <row r="98" spans="2:19" s="329" customFormat="1" ht="11.25" customHeight="1">
      <c r="B98" s="331" t="s">
        <v>2193</v>
      </c>
      <c r="C98" s="331" t="s">
        <v>302</v>
      </c>
      <c r="H98" s="2628" t="s">
        <v>4280</v>
      </c>
      <c r="I98" s="2689"/>
      <c r="J98" s="2689"/>
      <c r="K98" s="2689"/>
      <c r="L98" s="2689"/>
      <c r="M98" s="2689"/>
      <c r="N98" s="2690"/>
      <c r="O98" s="1387" t="s">
        <v>2065</v>
      </c>
      <c r="P98" s="1387"/>
      <c r="Q98" s="2628" t="s">
        <v>4284</v>
      </c>
      <c r="R98" s="2689"/>
      <c r="S98" s="2690"/>
    </row>
    <row r="99" spans="2:19" s="329" customFormat="1" ht="11.25" customHeight="1">
      <c r="D99" s="372"/>
      <c r="E99" s="334" t="s">
        <v>1058</v>
      </c>
      <c r="F99" s="342"/>
      <c r="H99" s="2628" t="s">
        <v>4281</v>
      </c>
      <c r="I99" s="2689"/>
      <c r="J99" s="2689"/>
      <c r="K99" s="2689"/>
      <c r="L99" s="2689"/>
      <c r="M99" s="2689"/>
      <c r="N99" s="2690"/>
      <c r="O99" s="1387" t="s">
        <v>1813</v>
      </c>
      <c r="Q99" s="2628" t="s">
        <v>4285</v>
      </c>
      <c r="R99" s="2689"/>
      <c r="S99" s="2690"/>
    </row>
    <row r="100" spans="2:19" s="329" customFormat="1" ht="11.25" customHeight="1">
      <c r="D100" s="372"/>
      <c r="E100" s="334" t="s">
        <v>642</v>
      </c>
      <c r="H100" s="2628" t="s">
        <v>1760</v>
      </c>
      <c r="I100" s="2689"/>
      <c r="J100" s="2690"/>
      <c r="K100" s="1391" t="s">
        <v>2808</v>
      </c>
      <c r="L100" s="2628" t="s">
        <v>4282</v>
      </c>
      <c r="M100" s="2689"/>
      <c r="N100" s="2690"/>
      <c r="O100" s="1387" t="s">
        <v>1869</v>
      </c>
      <c r="Q100" s="2636">
        <v>2296718216</v>
      </c>
      <c r="R100" s="2641"/>
      <c r="S100" s="2637"/>
    </row>
    <row r="101" spans="2:19" s="329" customFormat="1" ht="11.25" customHeight="1">
      <c r="D101" s="372"/>
      <c r="E101" s="334" t="s">
        <v>1865</v>
      </c>
      <c r="H101" s="2642" t="s">
        <v>880</v>
      </c>
      <c r="K101" s="1392" t="s">
        <v>2308</v>
      </c>
      <c r="L101" s="2639">
        <v>316014531</v>
      </c>
      <c r="M101" s="2690"/>
      <c r="O101" s="1387" t="s">
        <v>2054</v>
      </c>
      <c r="Q101" s="2636">
        <v>2295484476</v>
      </c>
      <c r="R101" s="2641"/>
      <c r="S101" s="2637"/>
    </row>
    <row r="102" spans="2:19" ht="11.25" customHeight="1">
      <c r="E102" s="334" t="s">
        <v>2060</v>
      </c>
      <c r="F102" s="329"/>
      <c r="G102" s="329"/>
      <c r="H102" s="2636">
        <v>2292427562</v>
      </c>
      <c r="I102" s="2637"/>
      <c r="J102" s="2752"/>
      <c r="K102" s="1401" t="s">
        <v>2059</v>
      </c>
      <c r="L102" s="2643" t="s">
        <v>4283</v>
      </c>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401"/>
      <c r="R103" s="1401"/>
      <c r="S103" s="2755"/>
    </row>
    <row r="104" spans="2:19" ht="0.6" customHeight="1">
      <c r="E104" s="334"/>
      <c r="F104" s="329"/>
      <c r="G104" s="1397"/>
      <c r="H104" s="2754"/>
      <c r="I104" s="2754"/>
      <c r="J104" s="2754"/>
      <c r="K104" s="1389"/>
      <c r="L104" s="2754"/>
      <c r="M104" s="2754"/>
      <c r="N104" s="1389"/>
      <c r="O104" s="1382"/>
      <c r="P104" s="1382"/>
      <c r="Q104" s="1401"/>
      <c r="R104" s="1382"/>
      <c r="S104" s="1382"/>
    </row>
    <row r="105" spans="2:19" s="329" customFormat="1" ht="11.25" customHeight="1">
      <c r="B105" s="331" t="s">
        <v>1801</v>
      </c>
      <c r="C105" s="331" t="s">
        <v>303</v>
      </c>
      <c r="H105" s="2628" t="s">
        <v>4286</v>
      </c>
      <c r="I105" s="2689"/>
      <c r="J105" s="2689"/>
      <c r="K105" s="2689"/>
      <c r="L105" s="2689"/>
      <c r="M105" s="2689"/>
      <c r="N105" s="2690"/>
      <c r="O105" s="1387" t="s">
        <v>2065</v>
      </c>
      <c r="P105" s="1387"/>
      <c r="Q105" s="2628" t="s">
        <v>4291</v>
      </c>
      <c r="R105" s="2689"/>
      <c r="S105" s="2690"/>
    </row>
    <row r="106" spans="2:19" s="329" customFormat="1" ht="11.25" customHeight="1">
      <c r="D106" s="372"/>
      <c r="E106" s="334" t="s">
        <v>1058</v>
      </c>
      <c r="F106" s="342"/>
      <c r="H106" s="2628" t="s">
        <v>4287</v>
      </c>
      <c r="I106" s="2689"/>
      <c r="J106" s="2689"/>
      <c r="K106" s="2689"/>
      <c r="L106" s="2689"/>
      <c r="M106" s="2689"/>
      <c r="N106" s="2690"/>
      <c r="O106" s="1387" t="s">
        <v>1813</v>
      </c>
      <c r="Q106" s="2628" t="s">
        <v>4285</v>
      </c>
      <c r="R106" s="2689"/>
      <c r="S106" s="2690"/>
    </row>
    <row r="107" spans="2:19" s="329" customFormat="1" ht="11.25" customHeight="1">
      <c r="D107" s="372"/>
      <c r="E107" s="334" t="s">
        <v>642</v>
      </c>
      <c r="H107" s="2628" t="s">
        <v>4288</v>
      </c>
      <c r="I107" s="2689"/>
      <c r="J107" s="2690"/>
      <c r="K107" s="1391" t="s">
        <v>2808</v>
      </c>
      <c r="L107" s="2628" t="s">
        <v>4289</v>
      </c>
      <c r="M107" s="2689"/>
      <c r="N107" s="2690"/>
      <c r="O107" s="1387" t="s">
        <v>1869</v>
      </c>
      <c r="Q107" s="2636"/>
      <c r="R107" s="2641"/>
      <c r="S107" s="2637"/>
    </row>
    <row r="108" spans="2:19" s="329" customFormat="1" ht="11.25" customHeight="1">
      <c r="D108" s="372"/>
      <c r="E108" s="334" t="s">
        <v>1865</v>
      </c>
      <c r="H108" s="2642" t="s">
        <v>870</v>
      </c>
      <c r="K108" s="1392" t="s">
        <v>2308</v>
      </c>
      <c r="L108" s="2639">
        <v>352044803</v>
      </c>
      <c r="M108" s="2690"/>
      <c r="O108" s="1387" t="s">
        <v>2054</v>
      </c>
      <c r="Q108" s="2636">
        <v>3345461281</v>
      </c>
      <c r="R108" s="2641"/>
      <c r="S108" s="2637"/>
    </row>
    <row r="109" spans="2:19" ht="11.25" customHeight="1">
      <c r="E109" s="334" t="s">
        <v>2060</v>
      </c>
      <c r="F109" s="329"/>
      <c r="G109" s="329"/>
      <c r="H109" s="2636">
        <v>2058221010</v>
      </c>
      <c r="I109" s="2637"/>
      <c r="J109" s="2752"/>
      <c r="K109" s="1401" t="s">
        <v>2059</v>
      </c>
      <c r="L109" s="2643" t="s">
        <v>4290</v>
      </c>
      <c r="M109" s="2644"/>
      <c r="N109" s="2644"/>
      <c r="O109" s="2644"/>
      <c r="P109" s="2644"/>
      <c r="Q109" s="2644"/>
      <c r="R109" s="2644"/>
      <c r="S109" s="2645"/>
    </row>
    <row r="110" spans="2:19" ht="6.6" customHeight="1">
      <c r="E110" s="334"/>
      <c r="F110" s="329"/>
      <c r="G110" s="1397"/>
      <c r="H110" s="2753"/>
      <c r="I110" s="2753"/>
      <c r="J110" s="2753"/>
      <c r="K110" s="1401"/>
      <c r="L110" s="2753"/>
      <c r="M110" s="2753"/>
      <c r="N110" s="1389"/>
      <c r="O110" s="1382"/>
      <c r="P110" s="1382"/>
      <c r="Q110" s="1401"/>
      <c r="R110" s="1382"/>
      <c r="S110" s="1382"/>
    </row>
    <row r="111" spans="2:19" s="329" customFormat="1" ht="11.25" customHeight="1">
      <c r="B111" s="331" t="s">
        <v>1802</v>
      </c>
      <c r="C111" s="331" t="s">
        <v>304</v>
      </c>
      <c r="H111" s="2628" t="s">
        <v>4292</v>
      </c>
      <c r="I111" s="2689"/>
      <c r="J111" s="2689"/>
      <c r="K111" s="2689"/>
      <c r="L111" s="2689"/>
      <c r="M111" s="2689"/>
      <c r="N111" s="2690"/>
      <c r="O111" s="1387" t="s">
        <v>2065</v>
      </c>
      <c r="P111" s="1387"/>
      <c r="Q111" s="2628" t="s">
        <v>4295</v>
      </c>
      <c r="R111" s="2689"/>
      <c r="S111" s="2690"/>
    </row>
    <row r="112" spans="2:19" s="329" customFormat="1" ht="11.25" customHeight="1">
      <c r="D112" s="372"/>
      <c r="E112" s="334" t="s">
        <v>1058</v>
      </c>
      <c r="F112" s="342"/>
      <c r="H112" s="2628" t="s">
        <v>4293</v>
      </c>
      <c r="I112" s="2689"/>
      <c r="J112" s="2689"/>
      <c r="K112" s="2689"/>
      <c r="L112" s="2689"/>
      <c r="M112" s="2689"/>
      <c r="N112" s="2690"/>
      <c r="O112" s="1387" t="s">
        <v>1813</v>
      </c>
      <c r="Q112" s="2628" t="s">
        <v>4261</v>
      </c>
      <c r="R112" s="2689"/>
      <c r="S112" s="2690"/>
    </row>
    <row r="113" spans="1:19" s="329" customFormat="1" ht="11.25" customHeight="1">
      <c r="D113" s="372"/>
      <c r="E113" s="334" t="s">
        <v>642</v>
      </c>
      <c r="H113" s="2628" t="s">
        <v>202</v>
      </c>
      <c r="I113" s="2689"/>
      <c r="J113" s="2690"/>
      <c r="K113" s="1391" t="s">
        <v>2808</v>
      </c>
      <c r="L113" s="2628"/>
      <c r="M113" s="2689"/>
      <c r="N113" s="2690"/>
      <c r="O113" s="1387" t="s">
        <v>1869</v>
      </c>
      <c r="Q113" s="2636"/>
      <c r="R113" s="2641"/>
      <c r="S113" s="2637"/>
    </row>
    <row r="114" spans="1:19" s="329" customFormat="1" ht="11.25" customHeight="1">
      <c r="D114" s="376"/>
      <c r="E114" s="334" t="s">
        <v>1865</v>
      </c>
      <c r="H114" s="2642" t="s">
        <v>880</v>
      </c>
      <c r="K114" s="1392" t="s">
        <v>2308</v>
      </c>
      <c r="L114" s="2639">
        <v>300303330</v>
      </c>
      <c r="M114" s="2690"/>
      <c r="O114" s="1387" t="s">
        <v>2054</v>
      </c>
      <c r="Q114" s="2636"/>
      <c r="R114" s="2641"/>
      <c r="S114" s="2637"/>
    </row>
    <row r="115" spans="1:19" s="329" customFormat="1" ht="11.25" customHeight="1">
      <c r="D115" s="376"/>
      <c r="E115" s="334" t="s">
        <v>2060</v>
      </c>
      <c r="H115" s="2636">
        <v>4043732800</v>
      </c>
      <c r="I115" s="2637"/>
      <c r="J115" s="2752"/>
      <c r="K115" s="1401" t="s">
        <v>2059</v>
      </c>
      <c r="L115" s="2643" t="s">
        <v>4294</v>
      </c>
      <c r="M115" s="2644"/>
      <c r="N115" s="2644"/>
      <c r="O115" s="2644"/>
      <c r="P115" s="2644"/>
      <c r="Q115" s="2644"/>
      <c r="R115" s="2644"/>
      <c r="S115" s="2645"/>
    </row>
    <row r="116" spans="1:19" ht="4.5" customHeight="1"/>
    <row r="117" spans="1:19" s="329" customFormat="1" ht="13.15" customHeight="1">
      <c r="A117" s="331" t="s">
        <v>1858</v>
      </c>
      <c r="B117" s="331" t="s">
        <v>2691</v>
      </c>
      <c r="F117" s="331"/>
      <c r="G117" s="1401"/>
      <c r="H117" s="1401"/>
      <c r="I117" s="1401"/>
      <c r="J117" s="1401"/>
      <c r="K117" s="1401"/>
      <c r="L117" s="1401"/>
      <c r="M117" s="1401"/>
      <c r="N117" s="1401"/>
      <c r="O117" s="1401"/>
      <c r="P117" s="1401"/>
      <c r="Q117" s="1391"/>
    </row>
    <row r="118" spans="1:19" s="329" customFormat="1" ht="11.25" customHeight="1">
      <c r="B118" s="331" t="s">
        <v>2058</v>
      </c>
      <c r="C118" s="331" t="s">
        <v>3870</v>
      </c>
      <c r="H118" s="2646" t="s">
        <v>4330</v>
      </c>
      <c r="I118" s="2647"/>
      <c r="J118" s="2648"/>
      <c r="K118" s="1401" t="s">
        <v>2560</v>
      </c>
      <c r="L118" s="2628"/>
      <c r="M118" s="2689"/>
      <c r="N118" s="2690"/>
      <c r="O118" s="334" t="s">
        <v>3871</v>
      </c>
      <c r="Q118" s="2628"/>
      <c r="R118" s="2689"/>
      <c r="S118" s="2690"/>
    </row>
    <row r="119" spans="1:19" s="329" customFormat="1" ht="11.25" customHeight="1">
      <c r="D119" s="372"/>
      <c r="E119" s="334" t="s">
        <v>1058</v>
      </c>
      <c r="F119" s="342"/>
      <c r="H119" s="2628" t="s">
        <v>4331</v>
      </c>
      <c r="I119" s="2689"/>
      <c r="J119" s="2689"/>
      <c r="K119" s="2689"/>
      <c r="L119" s="2689"/>
      <c r="M119" s="2689"/>
      <c r="N119" s="2690"/>
      <c r="O119" s="334" t="s">
        <v>642</v>
      </c>
      <c r="Q119" s="2628" t="s">
        <v>1652</v>
      </c>
      <c r="R119" s="2689"/>
      <c r="S119" s="2690"/>
    </row>
    <row r="120" spans="1:19" s="329" customFormat="1" ht="11.25" customHeight="1">
      <c r="D120" s="372"/>
      <c r="E120" s="334" t="s">
        <v>1865</v>
      </c>
      <c r="H120" s="2642" t="s">
        <v>880</v>
      </c>
      <c r="I120" s="1392" t="s">
        <v>2308</v>
      </c>
      <c r="J120" s="2639"/>
      <c r="K120" s="2690"/>
      <c r="L120" s="1401" t="s">
        <v>2059</v>
      </c>
      <c r="M120" s="2643"/>
      <c r="N120" s="2644"/>
      <c r="O120" s="2644"/>
      <c r="P120" s="2644"/>
      <c r="Q120" s="2644"/>
      <c r="R120" s="2644"/>
      <c r="S120" s="2645"/>
    </row>
    <row r="121" spans="1:19" ht="12" customHeight="1">
      <c r="B121" s="331" t="s">
        <v>2061</v>
      </c>
      <c r="C121" s="331" t="s">
        <v>2973</v>
      </c>
      <c r="H121" s="1380"/>
      <c r="I121" s="1380"/>
      <c r="J121" s="1380"/>
      <c r="K121" s="1380"/>
      <c r="L121" s="1380"/>
      <c r="M121" s="1380"/>
      <c r="N121" s="1380"/>
      <c r="O121" s="1380"/>
      <c r="P121" s="1380"/>
      <c r="Q121" s="1380"/>
      <c r="R121" s="1380"/>
      <c r="S121" s="1380"/>
    </row>
    <row r="122" spans="1:19" ht="11.25" customHeight="1">
      <c r="A122" s="1471" t="s">
        <v>3685</v>
      </c>
      <c r="B122" s="1471"/>
      <c r="C122" s="1471"/>
      <c r="D122" s="1471"/>
      <c r="E122" s="1472"/>
      <c r="F122" s="2756" t="s">
        <v>2597</v>
      </c>
      <c r="G122" s="2757" t="s">
        <v>3746</v>
      </c>
      <c r="H122" s="2758"/>
      <c r="I122" s="2758"/>
      <c r="J122" s="2758"/>
      <c r="K122" s="2758"/>
      <c r="L122" s="2758"/>
      <c r="M122" s="2758"/>
      <c r="N122" s="2758"/>
      <c r="O122" s="2758"/>
      <c r="P122" s="2758"/>
      <c r="Q122" s="2758"/>
      <c r="R122" s="2758"/>
      <c r="S122" s="2759"/>
    </row>
    <row r="123" spans="1:19" s="329" customFormat="1" ht="31.5" customHeight="1">
      <c r="B123" s="575"/>
      <c r="C123" s="819" t="s">
        <v>2062</v>
      </c>
      <c r="D123" s="1473" t="s">
        <v>2974</v>
      </c>
      <c r="E123" s="1474"/>
      <c r="F123" s="2760" t="s">
        <v>3156</v>
      </c>
      <c r="G123" s="2761"/>
      <c r="H123" s="2762"/>
      <c r="I123" s="2762"/>
      <c r="J123" s="2762"/>
      <c r="K123" s="2762"/>
      <c r="L123" s="2762"/>
      <c r="M123" s="2762"/>
      <c r="N123" s="2762"/>
      <c r="O123" s="2762"/>
      <c r="P123" s="2762"/>
      <c r="Q123" s="2762"/>
      <c r="R123" s="2762"/>
      <c r="S123" s="2763"/>
    </row>
    <row r="124" spans="1:19" s="329" customFormat="1" ht="31.5" customHeight="1">
      <c r="B124" s="575"/>
      <c r="C124" s="819" t="s">
        <v>2064</v>
      </c>
      <c r="D124" s="1473" t="s">
        <v>3045</v>
      </c>
      <c r="E124" s="1474"/>
      <c r="F124" s="2764" t="s">
        <v>3156</v>
      </c>
      <c r="G124" s="2765"/>
      <c r="H124" s="2766"/>
      <c r="I124" s="2766"/>
      <c r="J124" s="2766"/>
      <c r="K124" s="2766"/>
      <c r="L124" s="2766"/>
      <c r="M124" s="2766"/>
      <c r="N124" s="2766"/>
      <c r="O124" s="2766"/>
      <c r="P124" s="2766"/>
      <c r="Q124" s="2766"/>
      <c r="R124" s="2766"/>
      <c r="S124" s="2767"/>
    </row>
    <row r="125" spans="1:19" s="329" customFormat="1" ht="31.5" customHeight="1">
      <c r="B125" s="575"/>
      <c r="C125" s="819" t="s">
        <v>2622</v>
      </c>
      <c r="D125" s="1473" t="s">
        <v>3017</v>
      </c>
      <c r="E125" s="1474"/>
      <c r="F125" s="2764" t="s">
        <v>3156</v>
      </c>
      <c r="G125" s="2765"/>
      <c r="H125" s="2766"/>
      <c r="I125" s="2766"/>
      <c r="J125" s="2766"/>
      <c r="K125" s="2766"/>
      <c r="L125" s="2766"/>
      <c r="M125" s="2766"/>
      <c r="N125" s="2766"/>
      <c r="O125" s="2766"/>
      <c r="P125" s="2766"/>
      <c r="Q125" s="2766"/>
      <c r="R125" s="2766"/>
      <c r="S125" s="2767"/>
    </row>
    <row r="126" spans="1:19" s="329" customFormat="1" ht="31.5" customHeight="1">
      <c r="B126" s="575"/>
      <c r="C126" s="819" t="s">
        <v>1270</v>
      </c>
      <c r="D126" s="1473" t="s">
        <v>2975</v>
      </c>
      <c r="E126" s="1474"/>
      <c r="F126" s="2764" t="s">
        <v>3156</v>
      </c>
      <c r="G126" s="2765"/>
      <c r="H126" s="2766"/>
      <c r="I126" s="2766"/>
      <c r="J126" s="2766"/>
      <c r="K126" s="2766"/>
      <c r="L126" s="2766"/>
      <c r="M126" s="2766"/>
      <c r="N126" s="2766"/>
      <c r="O126" s="2766"/>
      <c r="P126" s="2766"/>
      <c r="Q126" s="2766"/>
      <c r="R126" s="2766"/>
      <c r="S126" s="2767"/>
    </row>
    <row r="127" spans="1:19" s="329" customFormat="1" ht="31.5" customHeight="1">
      <c r="B127" s="575"/>
      <c r="C127" s="819" t="s">
        <v>1271</v>
      </c>
      <c r="D127" s="1473" t="s">
        <v>3725</v>
      </c>
      <c r="E127" s="1474"/>
      <c r="F127" s="2764" t="s">
        <v>3156</v>
      </c>
      <c r="G127" s="2765"/>
      <c r="H127" s="2766"/>
      <c r="I127" s="2766"/>
      <c r="J127" s="2766"/>
      <c r="K127" s="2766"/>
      <c r="L127" s="2766"/>
      <c r="M127" s="2766"/>
      <c r="N127" s="2766"/>
      <c r="O127" s="2766"/>
      <c r="P127" s="2766"/>
      <c r="Q127" s="2766"/>
      <c r="R127" s="2766"/>
      <c r="S127" s="2767"/>
    </row>
    <row r="128" spans="1:19" s="329" customFormat="1" ht="31.5" customHeight="1">
      <c r="B128" s="575"/>
      <c r="C128" s="819" t="s">
        <v>1955</v>
      </c>
      <c r="D128" s="1473" t="s">
        <v>3726</v>
      </c>
      <c r="E128" s="1474"/>
      <c r="F128" s="2764" t="s">
        <v>3153</v>
      </c>
      <c r="G128" s="2765" t="s">
        <v>4296</v>
      </c>
      <c r="H128" s="2766"/>
      <c r="I128" s="2766"/>
      <c r="J128" s="2766"/>
      <c r="K128" s="2766"/>
      <c r="L128" s="2766"/>
      <c r="M128" s="2766"/>
      <c r="N128" s="2766"/>
      <c r="O128" s="2766"/>
      <c r="P128" s="2766"/>
      <c r="Q128" s="2766"/>
      <c r="R128" s="2766"/>
      <c r="S128" s="2767"/>
    </row>
    <row r="129" spans="1:19" s="329" customFormat="1" ht="31.5" customHeight="1">
      <c r="B129" s="575"/>
      <c r="C129" s="819" t="s">
        <v>521</v>
      </c>
      <c r="D129" s="1473" t="s">
        <v>2976</v>
      </c>
      <c r="E129" s="1474"/>
      <c r="F129" s="2764" t="s">
        <v>3156</v>
      </c>
      <c r="G129" s="2765"/>
      <c r="H129" s="2766"/>
      <c r="I129" s="2766"/>
      <c r="J129" s="2766"/>
      <c r="K129" s="2766"/>
      <c r="L129" s="2766"/>
      <c r="M129" s="2766"/>
      <c r="N129" s="2766"/>
      <c r="O129" s="2766"/>
      <c r="P129" s="2766"/>
      <c r="Q129" s="2766"/>
      <c r="R129" s="2766"/>
      <c r="S129" s="2767"/>
    </row>
    <row r="130" spans="1:19" s="329" customFormat="1" ht="31.5" customHeight="1">
      <c r="B130" s="575"/>
      <c r="C130" s="819" t="s">
        <v>522</v>
      </c>
      <c r="D130" s="1473" t="s">
        <v>1659</v>
      </c>
      <c r="E130" s="1474"/>
      <c r="F130" s="2768" t="s">
        <v>3153</v>
      </c>
      <c r="G130" s="2769" t="s">
        <v>4385</v>
      </c>
      <c r="H130" s="2770"/>
      <c r="I130" s="2770"/>
      <c r="J130" s="2770"/>
      <c r="K130" s="2770"/>
      <c r="L130" s="2770"/>
      <c r="M130" s="2770"/>
      <c r="N130" s="2770"/>
      <c r="O130" s="2770"/>
      <c r="P130" s="2770"/>
      <c r="Q130" s="2770"/>
      <c r="R130" s="2770"/>
      <c r="S130" s="2771"/>
    </row>
    <row r="131" spans="1:19" s="329" customFormat="1" ht="13.15" customHeight="1">
      <c r="A131" s="331" t="s">
        <v>1858</v>
      </c>
      <c r="B131" s="331" t="s">
        <v>2986</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779</v>
      </c>
      <c r="C133" s="331" t="s">
        <v>2977</v>
      </c>
    </row>
    <row r="134" spans="1:19" s="329" customFormat="1" ht="13.5" customHeight="1">
      <c r="A134" s="1484" t="s">
        <v>664</v>
      </c>
      <c r="B134" s="1485"/>
      <c r="C134" s="1485"/>
      <c r="D134" s="1485"/>
      <c r="E134" s="1505" t="s">
        <v>3691</v>
      </c>
      <c r="F134" s="1506"/>
      <c r="G134" s="1506"/>
      <c r="H134" s="1506"/>
      <c r="I134" s="1507"/>
      <c r="J134" s="1502" t="s">
        <v>3692</v>
      </c>
      <c r="K134" s="1511" t="s">
        <v>3064</v>
      </c>
      <c r="L134" s="1511" t="s">
        <v>3065</v>
      </c>
      <c r="M134" s="1496" t="s">
        <v>3708</v>
      </c>
      <c r="N134" s="1497"/>
      <c r="O134" s="1497"/>
      <c r="P134" s="1497"/>
      <c r="Q134" s="1497"/>
      <c r="R134" s="1497"/>
      <c r="S134" s="1498"/>
    </row>
    <row r="135" spans="1:19" s="329"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9"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9" customFormat="1" ht="23.25" customHeight="1">
      <c r="A137" s="1486"/>
      <c r="B137" s="1487"/>
      <c r="C137" s="1487"/>
      <c r="D137" s="1487"/>
      <c r="E137" s="1490" t="s">
        <v>3724</v>
      </c>
      <c r="F137" s="1491"/>
      <c r="G137" s="1491"/>
      <c r="H137" s="1492"/>
      <c r="I137" s="820"/>
      <c r="J137" s="1503"/>
      <c r="K137" s="1512"/>
      <c r="L137" s="1512"/>
      <c r="M137" s="1499"/>
      <c r="N137" s="1500"/>
      <c r="O137" s="1500"/>
      <c r="P137" s="1500"/>
      <c r="Q137" s="1500"/>
      <c r="R137" s="1500"/>
      <c r="S137" s="1501"/>
    </row>
    <row r="138" spans="1:19" s="329" customFormat="1" ht="13.5" customHeight="1">
      <c r="A138" s="1488"/>
      <c r="B138" s="1489"/>
      <c r="C138" s="1489"/>
      <c r="D138" s="1489"/>
      <c r="E138" s="1493"/>
      <c r="F138" s="1494"/>
      <c r="G138" s="1494"/>
      <c r="H138" s="1495"/>
      <c r="I138" s="1134" t="s">
        <v>2597</v>
      </c>
      <c r="J138" s="1504"/>
      <c r="K138" s="1513"/>
      <c r="L138" s="1512"/>
      <c r="M138" s="406" t="s">
        <v>2597</v>
      </c>
      <c r="N138" s="1456" t="s">
        <v>3063</v>
      </c>
      <c r="O138" s="1456"/>
      <c r="P138" s="1456"/>
      <c r="Q138" s="1456"/>
      <c r="R138" s="1456"/>
      <c r="S138" s="1514"/>
    </row>
    <row r="139" spans="1:19" s="329" customFormat="1" ht="24" customHeight="1">
      <c r="A139" s="1481" t="s">
        <v>3686</v>
      </c>
      <c r="B139" s="1482"/>
      <c r="C139" s="1482"/>
      <c r="D139" s="1483"/>
      <c r="E139" s="2761"/>
      <c r="F139" s="2762"/>
      <c r="G139" s="2762"/>
      <c r="H139" s="2762"/>
      <c r="I139" s="2772" t="s">
        <v>3156</v>
      </c>
      <c r="J139" s="2760" t="s">
        <v>3156</v>
      </c>
      <c r="K139" s="2773" t="s">
        <v>4297</v>
      </c>
      <c r="L139" s="2774">
        <v>1E-4</v>
      </c>
      <c r="M139" s="2775" t="s">
        <v>3156</v>
      </c>
      <c r="N139" s="2776"/>
      <c r="O139" s="2762"/>
      <c r="P139" s="2762"/>
      <c r="Q139" s="2762"/>
      <c r="R139" s="2762"/>
      <c r="S139" s="2763"/>
    </row>
    <row r="140" spans="1:19" s="329" customFormat="1" ht="24" customHeight="1">
      <c r="A140" s="1478" t="s">
        <v>3687</v>
      </c>
      <c r="B140" s="1479"/>
      <c r="C140" s="1479"/>
      <c r="D140" s="1480"/>
      <c r="E140" s="2765"/>
      <c r="F140" s="2766"/>
      <c r="G140" s="2766"/>
      <c r="H140" s="2766"/>
      <c r="I140" s="2777"/>
      <c r="J140" s="2764"/>
      <c r="K140" s="2778"/>
      <c r="L140" s="2779"/>
      <c r="M140" s="2780"/>
      <c r="N140" s="2781"/>
      <c r="O140" s="2766"/>
      <c r="P140" s="2766"/>
      <c r="Q140" s="2766"/>
      <c r="R140" s="2766"/>
      <c r="S140" s="2767"/>
    </row>
    <row r="141" spans="1:19" s="329" customFormat="1" ht="24" customHeight="1">
      <c r="A141" s="1478" t="s">
        <v>3688</v>
      </c>
      <c r="B141" s="1479"/>
      <c r="C141" s="1479"/>
      <c r="D141" s="1480"/>
      <c r="E141" s="2765"/>
      <c r="F141" s="2766"/>
      <c r="G141" s="2766"/>
      <c r="H141" s="2766"/>
      <c r="I141" s="2777"/>
      <c r="J141" s="2764"/>
      <c r="K141" s="2778"/>
      <c r="L141" s="2779"/>
      <c r="M141" s="2780"/>
      <c r="N141" s="2781"/>
      <c r="O141" s="2766"/>
      <c r="P141" s="2766"/>
      <c r="Q141" s="2766"/>
      <c r="R141" s="2766"/>
      <c r="S141" s="2767"/>
    </row>
    <row r="142" spans="1:19" s="329" customFormat="1" ht="24" customHeight="1">
      <c r="A142" s="1478" t="s">
        <v>3689</v>
      </c>
      <c r="B142" s="1479"/>
      <c r="C142" s="1479"/>
      <c r="D142" s="1480"/>
      <c r="E142" s="2765"/>
      <c r="F142" s="2766"/>
      <c r="G142" s="2766"/>
      <c r="H142" s="2766"/>
      <c r="I142" s="2777" t="s">
        <v>3156</v>
      </c>
      <c r="J142" s="2764" t="s">
        <v>3156</v>
      </c>
      <c r="K142" s="2778" t="s">
        <v>4297</v>
      </c>
      <c r="L142" s="2779">
        <v>0.9899</v>
      </c>
      <c r="M142" s="2780" t="s">
        <v>3156</v>
      </c>
      <c r="N142" s="2781" t="s">
        <v>4370</v>
      </c>
      <c r="O142" s="2766"/>
      <c r="P142" s="2766"/>
      <c r="Q142" s="2766"/>
      <c r="R142" s="2766"/>
      <c r="S142" s="2767"/>
    </row>
    <row r="143" spans="1:19" s="329" customFormat="1" ht="24" customHeight="1">
      <c r="A143" s="1478" t="s">
        <v>3690</v>
      </c>
      <c r="B143" s="1479"/>
      <c r="C143" s="1479"/>
      <c r="D143" s="1480"/>
      <c r="E143" s="2765"/>
      <c r="F143" s="2766"/>
      <c r="G143" s="2766"/>
      <c r="H143" s="2766"/>
      <c r="I143" s="2777" t="s">
        <v>3156</v>
      </c>
      <c r="J143" s="2764" t="s">
        <v>3156</v>
      </c>
      <c r="K143" s="2778" t="s">
        <v>4297</v>
      </c>
      <c r="L143" s="2779">
        <v>0.01</v>
      </c>
      <c r="M143" s="2780" t="s">
        <v>3156</v>
      </c>
      <c r="N143" s="2781" t="s">
        <v>4370</v>
      </c>
      <c r="O143" s="2766"/>
      <c r="P143" s="2766"/>
      <c r="Q143" s="2766"/>
      <c r="R143" s="2766"/>
      <c r="S143" s="2767"/>
    </row>
    <row r="144" spans="1:19" s="329" customFormat="1" ht="24" customHeight="1">
      <c r="A144" s="1478" t="s">
        <v>3038</v>
      </c>
      <c r="B144" s="1479"/>
      <c r="C144" s="1479"/>
      <c r="D144" s="1480"/>
      <c r="E144" s="2765"/>
      <c r="F144" s="2766"/>
      <c r="G144" s="2766"/>
      <c r="H144" s="2766"/>
      <c r="I144" s="2777"/>
      <c r="J144" s="2764"/>
      <c r="K144" s="2778"/>
      <c r="L144" s="2779"/>
      <c r="M144" s="2780"/>
      <c r="N144" s="2781"/>
      <c r="O144" s="2766"/>
      <c r="P144" s="2766"/>
      <c r="Q144" s="2766"/>
      <c r="R144" s="2766"/>
      <c r="S144" s="2767"/>
    </row>
    <row r="145" spans="1:24" s="329" customFormat="1" ht="24" customHeight="1">
      <c r="A145" s="1478" t="s">
        <v>678</v>
      </c>
      <c r="B145" s="1479"/>
      <c r="C145" s="1479"/>
      <c r="D145" s="1480"/>
      <c r="E145" s="2765"/>
      <c r="F145" s="2766"/>
      <c r="G145" s="2766"/>
      <c r="H145" s="2766"/>
      <c r="I145" s="2777" t="s">
        <v>3156</v>
      </c>
      <c r="J145" s="2764" t="s">
        <v>3156</v>
      </c>
      <c r="K145" s="2778" t="s">
        <v>4297</v>
      </c>
      <c r="L145" s="2779">
        <v>0</v>
      </c>
      <c r="M145" s="2780" t="s">
        <v>3156</v>
      </c>
      <c r="N145" s="2781"/>
      <c r="O145" s="2766"/>
      <c r="P145" s="2766"/>
      <c r="Q145" s="2766"/>
      <c r="R145" s="2766"/>
      <c r="S145" s="2767"/>
    </row>
    <row r="146" spans="1:24" s="329" customFormat="1" ht="24" customHeight="1">
      <c r="A146" s="1478" t="s">
        <v>3039</v>
      </c>
      <c r="B146" s="1479"/>
      <c r="C146" s="1479"/>
      <c r="D146" s="1480"/>
      <c r="E146" s="2765"/>
      <c r="F146" s="2766"/>
      <c r="G146" s="2766"/>
      <c r="H146" s="2766"/>
      <c r="I146" s="2777"/>
      <c r="J146" s="2764"/>
      <c r="K146" s="2778"/>
      <c r="L146" s="2779"/>
      <c r="M146" s="2780"/>
      <c r="N146" s="2781"/>
      <c r="O146" s="2766"/>
      <c r="P146" s="2766"/>
      <c r="Q146" s="2766"/>
      <c r="R146" s="2766"/>
      <c r="S146" s="2767"/>
    </row>
    <row r="147" spans="1:24" s="329" customFormat="1" ht="24" customHeight="1">
      <c r="A147" s="1478" t="s">
        <v>3040</v>
      </c>
      <c r="B147" s="1479"/>
      <c r="C147" s="1479"/>
      <c r="D147" s="1480"/>
      <c r="E147" s="2765"/>
      <c r="F147" s="2766"/>
      <c r="G147" s="2766"/>
      <c r="H147" s="2766"/>
      <c r="I147" s="2777"/>
      <c r="J147" s="2764"/>
      <c r="K147" s="2778"/>
      <c r="L147" s="2779"/>
      <c r="M147" s="2780"/>
      <c r="N147" s="2781"/>
      <c r="O147" s="2766"/>
      <c r="P147" s="2766"/>
      <c r="Q147" s="2766"/>
      <c r="R147" s="2766"/>
      <c r="S147" s="2767"/>
    </row>
    <row r="148" spans="1:24" s="329" customFormat="1" ht="24" customHeight="1">
      <c r="A148" s="1478" t="s">
        <v>3042</v>
      </c>
      <c r="B148" s="1479"/>
      <c r="C148" s="1479"/>
      <c r="D148" s="1480"/>
      <c r="E148" s="2765"/>
      <c r="F148" s="2766"/>
      <c r="G148" s="2766"/>
      <c r="H148" s="2766"/>
      <c r="I148" s="2777"/>
      <c r="J148" s="2764"/>
      <c r="K148" s="2778"/>
      <c r="L148" s="2779"/>
      <c r="M148" s="2780"/>
      <c r="N148" s="2781"/>
      <c r="O148" s="2766"/>
      <c r="P148" s="2766"/>
      <c r="Q148" s="2766"/>
      <c r="R148" s="2766"/>
      <c r="S148" s="2767"/>
    </row>
    <row r="149" spans="1:24" s="329" customFormat="1" ht="24" customHeight="1">
      <c r="A149" s="1478" t="s">
        <v>3041</v>
      </c>
      <c r="B149" s="1479"/>
      <c r="C149" s="1479"/>
      <c r="D149" s="1480"/>
      <c r="E149" s="2765"/>
      <c r="F149" s="2766"/>
      <c r="G149" s="2766"/>
      <c r="H149" s="2766"/>
      <c r="I149" s="2777" t="s">
        <v>3156</v>
      </c>
      <c r="J149" s="2764" t="s">
        <v>3156</v>
      </c>
      <c r="K149" s="2778" t="s">
        <v>4297</v>
      </c>
      <c r="L149" s="2779">
        <v>0</v>
      </c>
      <c r="M149" s="2780" t="s">
        <v>3156</v>
      </c>
      <c r="N149" s="2781"/>
      <c r="O149" s="2766"/>
      <c r="P149" s="2766"/>
      <c r="Q149" s="2766"/>
      <c r="R149" s="2766"/>
      <c r="S149" s="2767"/>
    </row>
    <row r="150" spans="1:24" s="329" customFormat="1" ht="24" customHeight="1">
      <c r="A150" s="1478" t="s">
        <v>1586</v>
      </c>
      <c r="B150" s="1479"/>
      <c r="C150" s="1479"/>
      <c r="D150" s="1480"/>
      <c r="E150" s="2765"/>
      <c r="F150" s="2766"/>
      <c r="G150" s="2766"/>
      <c r="H150" s="2766"/>
      <c r="I150" s="2777" t="s">
        <v>3156</v>
      </c>
      <c r="J150" s="2764" t="s">
        <v>3156</v>
      </c>
      <c r="K150" s="2778" t="s">
        <v>4297</v>
      </c>
      <c r="L150" s="2779">
        <v>0</v>
      </c>
      <c r="M150" s="2780" t="s">
        <v>3156</v>
      </c>
      <c r="N150" s="2781" t="s">
        <v>4370</v>
      </c>
      <c r="O150" s="2766"/>
      <c r="P150" s="2766"/>
      <c r="Q150" s="2766"/>
      <c r="R150" s="2766"/>
      <c r="S150" s="2767"/>
    </row>
    <row r="151" spans="1:24" s="329" customFormat="1" ht="24" customHeight="1">
      <c r="A151" s="1475" t="s">
        <v>3043</v>
      </c>
      <c r="B151" s="1476"/>
      <c r="C151" s="1476"/>
      <c r="D151" s="1477"/>
      <c r="E151" s="2769"/>
      <c r="F151" s="2770"/>
      <c r="G151" s="2770"/>
      <c r="H151" s="2770"/>
      <c r="I151" s="2782" t="s">
        <v>3156</v>
      </c>
      <c r="J151" s="2768" t="s">
        <v>3156</v>
      </c>
      <c r="K151" s="2783" t="s">
        <v>4297</v>
      </c>
      <c r="L151" s="2784">
        <v>0</v>
      </c>
      <c r="M151" s="2785" t="s">
        <v>3156</v>
      </c>
      <c r="N151" s="2786"/>
      <c r="O151" s="2770"/>
      <c r="P151" s="2770"/>
      <c r="Q151" s="2770"/>
      <c r="R151" s="2770"/>
      <c r="S151" s="2771"/>
    </row>
    <row r="152" spans="1:24" s="1397" customFormat="1" ht="12" customHeight="1">
      <c r="G152" s="340"/>
      <c r="H152" s="340"/>
      <c r="I152" s="340"/>
      <c r="J152" s="1401"/>
      <c r="K152" s="355" t="s">
        <v>558</v>
      </c>
      <c r="L152" s="650">
        <f>SUM(L139:S151)</f>
        <v>1</v>
      </c>
      <c r="M152" s="1401"/>
      <c r="P152" s="338"/>
    </row>
    <row r="153" spans="1:24" ht="11.25" customHeight="1">
      <c r="A153" s="357" t="s">
        <v>1860</v>
      </c>
      <c r="B153" s="371"/>
      <c r="C153" s="357" t="s">
        <v>593</v>
      </c>
      <c r="N153" s="357" t="s">
        <v>549</v>
      </c>
      <c r="O153" s="357" t="s">
        <v>81</v>
      </c>
    </row>
    <row r="154" spans="1:24" ht="60" customHeight="1">
      <c r="A154" s="2728" t="s">
        <v>4383</v>
      </c>
      <c r="B154" s="2729"/>
      <c r="C154" s="2729"/>
      <c r="D154" s="2729"/>
      <c r="E154" s="2729"/>
      <c r="F154" s="2729"/>
      <c r="G154" s="2729"/>
      <c r="H154" s="2729"/>
      <c r="I154" s="2729"/>
      <c r="J154" s="2729"/>
      <c r="K154" s="2729"/>
      <c r="L154" s="2729"/>
      <c r="M154" s="2730"/>
      <c r="N154" s="2731"/>
      <c r="O154" s="2732"/>
      <c r="P154" s="2732"/>
      <c r="Q154" s="2732"/>
      <c r="R154" s="2732"/>
      <c r="S154" s="2733"/>
      <c r="T154" s="1442" t="s">
        <v>2796</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7"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8" t="s">
        <v>870</v>
      </c>
    </row>
    <row r="161" spans="1:16" s="329" customFormat="1" ht="12" customHeight="1">
      <c r="A161" s="372"/>
      <c r="B161" s="348"/>
      <c r="C161" s="348"/>
      <c r="D161" s="348"/>
      <c r="E161" s="348"/>
      <c r="F161" s="348"/>
      <c r="G161" s="348"/>
      <c r="H161" s="348"/>
      <c r="I161" s="348"/>
      <c r="J161" s="348"/>
      <c r="K161" s="348"/>
      <c r="L161" s="348"/>
      <c r="M161" s="348"/>
      <c r="N161" s="348"/>
      <c r="O161" s="348"/>
      <c r="P161" s="2788" t="s">
        <v>871</v>
      </c>
    </row>
    <row r="162" spans="1:16" s="329" customFormat="1" ht="12" customHeight="1">
      <c r="A162" s="372"/>
      <c r="B162" s="348"/>
      <c r="C162" s="348"/>
      <c r="D162" s="348"/>
      <c r="E162" s="348"/>
      <c r="F162" s="348"/>
      <c r="G162" s="348"/>
      <c r="H162" s="348"/>
      <c r="I162" s="348"/>
      <c r="J162" s="348"/>
      <c r="K162" s="348"/>
      <c r="L162" s="348"/>
      <c r="M162" s="348"/>
      <c r="N162" s="348"/>
      <c r="O162" s="348"/>
      <c r="P162" s="2788" t="s">
        <v>872</v>
      </c>
    </row>
    <row r="163" spans="1:16" s="329" customFormat="1" ht="12" customHeight="1">
      <c r="A163" s="543"/>
      <c r="B163" s="348"/>
      <c r="C163" s="348"/>
      <c r="D163" s="348"/>
      <c r="E163" s="348"/>
      <c r="F163" s="348"/>
      <c r="G163" s="348"/>
      <c r="H163" s="348"/>
      <c r="I163" s="348"/>
      <c r="J163" s="348"/>
      <c r="K163" s="348"/>
      <c r="L163" s="348"/>
      <c r="M163" s="348"/>
      <c r="N163" s="348"/>
      <c r="O163" s="348"/>
      <c r="P163" s="2788" t="s">
        <v>873</v>
      </c>
    </row>
    <row r="164" spans="1:16" s="329" customFormat="1" ht="12" customHeight="1">
      <c r="B164" s="348"/>
      <c r="C164" s="348"/>
      <c r="D164" s="348"/>
      <c r="E164" s="348"/>
      <c r="F164" s="348"/>
      <c r="G164" s="348"/>
      <c r="H164" s="348"/>
      <c r="I164" s="348"/>
      <c r="J164" s="348"/>
      <c r="K164" s="348"/>
      <c r="L164" s="348"/>
      <c r="M164" s="348"/>
      <c r="N164" s="348"/>
      <c r="O164" s="348"/>
      <c r="P164" s="2788" t="s">
        <v>874</v>
      </c>
    </row>
    <row r="165" spans="1:16" s="329" customFormat="1" ht="12" customHeight="1">
      <c r="B165" s="348"/>
      <c r="C165" s="348"/>
      <c r="D165" s="348"/>
      <c r="E165" s="348"/>
      <c r="F165" s="348"/>
      <c r="G165" s="348"/>
      <c r="H165" s="348"/>
      <c r="I165" s="348"/>
      <c r="J165" s="348"/>
      <c r="K165" s="348"/>
      <c r="L165" s="348"/>
      <c r="M165" s="348"/>
      <c r="N165" s="348"/>
      <c r="O165" s="348"/>
      <c r="P165" s="2788" t="s">
        <v>875</v>
      </c>
    </row>
    <row r="166" spans="1:16" s="329" customFormat="1" ht="12" customHeight="1">
      <c r="B166" s="348"/>
      <c r="C166" s="348"/>
      <c r="D166" s="348"/>
      <c r="E166" s="348"/>
      <c r="F166" s="348"/>
      <c r="G166" s="348"/>
      <c r="H166" s="348"/>
      <c r="I166" s="348"/>
      <c r="J166" s="348"/>
      <c r="K166" s="348"/>
      <c r="L166" s="348"/>
      <c r="M166" s="348"/>
      <c r="N166" s="348"/>
      <c r="O166" s="348"/>
      <c r="P166" s="2788" t="s">
        <v>876</v>
      </c>
    </row>
    <row r="167" spans="1:16" s="329" customFormat="1" ht="12" customHeight="1">
      <c r="B167" s="348"/>
      <c r="C167" s="348"/>
      <c r="D167" s="348"/>
      <c r="E167" s="348"/>
      <c r="F167" s="348"/>
      <c r="G167" s="348"/>
      <c r="H167" s="348"/>
      <c r="I167" s="348"/>
      <c r="J167" s="348"/>
      <c r="K167" s="348"/>
      <c r="L167" s="348"/>
      <c r="M167" s="348"/>
      <c r="N167" s="348"/>
      <c r="O167" s="348"/>
      <c r="P167" s="2788" t="s">
        <v>877</v>
      </c>
    </row>
    <row r="168" spans="1:16" ht="12" customHeight="1">
      <c r="P168" s="2788" t="s">
        <v>878</v>
      </c>
    </row>
    <row r="169" spans="1:16" ht="12" customHeight="1">
      <c r="A169" s="357"/>
      <c r="P169" s="2788" t="s">
        <v>879</v>
      </c>
    </row>
    <row r="170" spans="1:16" ht="12" customHeight="1">
      <c r="P170" s="2788" t="s">
        <v>880</v>
      </c>
    </row>
    <row r="171" spans="1:16" ht="12" customHeight="1">
      <c r="P171" s="2788" t="s">
        <v>881</v>
      </c>
    </row>
    <row r="172" spans="1:16" ht="12" customHeight="1">
      <c r="P172" s="2788" t="s">
        <v>882</v>
      </c>
    </row>
    <row r="173" spans="1:16" ht="12" customHeight="1">
      <c r="P173" s="2788" t="s">
        <v>883</v>
      </c>
    </row>
    <row r="174" spans="1:16" ht="12" customHeight="1">
      <c r="P174" s="2788" t="s">
        <v>884</v>
      </c>
    </row>
    <row r="175" spans="1:16" ht="12" customHeight="1">
      <c r="P175" s="2788" t="s">
        <v>885</v>
      </c>
    </row>
    <row r="176" spans="1:16" ht="12" customHeight="1">
      <c r="P176" s="2788" t="s">
        <v>886</v>
      </c>
    </row>
    <row r="177" spans="16:16" ht="12" customHeight="1">
      <c r="P177" s="2788" t="s">
        <v>887</v>
      </c>
    </row>
    <row r="178" spans="16:16" ht="12" customHeight="1">
      <c r="P178" s="2788" t="s">
        <v>888</v>
      </c>
    </row>
    <row r="179" spans="16:16" ht="12" customHeight="1">
      <c r="P179" s="2788" t="s">
        <v>889</v>
      </c>
    </row>
    <row r="180" spans="16:16" ht="12" customHeight="1">
      <c r="P180" s="2788" t="s">
        <v>890</v>
      </c>
    </row>
    <row r="181" spans="16:16" ht="12" customHeight="1">
      <c r="P181" s="2788" t="s">
        <v>891</v>
      </c>
    </row>
    <row r="182" spans="16:16" ht="12" customHeight="1">
      <c r="P182" s="2788" t="s">
        <v>892</v>
      </c>
    </row>
    <row r="183" spans="16:16" ht="12" customHeight="1">
      <c r="P183" s="2788" t="s">
        <v>893</v>
      </c>
    </row>
    <row r="184" spans="16:16" ht="12" customHeight="1">
      <c r="P184" s="2788" t="s">
        <v>894</v>
      </c>
    </row>
    <row r="185" spans="16:16" ht="12" customHeight="1">
      <c r="P185" s="2788" t="s">
        <v>1391</v>
      </c>
    </row>
    <row r="186" spans="16:16" ht="12" customHeight="1">
      <c r="P186" s="2788" t="s">
        <v>1392</v>
      </c>
    </row>
    <row r="187" spans="16:16" ht="12" customHeight="1">
      <c r="P187" s="2788" t="s">
        <v>1393</v>
      </c>
    </row>
    <row r="188" spans="16:16" ht="12" customHeight="1">
      <c r="P188" s="2788" t="s">
        <v>1394</v>
      </c>
    </row>
    <row r="189" spans="16:16" ht="12" customHeight="1">
      <c r="P189" s="2788" t="s">
        <v>1395</v>
      </c>
    </row>
    <row r="190" spans="16:16" ht="13.5">
      <c r="P190" s="2788" t="s">
        <v>1396</v>
      </c>
    </row>
    <row r="191" spans="16:16" ht="12" customHeight="1">
      <c r="P191" s="2788" t="s">
        <v>1397</v>
      </c>
    </row>
    <row r="192" spans="16:16" ht="12" customHeight="1">
      <c r="P192" s="2788" t="s">
        <v>1398</v>
      </c>
    </row>
    <row r="193" spans="16:16" ht="12" customHeight="1">
      <c r="P193" s="2788" t="s">
        <v>1399</v>
      </c>
    </row>
    <row r="194" spans="16:16" ht="12" customHeight="1">
      <c r="P194" s="2788" t="s">
        <v>1400</v>
      </c>
    </row>
    <row r="195" spans="16:16" ht="12" customHeight="1">
      <c r="P195" s="2788" t="s">
        <v>1401</v>
      </c>
    </row>
    <row r="196" spans="16:16" ht="12" customHeight="1">
      <c r="P196" s="2788" t="s">
        <v>1402</v>
      </c>
    </row>
    <row r="197" spans="16:16" ht="12" customHeight="1">
      <c r="P197" s="2788" t="s">
        <v>1403</v>
      </c>
    </row>
    <row r="198" spans="16:16" ht="12" customHeight="1">
      <c r="P198" s="2788" t="s">
        <v>1404</v>
      </c>
    </row>
    <row r="199" spans="16:16" ht="12" customHeight="1">
      <c r="P199" s="2788" t="s">
        <v>1405</v>
      </c>
    </row>
    <row r="200" spans="16:16" ht="12" customHeight="1">
      <c r="P200" s="2788" t="s">
        <v>1406</v>
      </c>
    </row>
    <row r="201" spans="16:16" ht="12" customHeight="1">
      <c r="P201" s="2788" t="s">
        <v>1407</v>
      </c>
    </row>
    <row r="202" spans="16:16" ht="12" customHeight="1">
      <c r="P202" s="2788" t="s">
        <v>1408</v>
      </c>
    </row>
    <row r="203" spans="16:16" ht="12" customHeight="1">
      <c r="P203" s="2788" t="s">
        <v>1409</v>
      </c>
    </row>
    <row r="204" spans="16:16" ht="12" customHeight="1">
      <c r="P204" s="2788" t="s">
        <v>1410</v>
      </c>
    </row>
    <row r="205" spans="16:16" ht="12" customHeight="1">
      <c r="P205" s="2788" t="s">
        <v>1411</v>
      </c>
    </row>
    <row r="206" spans="16:16" ht="12" customHeight="1">
      <c r="P206" s="2788" t="s">
        <v>1412</v>
      </c>
    </row>
    <row r="207" spans="16:16" ht="12" customHeight="1">
      <c r="P207" s="2788" t="s">
        <v>1413</v>
      </c>
    </row>
    <row r="208" spans="16:16" ht="12" customHeight="1">
      <c r="P208" s="2788" t="s">
        <v>1414</v>
      </c>
    </row>
    <row r="209" spans="16:16" ht="12" customHeight="1">
      <c r="P209" s="2788" t="s">
        <v>1415</v>
      </c>
    </row>
    <row r="210" spans="16:16" ht="12" customHeight="1">
      <c r="P210" s="2788" t="s">
        <v>1416</v>
      </c>
    </row>
  </sheetData>
  <sheetProtection algorithmName="SHA-512" hashValue="72MLztURLygIP/s7f3vZ4E6xeUf0BPyPhtzWUuL5vgepVSZkiLpAgudz7nPlCKiq5Di+90MY3dAWgVqG3/CS/A==" saltValue="7xwpBO3xJ6w+juvUdH8rd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1" zoomScaleNormal="100" zoomScaleSheetLayoutView="90" workbookViewId="0">
      <selection activeCell="A31"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2016-028 The Village on Park, Hahira, Lowndes County</v>
      </c>
      <c r="B1" s="1516"/>
      <c r="C1" s="1516"/>
      <c r="D1" s="1516"/>
      <c r="E1" s="1516"/>
      <c r="F1" s="1516"/>
      <c r="G1" s="1516"/>
      <c r="H1" s="1516"/>
      <c r="I1" s="1516"/>
      <c r="J1" s="1516"/>
      <c r="K1" s="1516"/>
      <c r="L1" s="1516"/>
      <c r="M1" s="1516"/>
      <c r="N1" s="1516"/>
      <c r="O1" s="1516"/>
      <c r="P1" s="1516"/>
      <c r="Q1" s="1517"/>
      <c r="S1" s="1525" t="str">
        <f>$A$1</f>
        <v>PART THREE - SOURCES OF FUNDS  -  2016-028 The Village on Park, Hahira, Lowndes County</v>
      </c>
      <c r="T1" s="1525"/>
    </row>
    <row r="2" spans="1:20" ht="17.45" customHeight="1" thickBot="1">
      <c r="A2" s="348"/>
      <c r="B2" s="348"/>
      <c r="C2" s="348"/>
      <c r="D2" s="348"/>
      <c r="E2" s="348"/>
      <c r="F2" s="348"/>
      <c r="G2" s="348"/>
      <c r="H2" s="1463" t="s">
        <v>4215</v>
      </c>
      <c r="I2" s="1464"/>
      <c r="J2" s="1465"/>
      <c r="K2" s="348"/>
      <c r="L2" s="348"/>
      <c r="M2" s="348"/>
      <c r="N2" s="348"/>
      <c r="O2" s="348"/>
      <c r="P2" s="348"/>
      <c r="Q2" s="348"/>
    </row>
    <row r="3" spans="1:20" s="297" customFormat="1" ht="13.15" customHeight="1">
      <c r="A3" s="331" t="s">
        <v>640</v>
      </c>
      <c r="B3" s="351" t="s">
        <v>2577</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2778</v>
      </c>
      <c r="T4" s="1518"/>
    </row>
    <row r="5" spans="1:20" s="297" customFormat="1" ht="15" customHeight="1">
      <c r="A5" s="543"/>
      <c r="B5" s="2789" t="s">
        <v>3153</v>
      </c>
      <c r="C5" s="1387" t="s">
        <v>2495</v>
      </c>
      <c r="D5" s="329"/>
      <c r="H5" s="2789" t="s">
        <v>3156</v>
      </c>
      <c r="I5" s="1387" t="s">
        <v>1594</v>
      </c>
      <c r="L5" s="2789" t="s">
        <v>3156</v>
      </c>
      <c r="M5" s="334" t="s">
        <v>4127</v>
      </c>
      <c r="S5" s="2790"/>
      <c r="T5" s="2791"/>
    </row>
    <row r="6" spans="1:20" s="297" customFormat="1" ht="15" customHeight="1">
      <c r="A6" s="543"/>
      <c r="B6" s="2792" t="s">
        <v>3156</v>
      </c>
      <c r="C6" s="1387" t="s">
        <v>569</v>
      </c>
      <c r="D6" s="329"/>
      <c r="H6" s="2792" t="s">
        <v>3156</v>
      </c>
      <c r="I6" s="1387" t="s">
        <v>568</v>
      </c>
      <c r="L6" s="2792" t="s">
        <v>3156</v>
      </c>
      <c r="M6" s="334" t="s">
        <v>2697</v>
      </c>
      <c r="Q6" s="575"/>
      <c r="S6" s="2793"/>
      <c r="T6" s="2794"/>
    </row>
    <row r="7" spans="1:20" s="297" customFormat="1" ht="15" customHeight="1">
      <c r="A7" s="329"/>
      <c r="B7" s="2792" t="s">
        <v>3156</v>
      </c>
      <c r="C7" s="1387" t="s">
        <v>4099</v>
      </c>
      <c r="E7" s="2795"/>
      <c r="F7" s="2796"/>
      <c r="H7" s="2792" t="s">
        <v>3156</v>
      </c>
      <c r="I7" s="1387" t="s">
        <v>4126</v>
      </c>
      <c r="L7" s="2792" t="s">
        <v>3156</v>
      </c>
      <c r="M7" s="334" t="s">
        <v>4134</v>
      </c>
      <c r="S7" s="2793"/>
      <c r="T7" s="2794"/>
    </row>
    <row r="8" spans="1:20" s="297" customFormat="1" ht="15" customHeight="1">
      <c r="A8" s="543"/>
      <c r="B8" s="2792" t="s">
        <v>3156</v>
      </c>
      <c r="C8" s="1387" t="s">
        <v>1870</v>
      </c>
      <c r="D8" s="329"/>
      <c r="H8" s="2792" t="s">
        <v>3156</v>
      </c>
      <c r="I8" s="329" t="s">
        <v>2698</v>
      </c>
      <c r="L8" s="2792" t="s">
        <v>3156</v>
      </c>
      <c r="M8" s="1397" t="s">
        <v>2689</v>
      </c>
      <c r="S8" s="2797"/>
      <c r="T8" s="2798"/>
    </row>
    <row r="9" spans="1:20" s="297" customFormat="1" ht="15" customHeight="1">
      <c r="A9" s="543"/>
      <c r="B9" s="2792" t="s">
        <v>3156</v>
      </c>
      <c r="C9" s="1387" t="s">
        <v>570</v>
      </c>
      <c r="H9" s="2792" t="s">
        <v>3156</v>
      </c>
      <c r="I9" s="329" t="s">
        <v>2696</v>
      </c>
      <c r="L9" s="2799" t="s">
        <v>3153</v>
      </c>
      <c r="M9" s="353" t="s">
        <v>2690</v>
      </c>
      <c r="P9" s="329"/>
      <c r="Q9" s="329"/>
      <c r="S9" s="2790"/>
      <c r="T9" s="2791"/>
    </row>
    <row r="10" spans="1:20" s="297" customFormat="1" ht="15" customHeight="1">
      <c r="A10" s="543"/>
      <c r="B10" s="2792" t="s">
        <v>3156</v>
      </c>
      <c r="C10" s="1387" t="s">
        <v>4136</v>
      </c>
      <c r="D10" s="329"/>
      <c r="E10" s="2800"/>
      <c r="F10" s="2801"/>
      <c r="G10" s="821"/>
      <c r="H10" s="2799" t="s">
        <v>3156</v>
      </c>
      <c r="I10" s="1473" t="s">
        <v>2914</v>
      </c>
      <c r="J10" s="1473"/>
      <c r="L10" s="2745" t="s">
        <v>3156</v>
      </c>
      <c r="M10" s="2802" t="s">
        <v>4138</v>
      </c>
      <c r="N10" s="2803"/>
      <c r="O10" s="2803"/>
      <c r="P10" s="2803"/>
      <c r="Q10" s="2804"/>
      <c r="S10" s="2793"/>
      <c r="T10" s="2794"/>
    </row>
    <row r="11" spans="1:20" s="297" customFormat="1" ht="15" customHeight="1">
      <c r="A11" s="543"/>
      <c r="B11" s="2799" t="s">
        <v>3156</v>
      </c>
      <c r="C11" s="1387" t="s">
        <v>4132</v>
      </c>
      <c r="I11" s="1473"/>
      <c r="J11" s="1473"/>
      <c r="M11" s="2805" t="s">
        <v>4150</v>
      </c>
      <c r="N11" s="2806"/>
      <c r="O11" s="2806"/>
      <c r="P11" s="2806"/>
      <c r="Q11" s="2807"/>
      <c r="S11" s="2793"/>
      <c r="T11" s="2794"/>
    </row>
    <row r="12" spans="1:20" s="297" customFormat="1" ht="15" customHeight="1">
      <c r="A12" s="543"/>
      <c r="B12" s="543"/>
      <c r="C12" s="297" t="s">
        <v>4133</v>
      </c>
      <c r="E12" s="2805" t="s">
        <v>3693</v>
      </c>
      <c r="F12" s="2806"/>
      <c r="G12" s="2806"/>
      <c r="H12" s="2806"/>
      <c r="I12" s="2807"/>
      <c r="S12" s="2797"/>
      <c r="T12" s="2798"/>
    </row>
    <row r="13" spans="1:20" s="297" customFormat="1" ht="15" customHeight="1">
      <c r="A13" s="543"/>
      <c r="C13" s="297" t="s">
        <v>4135</v>
      </c>
      <c r="E13" s="2800"/>
      <c r="F13" s="2801"/>
      <c r="Q13" s="329"/>
    </row>
    <row r="14" spans="1:20" s="297" customFormat="1" ht="16.899999999999999" customHeight="1">
      <c r="A14" s="543"/>
      <c r="B14" s="297" t="s">
        <v>4137</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1942</v>
      </c>
      <c r="C18" s="329"/>
      <c r="D18" s="329"/>
      <c r="E18" s="329"/>
      <c r="F18" s="329"/>
      <c r="G18" s="329"/>
      <c r="H18" s="1520" t="s">
        <v>1346</v>
      </c>
      <c r="I18" s="1520"/>
      <c r="J18" s="1520"/>
      <c r="K18" s="1520"/>
      <c r="L18" s="1455" t="s">
        <v>2066</v>
      </c>
      <c r="M18" s="1455"/>
      <c r="N18" s="1455" t="s">
        <v>1564</v>
      </c>
      <c r="O18" s="1455"/>
      <c r="P18" s="1455" t="s">
        <v>1689</v>
      </c>
      <c r="Q18" s="1455"/>
      <c r="S18" s="1518" t="s">
        <v>2778</v>
      </c>
      <c r="T18" s="1518"/>
    </row>
    <row r="19" spans="1:20" s="297" customFormat="1" ht="16.899999999999999" customHeight="1">
      <c r="A19" s="329"/>
      <c r="B19" s="1528" t="s">
        <v>1648</v>
      </c>
      <c r="C19" s="1529"/>
      <c r="D19" s="1529"/>
      <c r="E19" s="1398"/>
      <c r="F19" s="1398"/>
      <c r="G19" s="1398"/>
      <c r="H19" s="2808" t="s">
        <v>4251</v>
      </c>
      <c r="I19" s="2809"/>
      <c r="J19" s="2809"/>
      <c r="K19" s="2810"/>
      <c r="L19" s="2811">
        <v>6278532</v>
      </c>
      <c r="M19" s="2812"/>
      <c r="N19" s="2813">
        <v>0.05</v>
      </c>
      <c r="O19" s="2814"/>
      <c r="P19" s="2815">
        <v>18</v>
      </c>
      <c r="Q19" s="2816"/>
      <c r="S19" s="2790"/>
      <c r="T19" s="2791"/>
    </row>
    <row r="20" spans="1:20" s="297" customFormat="1" ht="16.899999999999999" customHeight="1">
      <c r="A20" s="329"/>
      <c r="B20" s="1526" t="s">
        <v>1649</v>
      </c>
      <c r="C20" s="1527"/>
      <c r="D20" s="1527"/>
      <c r="E20" s="1397"/>
      <c r="F20" s="1397"/>
      <c r="G20" s="1397"/>
      <c r="H20" s="2817" t="s">
        <v>4252</v>
      </c>
      <c r="I20" s="2818"/>
      <c r="J20" s="2818"/>
      <c r="K20" s="2819"/>
      <c r="L20" s="2820">
        <v>1060000</v>
      </c>
      <c r="M20" s="2821"/>
      <c r="N20" s="2822">
        <v>5.3999999999999999E-2</v>
      </c>
      <c r="O20" s="2823"/>
      <c r="P20" s="2824">
        <v>24</v>
      </c>
      <c r="Q20" s="2825"/>
      <c r="S20" s="2793"/>
      <c r="T20" s="2794"/>
    </row>
    <row r="21" spans="1:20" s="297" customFormat="1" ht="16.899999999999999" customHeight="1">
      <c r="A21" s="329"/>
      <c r="B21" s="1530" t="s">
        <v>1650</v>
      </c>
      <c r="C21" s="1531"/>
      <c r="D21" s="1531"/>
      <c r="E21" s="1403"/>
      <c r="F21" s="1403"/>
      <c r="G21" s="1403"/>
      <c r="H21" s="2826"/>
      <c r="I21" s="2827"/>
      <c r="J21" s="2827"/>
      <c r="K21" s="2828"/>
      <c r="L21" s="2829"/>
      <c r="M21" s="2830"/>
      <c r="N21" s="2831"/>
      <c r="O21" s="2832"/>
      <c r="P21" s="2833"/>
      <c r="Q21" s="2834"/>
      <c r="S21" s="2793"/>
      <c r="T21" s="2794"/>
    </row>
    <row r="22" spans="1:20" s="297" customFormat="1" ht="16.899999999999999" customHeight="1">
      <c r="A22" s="329"/>
      <c r="B22" s="1528" t="s">
        <v>2294</v>
      </c>
      <c r="C22" s="1529"/>
      <c r="D22" s="1529"/>
      <c r="E22" s="1397"/>
      <c r="F22" s="1397"/>
      <c r="G22" s="1397"/>
      <c r="H22" s="2835"/>
      <c r="I22" s="2836"/>
      <c r="J22" s="2836"/>
      <c r="K22" s="2837"/>
      <c r="L22" s="2838"/>
      <c r="M22" s="2839"/>
      <c r="N22" s="1521"/>
      <c r="O22" s="1522"/>
      <c r="P22" s="1519"/>
      <c r="Q22" s="1519"/>
      <c r="S22" s="2793"/>
      <c r="T22" s="2794"/>
    </row>
    <row r="23" spans="1:20" s="297" customFormat="1" ht="16.899999999999999" customHeight="1">
      <c r="A23" s="329"/>
      <c r="B23" s="1526" t="s">
        <v>833</v>
      </c>
      <c r="C23" s="1527"/>
      <c r="D23" s="1527"/>
      <c r="E23" s="1397"/>
      <c r="H23" s="2817"/>
      <c r="I23" s="2818"/>
      <c r="J23" s="2818"/>
      <c r="K23" s="2819"/>
      <c r="L23" s="2820"/>
      <c r="M23" s="2821"/>
      <c r="N23" s="1521"/>
      <c r="O23" s="1522"/>
      <c r="P23" s="1519"/>
      <c r="Q23" s="1519"/>
      <c r="S23" s="2793"/>
      <c r="T23" s="2794"/>
    </row>
    <row r="24" spans="1:20" s="297" customFormat="1" ht="16.899999999999999" customHeight="1">
      <c r="A24" s="329"/>
      <c r="B24" s="1526" t="s">
        <v>665</v>
      </c>
      <c r="C24" s="1527"/>
      <c r="D24" s="1527"/>
      <c r="E24" s="1397"/>
      <c r="H24" s="2817"/>
      <c r="I24" s="2818"/>
      <c r="J24" s="2818"/>
      <c r="K24" s="2819"/>
      <c r="L24" s="2820"/>
      <c r="M24" s="2821"/>
      <c r="N24" s="1521"/>
      <c r="O24" s="1522"/>
      <c r="P24" s="1519"/>
      <c r="Q24" s="1519"/>
      <c r="S24" s="2793"/>
      <c r="T24" s="2794"/>
    </row>
    <row r="25" spans="1:20" s="297" customFormat="1" ht="16.899999999999999" customHeight="1">
      <c r="A25" s="329"/>
      <c r="B25" s="1526" t="s">
        <v>834</v>
      </c>
      <c r="C25" s="1527"/>
      <c r="D25" s="1527"/>
      <c r="E25" s="1397"/>
      <c r="H25" s="2817" t="s">
        <v>4253</v>
      </c>
      <c r="I25" s="2818"/>
      <c r="J25" s="2818"/>
      <c r="K25" s="2819"/>
      <c r="L25" s="2820">
        <v>1388667</v>
      </c>
      <c r="M25" s="2821"/>
      <c r="N25" s="329"/>
      <c r="O25" s="329"/>
      <c r="P25" s="329"/>
      <c r="Q25" s="329"/>
      <c r="S25" s="2797"/>
      <c r="T25" s="2798"/>
    </row>
    <row r="26" spans="1:20" s="297" customFormat="1" ht="16.899999999999999" customHeight="1">
      <c r="A26" s="329"/>
      <c r="B26" s="1526" t="s">
        <v>835</v>
      </c>
      <c r="C26" s="1527"/>
      <c r="D26" s="1527"/>
      <c r="E26" s="1397"/>
      <c r="H26" s="2817" t="s">
        <v>4253</v>
      </c>
      <c r="I26" s="2818"/>
      <c r="J26" s="2818"/>
      <c r="K26" s="2819"/>
      <c r="L26" s="2820">
        <v>506303</v>
      </c>
      <c r="M26" s="2821"/>
      <c r="N26" s="329"/>
      <c r="Q26" s="329"/>
      <c r="S26" s="2790"/>
      <c r="T26" s="2791"/>
    </row>
    <row r="27" spans="1:20" s="297" customFormat="1" ht="16.899999999999999" customHeight="1">
      <c r="A27" s="329"/>
      <c r="B27" s="1396" t="s">
        <v>253</v>
      </c>
      <c r="C27" s="1397"/>
      <c r="D27" s="2840" t="s">
        <v>4254</v>
      </c>
      <c r="E27" s="2840"/>
      <c r="F27" s="2840"/>
      <c r="G27" s="2840"/>
      <c r="H27" s="2817"/>
      <c r="I27" s="2818"/>
      <c r="J27" s="2818"/>
      <c r="K27" s="2819"/>
      <c r="L27" s="2820">
        <v>110</v>
      </c>
      <c r="M27" s="2821"/>
      <c r="N27" s="329"/>
      <c r="Q27" s="329"/>
      <c r="S27" s="2793"/>
      <c r="T27" s="2794"/>
    </row>
    <row r="28" spans="1:20" s="297" customFormat="1" ht="16.899999999999999" customHeight="1">
      <c r="A28" s="329"/>
      <c r="B28" s="1396" t="s">
        <v>253</v>
      </c>
      <c r="C28" s="1397"/>
      <c r="D28" s="2841"/>
      <c r="E28" s="2841"/>
      <c r="F28" s="2841"/>
      <c r="G28" s="2841"/>
      <c r="H28" s="2817"/>
      <c r="I28" s="2818"/>
      <c r="J28" s="2818"/>
      <c r="K28" s="2819"/>
      <c r="L28" s="2820"/>
      <c r="M28" s="2821"/>
      <c r="N28" s="329"/>
      <c r="S28" s="2793"/>
      <c r="T28" s="2794"/>
    </row>
    <row r="29" spans="1:20" s="297" customFormat="1" ht="16.899999999999999" customHeight="1">
      <c r="A29" s="329"/>
      <c r="B29" s="1402" t="s">
        <v>253</v>
      </c>
      <c r="C29" s="1403"/>
      <c r="D29" s="2842"/>
      <c r="E29" s="2842"/>
      <c r="F29" s="2842"/>
      <c r="G29" s="2842"/>
      <c r="H29" s="2826"/>
      <c r="I29" s="2827"/>
      <c r="J29" s="2827"/>
      <c r="K29" s="2828"/>
      <c r="L29" s="2829"/>
      <c r="M29" s="2830"/>
      <c r="N29" s="329"/>
      <c r="S29" s="2793"/>
      <c r="T29" s="2794"/>
    </row>
    <row r="30" spans="1:20" s="297" customFormat="1" ht="16.899999999999999" customHeight="1">
      <c r="A30" s="329"/>
      <c r="B30" s="296" t="s">
        <v>1347</v>
      </c>
      <c r="C30" s="329"/>
      <c r="D30" s="329"/>
      <c r="E30" s="329"/>
      <c r="F30" s="329"/>
      <c r="G30" s="329"/>
      <c r="H30" s="329"/>
      <c r="I30" s="329"/>
      <c r="L30" s="1523">
        <f>SUM(L19:L29)</f>
        <v>9233612</v>
      </c>
      <c r="M30" s="1524"/>
      <c r="N30" s="348"/>
      <c r="S30" s="2793"/>
      <c r="T30" s="2794"/>
    </row>
    <row r="31" spans="1:20" s="297" customFormat="1" ht="16.899999999999999" customHeight="1">
      <c r="A31" s="329"/>
      <c r="B31" s="1387" t="s">
        <v>1348</v>
      </c>
      <c r="C31" s="329"/>
      <c r="D31" s="329"/>
      <c r="E31" s="329"/>
      <c r="F31" s="329"/>
      <c r="G31" s="329"/>
      <c r="H31" s="329"/>
      <c r="I31" s="329"/>
      <c r="L31" s="284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9233612</v>
      </c>
      <c r="M31" s="2844"/>
      <c r="N31" s="1135"/>
      <c r="S31" s="2793"/>
      <c r="T31" s="2794"/>
    </row>
    <row r="32" spans="1:20" s="297" customFormat="1" ht="16.899999999999999" customHeight="1">
      <c r="A32" s="329"/>
      <c r="B32" s="334" t="s">
        <v>2235</v>
      </c>
      <c r="C32" s="329"/>
      <c r="D32" s="329"/>
      <c r="E32" s="329"/>
      <c r="F32" s="329"/>
      <c r="G32" s="329"/>
      <c r="H32" s="329"/>
      <c r="I32" s="329"/>
      <c r="L32" s="1534">
        <f>L30-L31</f>
        <v>0</v>
      </c>
      <c r="M32" s="1535"/>
      <c r="N32" s="1135"/>
      <c r="S32" s="2797"/>
      <c r="T32" s="2798"/>
    </row>
    <row r="33" spans="1:20" ht="9.6" customHeight="1">
      <c r="A33" s="357"/>
      <c r="B33" s="296"/>
      <c r="C33" s="348"/>
      <c r="D33" s="348"/>
      <c r="E33" s="348"/>
      <c r="F33" s="348"/>
      <c r="G33" s="348"/>
      <c r="H33" s="348"/>
      <c r="I33" s="348"/>
      <c r="J33" s="348"/>
      <c r="K33" s="348"/>
      <c r="L33" s="348"/>
      <c r="M33" s="1401"/>
      <c r="N33" s="1401"/>
    </row>
    <row r="34" spans="1:20" ht="9.6" customHeight="1">
      <c r="A34" s="331" t="s">
        <v>772</v>
      </c>
      <c r="B34" s="296" t="s">
        <v>832</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2177</v>
      </c>
      <c r="L35" s="1401" t="s">
        <v>1344</v>
      </c>
      <c r="M35" s="1401" t="s">
        <v>1349</v>
      </c>
      <c r="N35" s="1543" t="s">
        <v>36</v>
      </c>
      <c r="O35" s="1543"/>
      <c r="P35" s="1401"/>
      <c r="Q35" s="331"/>
      <c r="S35" s="379"/>
    </row>
    <row r="36" spans="1:20" s="297" customFormat="1" ht="13.15" customHeight="1">
      <c r="A36" s="329"/>
      <c r="B36" s="1404" t="s">
        <v>1942</v>
      </c>
      <c r="C36" s="1403"/>
      <c r="D36" s="1403"/>
      <c r="E36" s="1445" t="s">
        <v>1346</v>
      </c>
      <c r="F36" s="1445"/>
      <c r="G36" s="1445"/>
      <c r="H36" s="1445"/>
      <c r="I36" s="1455" t="s">
        <v>506</v>
      </c>
      <c r="J36" s="1455"/>
      <c r="K36" s="1389" t="s">
        <v>1874</v>
      </c>
      <c r="L36" s="1389" t="s">
        <v>2293</v>
      </c>
      <c r="M36" s="1389" t="s">
        <v>2293</v>
      </c>
      <c r="N36" s="2845"/>
      <c r="O36" s="2845"/>
      <c r="P36" s="1455" t="s">
        <v>76</v>
      </c>
      <c r="Q36" s="1455"/>
      <c r="S36" s="1518" t="s">
        <v>2778</v>
      </c>
      <c r="T36" s="1518"/>
    </row>
    <row r="37" spans="1:20" s="297" customFormat="1" ht="16.5" customHeight="1">
      <c r="A37" s="329"/>
      <c r="B37" s="1528" t="s">
        <v>2702</v>
      </c>
      <c r="C37" s="1529"/>
      <c r="D37" s="1529"/>
      <c r="E37" s="2808" t="s">
        <v>4252</v>
      </c>
      <c r="F37" s="2809"/>
      <c r="G37" s="2809"/>
      <c r="H37" s="2810"/>
      <c r="I37" s="2846">
        <v>1060000</v>
      </c>
      <c r="J37" s="2847"/>
      <c r="K37" s="2848">
        <v>5.3999999999999999E-2</v>
      </c>
      <c r="L37" s="2789">
        <v>40</v>
      </c>
      <c r="M37" s="2789">
        <v>40</v>
      </c>
      <c r="N37" s="2849">
        <f t="shared" ref="N37:N42" si="0">IF(OR(I37&lt;=0,I37=""),"",IF(P37="Amortizing",-PMT(K37/12,M37*12,I37,0,0)*12,""))</f>
        <v>64742.72941449302</v>
      </c>
      <c r="O37" s="2849"/>
      <c r="P37" s="2850" t="s">
        <v>4255</v>
      </c>
      <c r="Q37" s="2850"/>
      <c r="S37" s="2790"/>
      <c r="T37" s="2791"/>
    </row>
    <row r="38" spans="1:20" s="297" customFormat="1" ht="16.5" customHeight="1">
      <c r="A38" s="329"/>
      <c r="B38" s="1526" t="s">
        <v>2703</v>
      </c>
      <c r="C38" s="1527"/>
      <c r="D38" s="1527"/>
      <c r="E38" s="2817"/>
      <c r="F38" s="2818"/>
      <c r="G38" s="2818"/>
      <c r="H38" s="2819"/>
      <c r="I38" s="2851"/>
      <c r="J38" s="2852"/>
      <c r="K38" s="2853"/>
      <c r="L38" s="2792"/>
      <c r="M38" s="2792"/>
      <c r="N38" s="2854" t="str">
        <f t="shared" si="0"/>
        <v/>
      </c>
      <c r="O38" s="2854"/>
      <c r="P38" s="2855"/>
      <c r="Q38" s="2855"/>
      <c r="S38" s="2793"/>
      <c r="T38" s="2794"/>
    </row>
    <row r="39" spans="1:20" s="297" customFormat="1" ht="16.5" customHeight="1">
      <c r="A39" s="329"/>
      <c r="B39" s="1526" t="s">
        <v>2704</v>
      </c>
      <c r="C39" s="1527"/>
      <c r="D39" s="1527"/>
      <c r="E39" s="2817"/>
      <c r="F39" s="2818"/>
      <c r="G39" s="2818"/>
      <c r="H39" s="2819"/>
      <c r="I39" s="2851"/>
      <c r="J39" s="2852"/>
      <c r="K39" s="2853"/>
      <c r="L39" s="2792"/>
      <c r="M39" s="2792"/>
      <c r="N39" s="2854" t="str">
        <f t="shared" si="0"/>
        <v/>
      </c>
      <c r="O39" s="2854"/>
      <c r="P39" s="2855"/>
      <c r="Q39" s="2855"/>
      <c r="S39" s="2793"/>
      <c r="T39" s="2794"/>
    </row>
    <row r="40" spans="1:20" s="297" customFormat="1" ht="16.5" customHeight="1">
      <c r="A40" s="329"/>
      <c r="B40" s="1396" t="s">
        <v>771</v>
      </c>
      <c r="C40" s="2646"/>
      <c r="D40" s="2648"/>
      <c r="E40" s="2817"/>
      <c r="F40" s="2818"/>
      <c r="G40" s="2818"/>
      <c r="H40" s="2819"/>
      <c r="I40" s="2851"/>
      <c r="J40" s="2852"/>
      <c r="K40" s="2856"/>
      <c r="L40" s="2799"/>
      <c r="M40" s="2799"/>
      <c r="N40" s="2857" t="str">
        <f t="shared" si="0"/>
        <v/>
      </c>
      <c r="O40" s="2857"/>
      <c r="P40" s="2858"/>
      <c r="Q40" s="2858"/>
      <c r="S40" s="2793"/>
      <c r="T40" s="2794"/>
    </row>
    <row r="41" spans="1:20" s="297" customFormat="1" ht="16.5" customHeight="1">
      <c r="A41" s="329"/>
      <c r="B41" s="1396" t="s">
        <v>2864</v>
      </c>
      <c r="C41" s="1397"/>
      <c r="D41" s="1399"/>
      <c r="E41" s="2817"/>
      <c r="F41" s="2818"/>
      <c r="G41" s="2818"/>
      <c r="H41" s="2819"/>
      <c r="I41" s="2851"/>
      <c r="J41" s="2852"/>
      <c r="K41" s="521"/>
      <c r="L41" s="1395"/>
      <c r="M41" s="1395"/>
      <c r="N41" s="1549" t="str">
        <f t="shared" si="0"/>
        <v/>
      </c>
      <c r="O41" s="1549"/>
      <c r="P41" s="1548"/>
      <c r="Q41" s="1548"/>
      <c r="S41" s="2793"/>
      <c r="T41" s="2794"/>
    </row>
    <row r="42" spans="1:20" s="297" customFormat="1" ht="16.5" customHeight="1">
      <c r="A42" s="329"/>
      <c r="B42" s="1402" t="s">
        <v>237</v>
      </c>
      <c r="C42" s="1403"/>
      <c r="D42" s="407">
        <f>IF(OR(I42="",I42=0,'Part IV-Uses of Funds'!$G$117="",'Part IV-Uses of Funds'!$G$117=0),"",I42/'Part IV-Uses of Funds'!$G$117)</f>
        <v>1.1383767993779837E-2</v>
      </c>
      <c r="E42" s="2826" t="s">
        <v>4248</v>
      </c>
      <c r="F42" s="2827"/>
      <c r="G42" s="2827"/>
      <c r="H42" s="2828"/>
      <c r="I42" s="2859">
        <v>15666</v>
      </c>
      <c r="J42" s="2860"/>
      <c r="K42" s="2861"/>
      <c r="L42" s="2745"/>
      <c r="M42" s="2745"/>
      <c r="N42" s="2862" t="str">
        <f t="shared" si="0"/>
        <v/>
      </c>
      <c r="O42" s="2863"/>
      <c r="P42" s="2864"/>
      <c r="Q42" s="2865"/>
      <c r="S42" s="2793"/>
      <c r="T42" s="2794"/>
    </row>
    <row r="43" spans="1:20" s="297" customFormat="1" ht="16.5" customHeight="1">
      <c r="A43" s="329"/>
      <c r="B43" s="1528" t="s">
        <v>2294</v>
      </c>
      <c r="C43" s="1529"/>
      <c r="D43" s="1536"/>
      <c r="E43" s="2835"/>
      <c r="F43" s="2836"/>
      <c r="G43" s="2836"/>
      <c r="H43" s="2837"/>
      <c r="I43" s="2866"/>
      <c r="J43" s="2867"/>
      <c r="K43" s="408"/>
      <c r="L43" s="408"/>
      <c r="M43" s="408"/>
      <c r="N43" s="408"/>
      <c r="O43" s="408"/>
      <c r="P43" s="408"/>
      <c r="Q43" s="408"/>
      <c r="S43" s="2790"/>
      <c r="T43" s="2791"/>
    </row>
    <row r="44" spans="1:20" s="297" customFormat="1" ht="16.5" customHeight="1">
      <c r="A44" s="329"/>
      <c r="B44" s="1526" t="s">
        <v>833</v>
      </c>
      <c r="C44" s="1527"/>
      <c r="D44" s="1537"/>
      <c r="E44" s="2817"/>
      <c r="F44" s="2818"/>
      <c r="G44" s="2818"/>
      <c r="H44" s="2819"/>
      <c r="I44" s="2851"/>
      <c r="J44" s="2852"/>
      <c r="L44" s="1542" t="s">
        <v>536</v>
      </c>
      <c r="M44" s="1542"/>
      <c r="N44" s="1541" t="s">
        <v>537</v>
      </c>
      <c r="O44" s="1541"/>
      <c r="P44" s="448" t="s">
        <v>535</v>
      </c>
      <c r="Q44" s="408"/>
      <c r="S44" s="2793"/>
      <c r="T44" s="2794"/>
    </row>
    <row r="45" spans="1:20" s="297" customFormat="1" ht="16.5" customHeight="1">
      <c r="A45" s="329"/>
      <c r="B45" s="1526" t="s">
        <v>834</v>
      </c>
      <c r="C45" s="1527"/>
      <c r="D45" s="1537"/>
      <c r="E45" s="2817" t="s">
        <v>4253</v>
      </c>
      <c r="F45" s="2818"/>
      <c r="G45" s="2818"/>
      <c r="H45" s="2819"/>
      <c r="I45" s="2851">
        <v>6943335</v>
      </c>
      <c r="J45" s="2851"/>
      <c r="L45" s="1533">
        <f>'Part IV-Uses of Funds'!$J$174*10*'Part IV-Uses of Funds'!$N$167</f>
        <v>6973859</v>
      </c>
      <c r="M45" s="1533"/>
      <c r="N45" s="1540">
        <f>I45-L45</f>
        <v>-30524</v>
      </c>
      <c r="O45" s="1540"/>
      <c r="P45" s="449" t="s">
        <v>2648</v>
      </c>
      <c r="Q45" s="408"/>
      <c r="S45" s="2793"/>
      <c r="T45" s="2794"/>
    </row>
    <row r="46" spans="1:20" s="297" customFormat="1" ht="16.5" customHeight="1">
      <c r="A46" s="329"/>
      <c r="B46" s="1526" t="s">
        <v>835</v>
      </c>
      <c r="C46" s="1527"/>
      <c r="D46" s="1537"/>
      <c r="E46" s="2817" t="s">
        <v>4253</v>
      </c>
      <c r="F46" s="2818"/>
      <c r="G46" s="2818"/>
      <c r="H46" s="2819"/>
      <c r="I46" s="2851">
        <v>2531513</v>
      </c>
      <c r="J46" s="2851"/>
      <c r="L46" s="1533">
        <f>'Part IV-Uses of Funds'!$J$174*10*'Part IV-Uses of Funds'!$Q$167</f>
        <v>2461362</v>
      </c>
      <c r="M46" s="1533"/>
      <c r="N46" s="1540">
        <f>I46-L46</f>
        <v>70151</v>
      </c>
      <c r="O46" s="1540"/>
      <c r="P46" s="450">
        <f>I45/I55</f>
        <v>0.65809709454151721</v>
      </c>
      <c r="Q46" s="408"/>
      <c r="S46" s="2793"/>
      <c r="T46" s="2794"/>
    </row>
    <row r="47" spans="1:20" s="297" customFormat="1" ht="16.5" customHeight="1">
      <c r="A47" s="329"/>
      <c r="B47" s="1526" t="s">
        <v>1464</v>
      </c>
      <c r="C47" s="1527"/>
      <c r="D47" s="1537"/>
      <c r="E47" s="2817"/>
      <c r="F47" s="2818"/>
      <c r="G47" s="2818"/>
      <c r="H47" s="2819"/>
      <c r="I47" s="2851"/>
      <c r="J47" s="2851"/>
      <c r="P47" s="450">
        <f>I46/I55</f>
        <v>0.23993964717157962</v>
      </c>
      <c r="Q47" s="408"/>
      <c r="S47" s="2797"/>
      <c r="T47" s="2798"/>
    </row>
    <row r="48" spans="1:20" s="297" customFormat="1" ht="16.5" customHeight="1">
      <c r="A48" s="329"/>
      <c r="B48" s="1396" t="s">
        <v>550</v>
      </c>
      <c r="C48" s="1397"/>
      <c r="D48" s="1399"/>
      <c r="E48" s="2817"/>
      <c r="F48" s="2818"/>
      <c r="G48" s="2818"/>
      <c r="H48" s="2819"/>
      <c r="I48" s="2851"/>
      <c r="J48" s="2851"/>
      <c r="K48" s="329"/>
      <c r="P48" s="451">
        <f>SUM(P46:P47)</f>
        <v>0.89803674171309678</v>
      </c>
      <c r="Q48" s="408"/>
      <c r="S48" s="2793"/>
      <c r="T48" s="2794"/>
    </row>
    <row r="49" spans="1:23" s="297" customFormat="1" ht="16.5" customHeight="1">
      <c r="A49" s="329"/>
      <c r="B49" s="1396" t="s">
        <v>1940</v>
      </c>
      <c r="C49" s="1397"/>
      <c r="D49" s="1399"/>
      <c r="E49" s="2817"/>
      <c r="F49" s="2818"/>
      <c r="G49" s="2818"/>
      <c r="H49" s="2819"/>
      <c r="I49" s="2851"/>
      <c r="J49" s="2851"/>
      <c r="N49" s="409"/>
      <c r="O49" s="409"/>
      <c r="P49" s="409"/>
      <c r="Q49" s="408"/>
      <c r="S49" s="2793"/>
      <c r="T49" s="2794"/>
    </row>
    <row r="50" spans="1:23" s="297" customFormat="1" ht="16.5" customHeight="1">
      <c r="A50" s="329"/>
      <c r="B50" s="1396" t="s">
        <v>1941</v>
      </c>
      <c r="C50" s="1397"/>
      <c r="D50" s="1399"/>
      <c r="E50" s="2817"/>
      <c r="F50" s="2818"/>
      <c r="G50" s="2818"/>
      <c r="H50" s="2819"/>
      <c r="I50" s="2851"/>
      <c r="J50" s="2851"/>
      <c r="M50" s="409"/>
      <c r="N50" s="409"/>
      <c r="O50" s="409"/>
      <c r="P50" s="409"/>
      <c r="Q50" s="408"/>
      <c r="S50" s="2793"/>
      <c r="T50" s="2794"/>
    </row>
    <row r="51" spans="1:23" s="297" customFormat="1" ht="16.5" customHeight="1">
      <c r="A51" s="329"/>
      <c r="B51" s="1396" t="s">
        <v>771</v>
      </c>
      <c r="C51" s="2840" t="s">
        <v>4254</v>
      </c>
      <c r="D51" s="2840"/>
      <c r="E51" s="2817"/>
      <c r="F51" s="2818"/>
      <c r="G51" s="2818"/>
      <c r="H51" s="2819"/>
      <c r="I51" s="2851">
        <v>110</v>
      </c>
      <c r="J51" s="2851"/>
      <c r="M51" s="409"/>
      <c r="N51" s="409"/>
      <c r="O51" s="409"/>
      <c r="P51" s="409"/>
      <c r="Q51" s="408"/>
      <c r="S51" s="2793"/>
      <c r="T51" s="2794"/>
    </row>
    <row r="52" spans="1:23" s="297" customFormat="1" ht="16.5" customHeight="1">
      <c r="A52" s="329"/>
      <c r="B52" s="1396" t="s">
        <v>771</v>
      </c>
      <c r="C52" s="2841"/>
      <c r="D52" s="2841"/>
      <c r="E52" s="2817"/>
      <c r="F52" s="2818"/>
      <c r="G52" s="2818"/>
      <c r="H52" s="2819"/>
      <c r="I52" s="2851"/>
      <c r="J52" s="2851"/>
      <c r="K52" s="329"/>
      <c r="L52" s="410"/>
      <c r="M52" s="409"/>
      <c r="N52" s="409"/>
      <c r="O52" s="409"/>
      <c r="P52" s="409"/>
      <c r="Q52" s="408"/>
      <c r="S52" s="2793"/>
      <c r="T52" s="2794"/>
    </row>
    <row r="53" spans="1:23" s="297" customFormat="1" ht="16.5" customHeight="1">
      <c r="A53" s="329"/>
      <c r="B53" s="1402" t="s">
        <v>771</v>
      </c>
      <c r="C53" s="2842"/>
      <c r="D53" s="2842"/>
      <c r="E53" s="2826"/>
      <c r="F53" s="2827"/>
      <c r="G53" s="2827"/>
      <c r="H53" s="2828"/>
      <c r="I53" s="2859"/>
      <c r="J53" s="2859"/>
      <c r="K53" s="329"/>
      <c r="L53" s="410"/>
      <c r="M53" s="409"/>
      <c r="N53" s="409"/>
      <c r="O53" s="409"/>
      <c r="P53" s="409"/>
      <c r="Q53" s="408"/>
      <c r="S53" s="2793"/>
      <c r="T53" s="2794"/>
    </row>
    <row r="54" spans="1:23" s="297" customFormat="1" ht="16.5" customHeight="1">
      <c r="A54" s="329"/>
      <c r="B54" s="1387" t="s">
        <v>2295</v>
      </c>
      <c r="C54" s="329"/>
      <c r="D54" s="329"/>
      <c r="E54" s="329"/>
      <c r="F54" s="329"/>
      <c r="G54" s="329"/>
      <c r="I54" s="1546">
        <f>SUM(I37:J53)</f>
        <v>10550624</v>
      </c>
      <c r="J54" s="1547"/>
      <c r="K54" s="329"/>
      <c r="L54" s="410"/>
      <c r="M54" s="409"/>
      <c r="N54" s="409"/>
      <c r="O54" s="409"/>
      <c r="P54" s="409"/>
      <c r="Q54" s="408"/>
      <c r="S54" s="2793"/>
      <c r="T54" s="2794"/>
    </row>
    <row r="55" spans="1:23" s="297" customFormat="1" ht="16.5" customHeight="1" thickBot="1">
      <c r="A55" s="329"/>
      <c r="B55" s="1387" t="s">
        <v>2296</v>
      </c>
      <c r="C55" s="329"/>
      <c r="D55" s="329"/>
      <c r="E55" s="329"/>
      <c r="F55" s="329"/>
      <c r="G55" s="329"/>
      <c r="I55" s="1544">
        <f>'Part IV-Uses of Funds'!$G$131</f>
        <v>10550624</v>
      </c>
      <c r="J55" s="1545"/>
      <c r="K55" s="329"/>
      <c r="L55" s="410"/>
      <c r="M55" s="409"/>
      <c r="N55" s="409"/>
      <c r="O55" s="409"/>
      <c r="P55" s="409"/>
      <c r="Q55" s="408"/>
      <c r="S55" s="2793"/>
      <c r="T55" s="2794"/>
    </row>
    <row r="56" spans="1:23" s="297" customFormat="1" ht="16.5" customHeight="1" thickBot="1">
      <c r="A56" s="329"/>
      <c r="B56" s="334" t="s">
        <v>1582</v>
      </c>
      <c r="C56" s="329"/>
      <c r="D56" s="329"/>
      <c r="E56" s="329"/>
      <c r="F56" s="329"/>
      <c r="G56" s="329"/>
      <c r="I56" s="1538">
        <f>I54-I55</f>
        <v>0</v>
      </c>
      <c r="J56" s="1539"/>
      <c r="K56" s="329"/>
      <c r="L56" s="410"/>
      <c r="M56" s="409"/>
      <c r="N56" s="409"/>
      <c r="O56" s="409"/>
      <c r="P56" s="409"/>
      <c r="Q56" s="408"/>
      <c r="S56" s="2797"/>
      <c r="T56" s="2798"/>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8" t="s">
        <v>4347</v>
      </c>
      <c r="B61" s="2868"/>
      <c r="C61" s="2868"/>
      <c r="D61" s="2868"/>
      <c r="E61" s="2868"/>
      <c r="F61" s="2868"/>
      <c r="G61" s="2868"/>
      <c r="H61" s="2868"/>
      <c r="I61" s="2868"/>
      <c r="J61" s="2869"/>
      <c r="K61" s="2731"/>
      <c r="L61" s="2868"/>
      <c r="M61" s="2868"/>
      <c r="N61" s="2868"/>
      <c r="O61" s="2868"/>
      <c r="P61" s="2868"/>
      <c r="Q61" s="2869"/>
      <c r="S61" s="1532" t="s">
        <v>2796</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X++/8NRgIJ+bbYbVR/88VfzXq//ZlKNSNLxjdpDqfdsc7HI6QJHgZJwxxOu2CWjgSodRpitX5dtnbnYN5ppOpA==" saltValue="+CCEo8pv3M5EbWrv8qWAg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2016-028 The Village on Park, Hahira, Lowndes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2566</v>
      </c>
      <c r="B16" s="226" t="s">
        <v>2563</v>
      </c>
      <c r="C16" s="226" t="s">
        <v>2564</v>
      </c>
      <c r="D16" s="1561" t="s">
        <v>2334</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2016-028 The Village on Park, Hahira, Lowndes County</v>
      </c>
      <c r="B58" s="1553"/>
      <c r="C58" s="1553"/>
      <c r="D58" s="1553"/>
      <c r="E58" s="1553"/>
      <c r="F58" s="1553"/>
      <c r="G58" s="1553" t="str">
        <f>CONCATENATE('Part I-Project Information'!$O$4," ",'Part I-Project Information'!$F$24,", ",'Part I-Project Information'!$F$28,", ",'Part I-Project Information'!$J$29," County")</f>
        <v>2016-028 The Village on Park, Hahira, Lowndes County</v>
      </c>
      <c r="H58" s="1553"/>
      <c r="I58" s="1553"/>
      <c r="J58" s="1553"/>
      <c r="K58" s="1553"/>
      <c r="L58" s="1553"/>
    </row>
    <row r="59" spans="1:12" ht="15">
      <c r="A59" s="1550" t="s">
        <v>2557</v>
      </c>
      <c r="B59" s="1550"/>
      <c r="C59" s="1550"/>
      <c r="D59" s="1550"/>
      <c r="E59" s="1550"/>
      <c r="F59" s="1550"/>
      <c r="G59" s="1550" t="s">
        <v>2557</v>
      </c>
      <c r="H59" s="1550"/>
      <c r="I59" s="1550"/>
      <c r="J59" s="1550"/>
      <c r="K59" s="1550"/>
      <c r="L59" s="155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2016-028 The Village on Park, Hahira, Lowndes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2335</v>
      </c>
      <c r="D5" s="240"/>
      <c r="E5" s="1562" t="s">
        <v>990</v>
      </c>
      <c r="F5" s="1563"/>
      <c r="G5" s="173"/>
    </row>
    <row r="6" spans="1:17">
      <c r="E6" s="1563"/>
      <c r="F6" s="1563"/>
      <c r="G6" s="173"/>
    </row>
    <row r="7" spans="1:17">
      <c r="A7" s="28" t="s">
        <v>2549</v>
      </c>
      <c r="C7" s="28" t="s">
        <v>2550</v>
      </c>
      <c r="D7" s="241"/>
      <c r="E7" s="1563"/>
      <c r="F7" s="1563"/>
      <c r="G7" s="173"/>
    </row>
    <row r="8" spans="1:17">
      <c r="C8" s="28" t="s">
        <v>2551</v>
      </c>
      <c r="D8" s="241"/>
      <c r="E8" s="1563"/>
      <c r="F8" s="1563"/>
      <c r="G8" s="173"/>
    </row>
    <row r="9" spans="1:17">
      <c r="C9" s="28" t="s">
        <v>2552</v>
      </c>
      <c r="D9" s="241"/>
      <c r="E9" s="1563"/>
      <c r="F9" s="1563"/>
      <c r="G9" s="173"/>
    </row>
    <row r="10" spans="1:17">
      <c r="C10" s="28" t="s">
        <v>2565</v>
      </c>
      <c r="D10" s="246">
        <f>D7+D8+D9</f>
        <v>0</v>
      </c>
      <c r="E10" s="1563"/>
      <c r="F10" s="1563"/>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2334</v>
      </c>
      <c r="D26" s="244"/>
      <c r="E26" s="85"/>
      <c r="F26" s="1564" t="s">
        <v>2334</v>
      </c>
      <c r="J26" s="249"/>
    </row>
    <row r="27" spans="1:10">
      <c r="A27" s="250" t="s">
        <v>2566</v>
      </c>
      <c r="B27" s="76" t="s">
        <v>1063</v>
      </c>
      <c r="C27" s="1565"/>
      <c r="D27" s="251" t="s">
        <v>2566</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2016-028 The Village on Park, Hahira, Lowndes County</v>
      </c>
      <c r="B50" s="1553"/>
      <c r="C50" s="1553"/>
      <c r="D50" s="1553"/>
      <c r="E50" s="1553"/>
      <c r="F50" s="1553"/>
      <c r="G50" s="235"/>
      <c r="H50" s="235"/>
    </row>
    <row r="51" spans="1:10" ht="15">
      <c r="A51" s="1550" t="s">
        <v>2557</v>
      </c>
      <c r="B51" s="1550"/>
      <c r="C51" s="1550"/>
      <c r="D51" s="1550"/>
      <c r="E51" s="1550"/>
      <c r="F51" s="155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7" zoomScale="120" zoomScaleNormal="120" zoomScaleSheetLayoutView="90" workbookViewId="0">
      <selection activeCell="A157"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2016-028 The Village on Park, Hahira, Lowndes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2016-028 The Village on Park, Hahira, Lowndes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4215</v>
      </c>
      <c r="E5" s="1464"/>
      <c r="F5" s="1465"/>
      <c r="G5" s="557"/>
      <c r="H5" s="557"/>
      <c r="I5" s="557"/>
      <c r="J5" s="1567" t="s">
        <v>283</v>
      </c>
      <c r="K5" s="1568"/>
      <c r="L5" s="384"/>
      <c r="M5" s="1571" t="s">
        <v>507</v>
      </c>
      <c r="N5" s="1572"/>
      <c r="P5" s="1567" t="s">
        <v>284</v>
      </c>
      <c r="Q5" s="1568"/>
      <c r="S5" s="1567" t="s">
        <v>285</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2778</v>
      </c>
      <c r="X6" s="1641"/>
    </row>
    <row r="7" spans="1:24" s="329" customFormat="1" ht="12" customHeight="1">
      <c r="B7" s="331" t="s">
        <v>104</v>
      </c>
      <c r="O7" s="543" t="str">
        <f>B7</f>
        <v>PRE-DEVELOPMENT COSTS</v>
      </c>
      <c r="W7" s="329" t="str">
        <f>B7</f>
        <v>PRE-DEVELOPMENT COSTS</v>
      </c>
    </row>
    <row r="8" spans="1:24" s="329" customFormat="1" ht="12.6" customHeight="1">
      <c r="B8" s="329" t="s">
        <v>2076</v>
      </c>
      <c r="G8" s="2870">
        <v>6000</v>
      </c>
      <c r="H8" s="2871"/>
      <c r="J8" s="2870">
        <v>6000</v>
      </c>
      <c r="K8" s="2871"/>
      <c r="L8" s="1405"/>
      <c r="M8" s="2870"/>
      <c r="N8" s="2871"/>
      <c r="P8" s="2870"/>
      <c r="Q8" s="2871"/>
      <c r="S8" s="2870"/>
      <c r="T8" s="2871"/>
      <c r="V8" s="2872"/>
      <c r="W8" s="2873"/>
      <c r="X8" s="2874"/>
    </row>
    <row r="9" spans="1:24" s="329" customFormat="1" ht="12.6" customHeight="1">
      <c r="B9" s="329" t="s">
        <v>474</v>
      </c>
      <c r="G9" s="2870">
        <v>7000</v>
      </c>
      <c r="H9" s="2871"/>
      <c r="J9" s="2870">
        <v>7000</v>
      </c>
      <c r="K9" s="2871"/>
      <c r="L9" s="1405"/>
      <c r="M9" s="2870"/>
      <c r="N9" s="2871"/>
      <c r="P9" s="2870"/>
      <c r="Q9" s="2871"/>
      <c r="S9" s="2870"/>
      <c r="T9" s="2871"/>
      <c r="V9" s="2872"/>
      <c r="W9" s="2875"/>
      <c r="X9" s="2876"/>
    </row>
    <row r="10" spans="1:24" s="329" customFormat="1" ht="12.6" customHeight="1">
      <c r="B10" s="329" t="s">
        <v>504</v>
      </c>
      <c r="G10" s="2870">
        <v>7500</v>
      </c>
      <c r="H10" s="2871"/>
      <c r="J10" s="2870">
        <v>7500</v>
      </c>
      <c r="K10" s="2871"/>
      <c r="L10" s="1405"/>
      <c r="M10" s="2870"/>
      <c r="N10" s="2871"/>
      <c r="P10" s="2870"/>
      <c r="Q10" s="2871"/>
      <c r="S10" s="2870"/>
      <c r="T10" s="2871"/>
      <c r="V10" s="2872"/>
      <c r="W10" s="2875"/>
      <c r="X10" s="2876"/>
    </row>
    <row r="11" spans="1:24" s="329" customFormat="1" ht="12.6" customHeight="1">
      <c r="B11" s="329" t="s">
        <v>505</v>
      </c>
      <c r="G11" s="2870">
        <v>6500</v>
      </c>
      <c r="H11" s="2871"/>
      <c r="J11" s="2870">
        <v>6500</v>
      </c>
      <c r="K11" s="2871"/>
      <c r="L11" s="1405"/>
      <c r="M11" s="2870"/>
      <c r="N11" s="2871"/>
      <c r="P11" s="2870"/>
      <c r="Q11" s="2871"/>
      <c r="S11" s="2870"/>
      <c r="T11" s="2871"/>
      <c r="V11" s="2872"/>
      <c r="W11" s="2875"/>
      <c r="X11" s="2876"/>
    </row>
    <row r="12" spans="1:24" s="329" customFormat="1" ht="12.6" customHeight="1">
      <c r="B12" s="329" t="s">
        <v>2586</v>
      </c>
      <c r="G12" s="2870">
        <v>5400</v>
      </c>
      <c r="H12" s="2871"/>
      <c r="J12" s="2870">
        <v>5400</v>
      </c>
      <c r="K12" s="2871"/>
      <c r="L12" s="1405"/>
      <c r="M12" s="2870"/>
      <c r="N12" s="2871"/>
      <c r="P12" s="2870"/>
      <c r="Q12" s="2871"/>
      <c r="S12" s="2870"/>
      <c r="T12" s="2871"/>
      <c r="V12" s="2872"/>
      <c r="W12" s="2875"/>
      <c r="X12" s="2876"/>
    </row>
    <row r="13" spans="1:24" s="329" customFormat="1" ht="12.6" customHeight="1">
      <c r="B13" s="329" t="s">
        <v>196</v>
      </c>
      <c r="G13" s="2870"/>
      <c r="H13" s="2871"/>
      <c r="J13" s="2870"/>
      <c r="K13" s="2871"/>
      <c r="L13" s="1405"/>
      <c r="M13" s="2870"/>
      <c r="N13" s="2871"/>
      <c r="P13" s="2870"/>
      <c r="Q13" s="2871"/>
      <c r="S13" s="2870"/>
      <c r="T13" s="2871"/>
      <c r="V13" s="2872"/>
      <c r="W13" s="2875"/>
      <c r="X13" s="2876"/>
    </row>
    <row r="14" spans="1:24" s="329" customFormat="1" ht="12.6" customHeight="1">
      <c r="A14" s="412" t="str">
        <f>IF(AND(G14&gt;0,OR(C14="",C14="&lt;Enter detailed description here; use Comments section if needed&gt;")),"X","")</f>
        <v/>
      </c>
      <c r="B14" s="329" t="s">
        <v>771</v>
      </c>
      <c r="C14" s="2634" t="s">
        <v>4194</v>
      </c>
      <c r="D14" s="2634"/>
      <c r="E14" s="2634"/>
      <c r="F14" s="2635"/>
      <c r="G14" s="2870"/>
      <c r="H14" s="2871"/>
      <c r="J14" s="2870"/>
      <c r="K14" s="2871"/>
      <c r="L14" s="1405"/>
      <c r="M14" s="2870"/>
      <c r="N14" s="2871"/>
      <c r="P14" s="2870"/>
      <c r="Q14" s="2871"/>
      <c r="S14" s="2870"/>
      <c r="T14" s="2871"/>
      <c r="U14" s="411" t="str">
        <f>IF(AND(G14&gt;0,OR(C14="",C14="&lt;Enter detailed description here; use Comments section if needed&gt;")),"NO DESCRIPTION PROVIDED - please enter detailed description in Other box at left; use Comments section below if needed.","")</f>
        <v/>
      </c>
      <c r="V14" s="2877"/>
      <c r="W14" s="2875"/>
      <c r="X14" s="2876"/>
    </row>
    <row r="15" spans="1:24" s="329" customFormat="1" ht="12.6" customHeight="1">
      <c r="A15" s="412" t="str">
        <f>IF(AND(G15&gt;0,OR(C15="",C15="&lt;Enter detailed description here; use Comments section if needed&gt;")),"X","")</f>
        <v/>
      </c>
      <c r="B15" s="329" t="s">
        <v>771</v>
      </c>
      <c r="C15" s="2634" t="s">
        <v>4194</v>
      </c>
      <c r="D15" s="2634"/>
      <c r="E15" s="2634"/>
      <c r="F15" s="2635"/>
      <c r="G15" s="2870"/>
      <c r="H15" s="2871"/>
      <c r="J15" s="2870"/>
      <c r="K15" s="2871"/>
      <c r="L15" s="1405"/>
      <c r="M15" s="2870"/>
      <c r="N15" s="2871"/>
      <c r="P15" s="2870"/>
      <c r="Q15" s="2871"/>
      <c r="S15" s="2870"/>
      <c r="T15" s="2871"/>
      <c r="U15" s="411" t="str">
        <f>IF(AND(G15&gt;0,OR(C15="",C15="&lt;Enter detailed description here; use Comments section if needed&gt;")),"NO DESCRIPTION PROVIDED - please enter detailed description in Other box at left; use Comments section below if needed.","")</f>
        <v/>
      </c>
      <c r="V15" s="2877"/>
      <c r="W15" s="2875"/>
      <c r="X15" s="2876"/>
    </row>
    <row r="16" spans="1:24" s="329" customFormat="1" ht="12.6" customHeight="1" thickBot="1">
      <c r="A16" s="412" t="str">
        <f>IF(AND(G16&gt;0,OR(C16="",C16="&lt;Enter detailed description here; use Comments section if needed&gt;")),"X","")</f>
        <v/>
      </c>
      <c r="B16" s="329" t="s">
        <v>771</v>
      </c>
      <c r="C16" s="2634" t="s">
        <v>4194</v>
      </c>
      <c r="D16" s="2634"/>
      <c r="E16" s="2634"/>
      <c r="F16" s="2635"/>
      <c r="G16" s="2870"/>
      <c r="H16" s="2871"/>
      <c r="J16" s="2878"/>
      <c r="K16" s="2879"/>
      <c r="L16" s="1405"/>
      <c r="M16" s="2870"/>
      <c r="N16" s="2871"/>
      <c r="P16" s="2870"/>
      <c r="Q16" s="2871"/>
      <c r="S16" s="2878"/>
      <c r="T16" s="2879"/>
      <c r="U16" s="411" t="str">
        <f>IF(AND(G16&gt;0,OR(C16="",C16="&lt;Enter detailed description here; use Comments section if needed&gt;")),"NO DESCRIPTION PROVIDED - please enter detailed description in Other box at left; use Comments section below if needed.","")</f>
        <v/>
      </c>
      <c r="V16" s="2877"/>
      <c r="W16" s="2875"/>
      <c r="X16" s="2876"/>
    </row>
    <row r="17" spans="2:24" s="329" customFormat="1" ht="12.6" customHeight="1" thickTop="1">
      <c r="F17" s="385" t="s">
        <v>197</v>
      </c>
      <c r="G17" s="1576">
        <f>SUM(G8:H16)</f>
        <v>32400</v>
      </c>
      <c r="H17" s="1577"/>
      <c r="J17" s="1576">
        <f>SUM(J8:K16)</f>
        <v>32400</v>
      </c>
      <c r="K17" s="1642"/>
      <c r="L17" s="1405"/>
      <c r="M17" s="1576">
        <f>SUM(M8:N16)</f>
        <v>0</v>
      </c>
      <c r="N17" s="1577"/>
      <c r="P17" s="1576">
        <f>SUM(P8:Q16)</f>
        <v>0</v>
      </c>
      <c r="Q17" s="1577"/>
      <c r="S17" s="1576">
        <f>SUM(S8:T16)</f>
        <v>0</v>
      </c>
      <c r="T17" s="1577"/>
      <c r="V17" s="2880">
        <f>SUM(V8:V16)</f>
        <v>0</v>
      </c>
      <c r="W17" s="2881"/>
      <c r="X17" s="2882"/>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0"/>
      <c r="H19" s="2871"/>
      <c r="J19" s="387"/>
      <c r="K19" s="384"/>
      <c r="L19" s="387"/>
      <c r="M19" s="387"/>
      <c r="N19" s="384"/>
      <c r="P19" s="387"/>
      <c r="Q19" s="384"/>
      <c r="S19" s="2870"/>
      <c r="T19" s="2871"/>
      <c r="V19" s="2872"/>
      <c r="W19" s="2873"/>
      <c r="X19" s="2874"/>
    </row>
    <row r="20" spans="2:24" s="329" customFormat="1" ht="12.6" customHeight="1">
      <c r="B20" s="329" t="s">
        <v>1157</v>
      </c>
      <c r="G20" s="2870"/>
      <c r="H20" s="2871"/>
      <c r="J20" s="387"/>
      <c r="K20" s="384"/>
      <c r="L20" s="387"/>
      <c r="M20" s="387"/>
      <c r="N20" s="384"/>
      <c r="P20" s="387"/>
      <c r="Q20" s="384"/>
      <c r="S20" s="2870"/>
      <c r="T20" s="2871"/>
      <c r="V20" s="2872"/>
      <c r="W20" s="2875"/>
      <c r="X20" s="2876"/>
    </row>
    <row r="21" spans="2:24" s="329" customFormat="1" ht="12.6" customHeight="1">
      <c r="B21" s="329" t="s">
        <v>475</v>
      </c>
      <c r="G21" s="2870"/>
      <c r="H21" s="2871"/>
      <c r="J21" s="387"/>
      <c r="K21" s="384"/>
      <c r="L21" s="387"/>
      <c r="M21" s="2870"/>
      <c r="N21" s="2871"/>
      <c r="P21" s="387"/>
      <c r="Q21" s="384"/>
      <c r="S21" s="2870"/>
      <c r="T21" s="2871"/>
      <c r="V21" s="2872"/>
      <c r="W21" s="2875"/>
      <c r="X21" s="2876"/>
    </row>
    <row r="22" spans="2:24" s="329" customFormat="1" ht="12.6" customHeight="1" thickBot="1">
      <c r="B22" s="329" t="s">
        <v>445</v>
      </c>
      <c r="G22" s="2883"/>
      <c r="H22" s="2884"/>
      <c r="J22" s="387"/>
      <c r="K22" s="384"/>
      <c r="L22" s="387"/>
      <c r="M22" s="2883"/>
      <c r="N22" s="2884"/>
      <c r="P22" s="387"/>
      <c r="Q22" s="384"/>
      <c r="S22" s="2870"/>
      <c r="T22" s="2871"/>
      <c r="V22" s="2872"/>
      <c r="W22" s="2875"/>
      <c r="X22" s="2876"/>
    </row>
    <row r="23" spans="2:24" s="329" customFormat="1" ht="12.6" customHeight="1" thickTop="1">
      <c r="F23" s="385" t="s">
        <v>197</v>
      </c>
      <c r="G23" s="1576">
        <f>SUM(G19:H22)</f>
        <v>0</v>
      </c>
      <c r="H23" s="1577"/>
      <c r="J23" s="387"/>
      <c r="K23" s="384"/>
      <c r="L23" s="387"/>
      <c r="M23" s="1576">
        <f>SUM(M21:N22)</f>
        <v>0</v>
      </c>
      <c r="N23" s="1577"/>
      <c r="P23" s="387"/>
      <c r="Q23" s="384"/>
      <c r="S23" s="1576">
        <f>SUM(S19:T22)</f>
        <v>0</v>
      </c>
      <c r="T23" s="1577"/>
      <c r="V23" s="2880">
        <f>SUM(V19:V22)</f>
        <v>0</v>
      </c>
      <c r="W23" s="2881"/>
      <c r="X23" s="2882"/>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0">
        <v>1100000</v>
      </c>
      <c r="H25" s="2871"/>
      <c r="J25" s="2878">
        <v>1045000</v>
      </c>
      <c r="K25" s="2879"/>
      <c r="L25" s="1405"/>
      <c r="M25" s="2878"/>
      <c r="N25" s="2879"/>
      <c r="P25" s="2878"/>
      <c r="Q25" s="2879"/>
      <c r="S25" s="2870">
        <v>55000</v>
      </c>
      <c r="T25" s="2871"/>
      <c r="V25" s="2872"/>
      <c r="W25" s="2873"/>
      <c r="X25" s="2874"/>
    </row>
    <row r="26" spans="2:24" s="329" customFormat="1" ht="12.6" customHeight="1" thickBot="1">
      <c r="B26" s="329" t="s">
        <v>1160</v>
      </c>
      <c r="G26" s="2870">
        <v>54459</v>
      </c>
      <c r="H26" s="2871"/>
      <c r="J26" s="2878"/>
      <c r="K26" s="2879"/>
      <c r="L26" s="388"/>
      <c r="M26" s="1620"/>
      <c r="N26" s="1620"/>
      <c r="P26" s="1620"/>
      <c r="Q26" s="1620"/>
      <c r="S26" s="2870">
        <v>54459</v>
      </c>
      <c r="T26" s="2871"/>
      <c r="V26" s="2872"/>
      <c r="W26" s="2875"/>
      <c r="X26" s="2876"/>
    </row>
    <row r="27" spans="2:24" s="329" customFormat="1" ht="12.6" customHeight="1" thickTop="1">
      <c r="F27" s="385" t="s">
        <v>197</v>
      </c>
      <c r="G27" s="1576">
        <f>SUM(G25:H26)</f>
        <v>1154459</v>
      </c>
      <c r="H27" s="1577"/>
      <c r="J27" s="1576">
        <f>SUM(J25:K26)</f>
        <v>1045000</v>
      </c>
      <c r="K27" s="1577"/>
      <c r="L27" s="387"/>
      <c r="M27" s="1576">
        <f>M25</f>
        <v>0</v>
      </c>
      <c r="N27" s="1577"/>
      <c r="P27" s="1576">
        <f>P25</f>
        <v>0</v>
      </c>
      <c r="Q27" s="1577"/>
      <c r="S27" s="1576">
        <f>SUM(S25:T26)</f>
        <v>109459</v>
      </c>
      <c r="T27" s="1577"/>
      <c r="V27" s="2880">
        <f>SUM(V25:V26)</f>
        <v>0</v>
      </c>
      <c r="W27" s="2881"/>
      <c r="X27" s="2882"/>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0">
        <v>4981730</v>
      </c>
      <c r="H29" s="2871"/>
      <c r="J29" s="2870">
        <v>4981730</v>
      </c>
      <c r="K29" s="2871"/>
      <c r="L29" s="1405"/>
      <c r="M29" s="2870"/>
      <c r="N29" s="2871"/>
      <c r="P29" s="2870"/>
      <c r="Q29" s="2871"/>
      <c r="S29" s="2870"/>
      <c r="T29" s="2871"/>
      <c r="V29" s="2872"/>
      <c r="W29" s="2873"/>
      <c r="X29" s="2874"/>
    </row>
    <row r="30" spans="2:24" s="329" customFormat="1" ht="12.6" customHeight="1">
      <c r="B30" s="329" t="s">
        <v>1163</v>
      </c>
      <c r="G30" s="2870"/>
      <c r="H30" s="2871"/>
      <c r="J30" s="2870"/>
      <c r="K30" s="2871"/>
      <c r="L30" s="1405"/>
      <c r="M30" s="2870"/>
      <c r="N30" s="2871"/>
      <c r="P30" s="2870"/>
      <c r="Q30" s="2871"/>
      <c r="S30" s="2870"/>
      <c r="T30" s="2871"/>
      <c r="V30" s="2872"/>
      <c r="W30" s="2875"/>
      <c r="X30" s="2876"/>
    </row>
    <row r="31" spans="2:24" s="329" customFormat="1" ht="12.6" customHeight="1">
      <c r="B31" s="329" t="s">
        <v>2897</v>
      </c>
      <c r="G31" s="2870">
        <v>250000</v>
      </c>
      <c r="H31" s="2871"/>
      <c r="J31" s="2870">
        <v>250000</v>
      </c>
      <c r="K31" s="2871"/>
      <c r="L31" s="1405"/>
      <c r="M31" s="2870"/>
      <c r="N31" s="2871"/>
      <c r="P31" s="2870"/>
      <c r="Q31" s="2871"/>
      <c r="S31" s="2870"/>
      <c r="T31" s="2871"/>
      <c r="V31" s="2872"/>
      <c r="W31" s="2875"/>
      <c r="X31" s="2876"/>
    </row>
    <row r="32" spans="2:24" ht="12.6" customHeight="1" thickBot="1">
      <c r="B32" s="329" t="s">
        <v>2896</v>
      </c>
      <c r="G32" s="2870"/>
      <c r="H32" s="2871"/>
      <c r="I32" s="329"/>
      <c r="J32" s="2870"/>
      <c r="K32" s="2871"/>
      <c r="L32" s="1405"/>
      <c r="M32" s="2870"/>
      <c r="N32" s="2871"/>
      <c r="O32" s="329"/>
      <c r="P32" s="2870"/>
      <c r="Q32" s="2871"/>
      <c r="R32" s="329"/>
      <c r="S32" s="2870"/>
      <c r="T32" s="2871"/>
      <c r="V32" s="2872"/>
      <c r="W32" s="2875"/>
      <c r="X32" s="2876"/>
    </row>
    <row r="33" spans="1:24" s="329" customFormat="1" ht="12.6" customHeight="1" thickTop="1">
      <c r="C33" s="1575"/>
      <c r="D33" s="1575"/>
      <c r="E33" s="1409"/>
      <c r="F33" s="385" t="s">
        <v>197</v>
      </c>
      <c r="G33" s="1576">
        <f>SUM(G29:H32)</f>
        <v>5231730</v>
      </c>
      <c r="H33" s="1577"/>
      <c r="J33" s="1576">
        <f>SUM(J29:K32)</f>
        <v>5231730</v>
      </c>
      <c r="K33" s="1577"/>
      <c r="L33" s="1405"/>
      <c r="M33" s="1576">
        <f>SUM(M29:N32)</f>
        <v>0</v>
      </c>
      <c r="N33" s="1577"/>
      <c r="P33" s="1576">
        <f>SUM(P29:Q32)</f>
        <v>0</v>
      </c>
      <c r="Q33" s="1577"/>
      <c r="S33" s="1576">
        <f>SUM(S29:T32)</f>
        <v>0</v>
      </c>
      <c r="T33" s="1577"/>
      <c r="V33" s="2880">
        <f>SUM(V29:V32)</f>
        <v>0</v>
      </c>
      <c r="W33" s="2881"/>
      <c r="X33" s="2882"/>
    </row>
    <row r="34" spans="1:24" s="329" customFormat="1" ht="12" customHeight="1">
      <c r="B34" s="331" t="s">
        <v>2424</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383171.33999999997</v>
      </c>
      <c r="G35" s="2870">
        <v>383171</v>
      </c>
      <c r="H35" s="2871"/>
      <c r="I35" s="348"/>
      <c r="J35" s="2870">
        <v>383171</v>
      </c>
      <c r="K35" s="2871"/>
      <c r="L35" s="1405"/>
      <c r="M35" s="2870"/>
      <c r="N35" s="2871"/>
      <c r="P35" s="2870"/>
      <c r="Q35" s="2871"/>
      <c r="S35" s="2870"/>
      <c r="T35" s="2871"/>
      <c r="V35" s="2872"/>
      <c r="W35" s="2873"/>
      <c r="X35" s="2874"/>
    </row>
    <row r="36" spans="1:24" s="329" customFormat="1" ht="12.6" customHeight="1">
      <c r="B36" s="329" t="s">
        <v>2850</v>
      </c>
      <c r="E36" s="443">
        <f>'DCA Underwriting Assumptions'!$R$81</f>
        <v>0.02</v>
      </c>
      <c r="F36" s="444">
        <f>E36*(G27+G33)</f>
        <v>127723.78</v>
      </c>
      <c r="G36" s="2870">
        <v>127723</v>
      </c>
      <c r="H36" s="2871"/>
      <c r="I36" s="348"/>
      <c r="J36" s="2870">
        <v>127723</v>
      </c>
      <c r="K36" s="2871"/>
      <c r="L36" s="1405"/>
      <c r="M36" s="2870"/>
      <c r="N36" s="2871"/>
      <c r="P36" s="2870"/>
      <c r="Q36" s="2871"/>
      <c r="S36" s="2870"/>
      <c r="T36" s="2871"/>
      <c r="V36" s="2872"/>
      <c r="W36" s="2875"/>
      <c r="X36" s="2876"/>
    </row>
    <row r="37" spans="1:24" s="329" customFormat="1" ht="12.6" customHeight="1" thickBot="1">
      <c r="B37" s="329" t="s">
        <v>2851</v>
      </c>
      <c r="E37" s="443">
        <f>'DCA Underwriting Assumptions'!$R$82</f>
        <v>0.06</v>
      </c>
      <c r="F37" s="444">
        <f>E37*(G27+G33)</f>
        <v>383171.33999999997</v>
      </c>
      <c r="G37" s="2870">
        <v>383171</v>
      </c>
      <c r="H37" s="2871"/>
      <c r="I37" s="348"/>
      <c r="J37" s="2870">
        <v>383171</v>
      </c>
      <c r="K37" s="2871"/>
      <c r="L37" s="1405"/>
      <c r="M37" s="2870"/>
      <c r="N37" s="2871"/>
      <c r="P37" s="2870"/>
      <c r="Q37" s="2871"/>
      <c r="S37" s="2870"/>
      <c r="T37" s="2871"/>
      <c r="V37" s="2872"/>
      <c r="W37" s="2875"/>
      <c r="X37" s="2876"/>
    </row>
    <row r="38" spans="1:24" s="329" customFormat="1" ht="12.6" customHeight="1" thickTop="1">
      <c r="B38" s="329" t="s">
        <v>2117</v>
      </c>
      <c r="D38" s="392"/>
      <c r="E38" s="1397"/>
      <c r="F38" s="445" t="s">
        <v>197</v>
      </c>
      <c r="G38" s="1576">
        <f>SUM(G35:H37)</f>
        <v>894065</v>
      </c>
      <c r="H38" s="1577"/>
      <c r="J38" s="1576">
        <f>SUM(J35:K37)</f>
        <v>894065</v>
      </c>
      <c r="K38" s="1577"/>
      <c r="L38" s="387"/>
      <c r="M38" s="1576">
        <f>SUM(M35:N37)</f>
        <v>0</v>
      </c>
      <c r="N38" s="1577"/>
      <c r="P38" s="1576">
        <f>SUM(P35:Q37)</f>
        <v>0</v>
      </c>
      <c r="Q38" s="1577"/>
      <c r="S38" s="1576">
        <f>SUM(S35:T37)</f>
        <v>0</v>
      </c>
      <c r="T38" s="1577"/>
      <c r="V38" s="2880">
        <f>SUM(V35:V37)</f>
        <v>0</v>
      </c>
      <c r="W38" s="2881"/>
      <c r="X38" s="2882"/>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4" t="s">
        <v>4194</v>
      </c>
      <c r="D41" s="2885"/>
      <c r="E41" s="2885"/>
      <c r="F41" s="2886"/>
      <c r="G41" s="2870"/>
      <c r="H41" s="2871"/>
      <c r="I41" s="329"/>
      <c r="J41" s="2870"/>
      <c r="K41" s="2871"/>
      <c r="L41" s="1405"/>
      <c r="M41" s="2870"/>
      <c r="N41" s="2871"/>
      <c r="O41" s="329"/>
      <c r="P41" s="2870"/>
      <c r="Q41" s="2871"/>
      <c r="R41" s="329"/>
      <c r="S41" s="2870"/>
      <c r="T41" s="2871"/>
      <c r="V41" s="2872"/>
      <c r="W41" s="2873"/>
      <c r="X41" s="2874"/>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5"/>
      <c r="X42" s="2876"/>
    </row>
    <row r="43" spans="1:24" s="329" customFormat="1" ht="12.6" customHeight="1">
      <c r="B43" s="584" t="s">
        <v>2860</v>
      </c>
      <c r="C43" s="585"/>
      <c r="E43" s="1630" t="s">
        <v>2859</v>
      </c>
      <c r="F43" s="1406">
        <f>B44/'Part VI-Revenues &amp; Expenses'!$O$60</f>
        <v>113753.96875</v>
      </c>
      <c r="G43" s="582" t="s">
        <v>2888</v>
      </c>
      <c r="H43" s="544"/>
      <c r="I43" s="544"/>
      <c r="J43" s="1627">
        <f>B44/'Part VI-Revenues &amp; Expenses'!$O$62</f>
        <v>113753.96875</v>
      </c>
      <c r="K43" s="1627"/>
      <c r="L43" s="544"/>
      <c r="M43" s="1629" t="s">
        <v>1454</v>
      </c>
      <c r="N43" s="1629"/>
      <c r="O43" s="544"/>
      <c r="P43" s="1627">
        <f>B44/'Part I-Project Information'!$P$60</f>
        <v>104.5998477033376</v>
      </c>
      <c r="Q43" s="1627"/>
      <c r="R43" s="544"/>
      <c r="S43" s="1639" t="s">
        <v>2895</v>
      </c>
      <c r="T43" s="1640"/>
      <c r="W43" s="2875"/>
      <c r="X43" s="2876"/>
    </row>
    <row r="44" spans="1:24" s="329" customFormat="1" ht="12.6" customHeight="1">
      <c r="B44" s="1633">
        <f>G27+G33+G38+G41</f>
        <v>7280254</v>
      </c>
      <c r="C44" s="1634"/>
      <c r="E44" s="1631"/>
      <c r="F44" s="1407">
        <f>B44/'Part VI-Revenues &amp; Expenses'!$O$117</f>
        <v>109.37881610576923</v>
      </c>
      <c r="G44" s="583" t="s">
        <v>2889</v>
      </c>
      <c r="H44" s="1403"/>
      <c r="I44" s="1403"/>
      <c r="J44" s="1628">
        <f>B44/'Part VI-Revenues &amp; Expenses'!$O$119</f>
        <v>109.37881610576923</v>
      </c>
      <c r="K44" s="1628"/>
      <c r="L44" s="1403"/>
      <c r="M44" s="1626" t="s">
        <v>2894</v>
      </c>
      <c r="N44" s="1626"/>
      <c r="O44" s="1403"/>
      <c r="P44" s="1403"/>
      <c r="Q44" s="1403"/>
      <c r="R44" s="1403"/>
      <c r="S44" s="1403"/>
      <c r="T44" s="377"/>
      <c r="W44" s="2881"/>
      <c r="X44" s="2882"/>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4.9999903849508545E-2</v>
      </c>
      <c r="G47" s="2870">
        <v>364012</v>
      </c>
      <c r="H47" s="2871"/>
      <c r="I47" s="329"/>
      <c r="J47" s="2870">
        <v>364012</v>
      </c>
      <c r="K47" s="2871"/>
      <c r="L47" s="1405"/>
      <c r="M47" s="2870"/>
      <c r="N47" s="2871"/>
      <c r="O47" s="329"/>
      <c r="P47" s="2870"/>
      <c r="Q47" s="2871"/>
      <c r="R47" s="329"/>
      <c r="S47" s="2870"/>
      <c r="T47" s="2871"/>
      <c r="V47" s="2872"/>
      <c r="W47" s="2887"/>
      <c r="X47" s="2888"/>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397"/>
      <c r="I50" s="1397"/>
      <c r="J50" s="1567" t="s">
        <v>283</v>
      </c>
      <c r="K50" s="1568"/>
      <c r="L50" s="384"/>
      <c r="M50" s="1571" t="s">
        <v>507</v>
      </c>
      <c r="N50" s="1572"/>
      <c r="P50" s="1567" t="s">
        <v>284</v>
      </c>
      <c r="Q50" s="1568"/>
      <c r="S50" s="1567" t="s">
        <v>285</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2778</v>
      </c>
      <c r="X51" s="164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0">
        <v>10600</v>
      </c>
      <c r="H53" s="2871"/>
      <c r="J53" s="2870"/>
      <c r="K53" s="2871"/>
      <c r="L53" s="1405"/>
      <c r="M53" s="2870"/>
      <c r="N53" s="2871"/>
      <c r="P53" s="2870"/>
      <c r="Q53" s="2871"/>
      <c r="S53" s="2870">
        <v>10600</v>
      </c>
      <c r="T53" s="2871"/>
      <c r="V53" s="2889"/>
      <c r="W53" s="2890"/>
      <c r="X53" s="2891"/>
    </row>
    <row r="54" spans="1:24" s="329" customFormat="1" ht="12" customHeight="1">
      <c r="B54" s="329" t="s">
        <v>2427</v>
      </c>
      <c r="G54" s="2870">
        <v>73385</v>
      </c>
      <c r="H54" s="2871"/>
      <c r="J54" s="2870">
        <v>73385</v>
      </c>
      <c r="K54" s="2871"/>
      <c r="L54" s="1405"/>
      <c r="M54" s="2870"/>
      <c r="N54" s="2871"/>
      <c r="P54" s="2870"/>
      <c r="Q54" s="2871"/>
      <c r="S54" s="2870"/>
      <c r="T54" s="2871"/>
      <c r="V54" s="2889"/>
      <c r="W54" s="2892"/>
      <c r="X54" s="2893"/>
    </row>
    <row r="55" spans="1:24" s="329" customFormat="1" ht="12" customHeight="1">
      <c r="B55" s="329" t="s">
        <v>2428</v>
      </c>
      <c r="G55" s="2870">
        <v>265450</v>
      </c>
      <c r="H55" s="2871"/>
      <c r="J55" s="2870">
        <v>231970</v>
      </c>
      <c r="K55" s="2871"/>
      <c r="L55" s="1405"/>
      <c r="M55" s="2870"/>
      <c r="N55" s="2871"/>
      <c r="P55" s="2870"/>
      <c r="Q55" s="2871"/>
      <c r="S55" s="2870">
        <v>33479</v>
      </c>
      <c r="T55" s="2871"/>
      <c r="V55" s="2889"/>
      <c r="W55" s="2892"/>
      <c r="X55" s="2893"/>
    </row>
    <row r="56" spans="1:24" s="329" customFormat="1" ht="12" customHeight="1">
      <c r="B56" s="329" t="s">
        <v>2429</v>
      </c>
      <c r="G56" s="2870"/>
      <c r="H56" s="2871"/>
      <c r="J56" s="2870"/>
      <c r="K56" s="2871"/>
      <c r="L56" s="1405"/>
      <c r="M56" s="2870"/>
      <c r="N56" s="2871"/>
      <c r="P56" s="2870"/>
      <c r="Q56" s="2871"/>
      <c r="S56" s="2870"/>
      <c r="T56" s="2871"/>
      <c r="V56" s="2889"/>
      <c r="W56" s="2892"/>
      <c r="X56" s="2893"/>
    </row>
    <row r="57" spans="1:24" s="329" customFormat="1" ht="12" customHeight="1">
      <c r="B57" s="329" t="s">
        <v>2787</v>
      </c>
      <c r="G57" s="2870">
        <v>9000</v>
      </c>
      <c r="H57" s="2871"/>
      <c r="J57" s="2870">
        <v>9000</v>
      </c>
      <c r="K57" s="2871"/>
      <c r="L57" s="1405"/>
      <c r="M57" s="2870"/>
      <c r="N57" s="2871"/>
      <c r="P57" s="2870"/>
      <c r="Q57" s="2871"/>
      <c r="S57" s="2870"/>
      <c r="T57" s="2871"/>
      <c r="V57" s="2889"/>
      <c r="W57" s="2892"/>
      <c r="X57" s="2893"/>
    </row>
    <row r="58" spans="1:24" s="329" customFormat="1" ht="12" customHeight="1">
      <c r="B58" s="329" t="s">
        <v>753</v>
      </c>
      <c r="G58" s="2870">
        <v>5500</v>
      </c>
      <c r="H58" s="2871"/>
      <c r="J58" s="2870">
        <v>5500</v>
      </c>
      <c r="K58" s="2871"/>
      <c r="L58" s="1405"/>
      <c r="M58" s="2870"/>
      <c r="N58" s="2871"/>
      <c r="P58" s="2870"/>
      <c r="Q58" s="2871"/>
      <c r="S58" s="2870"/>
      <c r="T58" s="2871"/>
      <c r="V58" s="2889"/>
      <c r="W58" s="2892"/>
      <c r="X58" s="2893"/>
    </row>
    <row r="59" spans="1:24" s="329" customFormat="1" ht="12" customHeight="1">
      <c r="B59" s="329" t="s">
        <v>2430</v>
      </c>
      <c r="G59" s="2870">
        <v>18000</v>
      </c>
      <c r="H59" s="2871"/>
      <c r="J59" s="2870">
        <v>18000</v>
      </c>
      <c r="K59" s="2871"/>
      <c r="L59" s="1405"/>
      <c r="M59" s="2870"/>
      <c r="N59" s="2871"/>
      <c r="P59" s="2870"/>
      <c r="Q59" s="2871"/>
      <c r="S59" s="2870"/>
      <c r="T59" s="2871"/>
      <c r="V59" s="2889"/>
      <c r="W59" s="2892"/>
      <c r="X59" s="2893"/>
    </row>
    <row r="60" spans="1:24" s="329" customFormat="1" ht="12" customHeight="1">
      <c r="B60" s="329" t="s">
        <v>1323</v>
      </c>
      <c r="G60" s="2870">
        <v>25000</v>
      </c>
      <c r="H60" s="2871"/>
      <c r="J60" s="2870">
        <v>25000</v>
      </c>
      <c r="K60" s="2871"/>
      <c r="L60" s="1405"/>
      <c r="M60" s="2870"/>
      <c r="N60" s="2871"/>
      <c r="P60" s="2870"/>
      <c r="Q60" s="2871"/>
      <c r="S60" s="2870"/>
      <c r="T60" s="2871"/>
      <c r="V60" s="2889"/>
      <c r="W60" s="2892"/>
      <c r="X60" s="2893"/>
    </row>
    <row r="61" spans="1:24" s="329" customFormat="1" ht="12" customHeight="1">
      <c r="B61" s="391" t="s">
        <v>1195</v>
      </c>
      <c r="D61" s="389"/>
      <c r="E61" s="389"/>
      <c r="F61" s="390"/>
      <c r="G61" s="2870"/>
      <c r="H61" s="2871"/>
      <c r="I61" s="348"/>
      <c r="J61" s="2870"/>
      <c r="K61" s="2871"/>
      <c r="L61" s="1405"/>
      <c r="M61" s="2870"/>
      <c r="N61" s="2871"/>
      <c r="P61" s="2870"/>
      <c r="Q61" s="2871"/>
      <c r="S61" s="2870"/>
      <c r="T61" s="2871"/>
      <c r="V61" s="2889"/>
      <c r="W61" s="2892"/>
      <c r="X61" s="2893"/>
    </row>
    <row r="62" spans="1:24" s="329" customFormat="1" ht="12" customHeight="1">
      <c r="A62" s="412" t="str">
        <f>IF(AND(G62&gt;0,OR(C62="",C62="&lt;Enter detailed description here; use Comments section if needed&gt;")),"X","")</f>
        <v/>
      </c>
      <c r="B62" s="329" t="s">
        <v>771</v>
      </c>
      <c r="C62" s="2634" t="s">
        <v>4194</v>
      </c>
      <c r="D62" s="2634"/>
      <c r="E62" s="2634"/>
      <c r="F62" s="2635"/>
      <c r="G62" s="2870"/>
      <c r="H62" s="2871"/>
      <c r="J62" s="2870"/>
      <c r="K62" s="2871"/>
      <c r="L62" s="1405"/>
      <c r="M62" s="2870"/>
      <c r="N62" s="2871"/>
      <c r="P62" s="2870"/>
      <c r="Q62" s="2871"/>
      <c r="S62" s="2870"/>
      <c r="T62" s="2871"/>
      <c r="U62" s="411" t="str">
        <f>IF(AND(G62&gt;0,OR(C62="",C62="&lt;Enter detailed description here; use Comments section if needed&gt;")),"NO DESCRIPTION PROVIDED - please enter detailed description in Other box at left; use Comments section below if needed.","")</f>
        <v/>
      </c>
      <c r="V62" s="2889"/>
      <c r="W62" s="2892"/>
      <c r="X62" s="2893"/>
    </row>
    <row r="63" spans="1:24" s="329" customFormat="1" ht="12" customHeight="1" thickBot="1">
      <c r="A63" s="412" t="str">
        <f>IF(AND(G63&gt;0,OR(C63="",C63="&lt;Enter detailed description here; use Comments section if needed&gt;")),"X","")</f>
        <v/>
      </c>
      <c r="B63" s="329" t="s">
        <v>771</v>
      </c>
      <c r="C63" s="2634" t="s">
        <v>4194</v>
      </c>
      <c r="D63" s="2634"/>
      <c r="E63" s="2634"/>
      <c r="F63" s="2635"/>
      <c r="G63" s="2870"/>
      <c r="H63" s="2871"/>
      <c r="J63" s="2870"/>
      <c r="K63" s="2871"/>
      <c r="L63" s="1405"/>
      <c r="M63" s="2870"/>
      <c r="N63" s="2871"/>
      <c r="P63" s="2870"/>
      <c r="Q63" s="2871"/>
      <c r="S63" s="2870"/>
      <c r="T63" s="2871"/>
      <c r="U63" s="411" t="str">
        <f>IF(AND(G63&gt;0,OR(C63="",C63="&lt;Enter detailed description here; use Comments section if needed&gt;")),"NO DESCRIPTION PROVIDED - please enter detailed description in Other box at left; use Comments section below if needed.","")</f>
        <v/>
      </c>
      <c r="V63" s="2889"/>
      <c r="W63" s="2892"/>
      <c r="X63" s="2893"/>
    </row>
    <row r="64" spans="1:24" s="329" customFormat="1" ht="12" customHeight="1" thickTop="1">
      <c r="F64" s="385" t="s">
        <v>197</v>
      </c>
      <c r="G64" s="1576">
        <f>SUM(G53:H63)</f>
        <v>406935</v>
      </c>
      <c r="H64" s="1577"/>
      <c r="J64" s="1576">
        <f>SUM(J53:K63)</f>
        <v>362855</v>
      </c>
      <c r="K64" s="1577"/>
      <c r="L64" s="387"/>
      <c r="M64" s="1576">
        <f>SUM(M53:N63)</f>
        <v>0</v>
      </c>
      <c r="N64" s="1577"/>
      <c r="P64" s="1576">
        <f>SUM(P53:Q63)</f>
        <v>0</v>
      </c>
      <c r="Q64" s="1577"/>
      <c r="S64" s="1576">
        <f>SUM(S53:T63)</f>
        <v>44079</v>
      </c>
      <c r="T64" s="1577"/>
      <c r="V64" s="2894">
        <f>SUM(V53:V63)</f>
        <v>0</v>
      </c>
      <c r="W64" s="2895"/>
      <c r="X64" s="2896"/>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0">
        <v>138240</v>
      </c>
      <c r="H66" s="2871"/>
      <c r="J66" s="2870">
        <v>138240</v>
      </c>
      <c r="K66" s="2871"/>
      <c r="L66" s="1405"/>
      <c r="M66" s="2870"/>
      <c r="N66" s="2871"/>
      <c r="P66" s="2870"/>
      <c r="Q66" s="2871"/>
      <c r="S66" s="2870"/>
      <c r="T66" s="2871"/>
      <c r="V66" s="2872"/>
      <c r="W66" s="2873"/>
      <c r="X66" s="2874"/>
    </row>
    <row r="67" spans="1:24" s="329" customFormat="1" ht="12" customHeight="1">
      <c r="B67" s="329" t="s">
        <v>495</v>
      </c>
      <c r="G67" s="2870">
        <v>28160</v>
      </c>
      <c r="H67" s="2871"/>
      <c r="J67" s="2870">
        <v>28160</v>
      </c>
      <c r="K67" s="2871"/>
      <c r="L67" s="1405"/>
      <c r="M67" s="2870"/>
      <c r="N67" s="2871"/>
      <c r="P67" s="2870"/>
      <c r="Q67" s="2871"/>
      <c r="S67" s="2870"/>
      <c r="T67" s="2871"/>
      <c r="V67" s="2872"/>
      <c r="W67" s="2875"/>
      <c r="X67" s="2876"/>
    </row>
    <row r="68" spans="1:24" s="329" customFormat="1" ht="12" customHeight="1">
      <c r="B68" s="329" t="s">
        <v>1166</v>
      </c>
      <c r="F68" s="329" t="s">
        <v>2874</v>
      </c>
      <c r="G68" s="2870">
        <v>20000</v>
      </c>
      <c r="H68" s="2871"/>
      <c r="J68" s="2870">
        <v>20000</v>
      </c>
      <c r="K68" s="2871"/>
      <c r="L68" s="1405"/>
      <c r="M68" s="2870"/>
      <c r="N68" s="2871"/>
      <c r="P68" s="2870"/>
      <c r="Q68" s="2871"/>
      <c r="S68" s="2870"/>
      <c r="T68" s="2871"/>
      <c r="V68" s="2872"/>
      <c r="W68" s="2875"/>
      <c r="X68" s="2876"/>
    </row>
    <row r="69" spans="1:24" s="329" customFormat="1" ht="12" customHeight="1">
      <c r="B69" s="329" t="s">
        <v>1167</v>
      </c>
      <c r="G69" s="2870">
        <v>18630</v>
      </c>
      <c r="H69" s="2871"/>
      <c r="J69" s="2870">
        <v>18630</v>
      </c>
      <c r="K69" s="2871"/>
      <c r="L69" s="1405"/>
      <c r="M69" s="2870"/>
      <c r="N69" s="2871"/>
      <c r="P69" s="2870"/>
      <c r="Q69" s="2871"/>
      <c r="S69" s="2870"/>
      <c r="T69" s="2871"/>
      <c r="V69" s="2872"/>
      <c r="W69" s="2875"/>
      <c r="X69" s="2876"/>
    </row>
    <row r="70" spans="1:24" s="329" customFormat="1" ht="12" customHeight="1">
      <c r="B70" s="329" t="s">
        <v>1168</v>
      </c>
      <c r="G70" s="2870">
        <v>18500</v>
      </c>
      <c r="H70" s="2871"/>
      <c r="J70" s="2870">
        <v>18500</v>
      </c>
      <c r="K70" s="2871"/>
      <c r="L70" s="1405"/>
      <c r="M70" s="2870"/>
      <c r="N70" s="2871"/>
      <c r="P70" s="2870"/>
      <c r="Q70" s="2871"/>
      <c r="S70" s="2870"/>
      <c r="T70" s="2871"/>
      <c r="V70" s="2872"/>
      <c r="W70" s="2875"/>
      <c r="X70" s="2876"/>
    </row>
    <row r="71" spans="1:24" s="329" customFormat="1" ht="12" customHeight="1">
      <c r="B71" s="329" t="s">
        <v>1169</v>
      </c>
      <c r="G71" s="2870">
        <v>25000</v>
      </c>
      <c r="H71" s="2871"/>
      <c r="J71" s="2870">
        <v>25000</v>
      </c>
      <c r="K71" s="2871"/>
      <c r="L71" s="1405"/>
      <c r="M71" s="2870"/>
      <c r="N71" s="2871"/>
      <c r="P71" s="2870"/>
      <c r="Q71" s="2871"/>
      <c r="S71" s="2870"/>
      <c r="T71" s="2871"/>
      <c r="V71" s="2872"/>
      <c r="W71" s="2875"/>
      <c r="X71" s="2876"/>
    </row>
    <row r="72" spans="1:24" s="329" customFormat="1" ht="12" customHeight="1">
      <c r="B72" s="329" t="s">
        <v>496</v>
      </c>
      <c r="G72" s="2870">
        <v>70000</v>
      </c>
      <c r="H72" s="2871"/>
      <c r="J72" s="2870">
        <v>70000</v>
      </c>
      <c r="K72" s="2871"/>
      <c r="L72" s="1405"/>
      <c r="M72" s="2870"/>
      <c r="N72" s="2871"/>
      <c r="P72" s="2870"/>
      <c r="Q72" s="2871"/>
      <c r="S72" s="2870"/>
      <c r="T72" s="2871"/>
      <c r="V72" s="2872"/>
      <c r="W72" s="2875"/>
      <c r="X72" s="2876"/>
    </row>
    <row r="73" spans="1:24" s="329" customFormat="1" ht="12" customHeight="1">
      <c r="B73" s="329" t="s">
        <v>497</v>
      </c>
      <c r="G73" s="2870">
        <v>75000</v>
      </c>
      <c r="H73" s="2871"/>
      <c r="J73" s="2870">
        <v>75000</v>
      </c>
      <c r="K73" s="2871"/>
      <c r="L73" s="1405"/>
      <c r="M73" s="2870"/>
      <c r="N73" s="2871"/>
      <c r="P73" s="2870"/>
      <c r="Q73" s="2871"/>
      <c r="S73" s="2870"/>
      <c r="T73" s="2871"/>
      <c r="V73" s="2872"/>
      <c r="W73" s="2875"/>
      <c r="X73" s="2876"/>
    </row>
    <row r="74" spans="1:24" s="329" customFormat="1" ht="12" customHeight="1">
      <c r="B74" s="329" t="s">
        <v>2127</v>
      </c>
      <c r="G74" s="2870">
        <v>15000</v>
      </c>
      <c r="H74" s="2871"/>
      <c r="J74" s="2870">
        <v>15000</v>
      </c>
      <c r="K74" s="2871"/>
      <c r="L74" s="1405"/>
      <c r="M74" s="2870"/>
      <c r="N74" s="2871"/>
      <c r="P74" s="2870"/>
      <c r="Q74" s="2871"/>
      <c r="S74" s="2870"/>
      <c r="T74" s="2871"/>
      <c r="V74" s="2872"/>
      <c r="W74" s="2875"/>
      <c r="X74" s="2876"/>
    </row>
    <row r="75" spans="1:24" s="329" customFormat="1" ht="12" customHeight="1">
      <c r="B75" s="329" t="s">
        <v>1324</v>
      </c>
      <c r="G75" s="2870">
        <v>3400</v>
      </c>
      <c r="H75" s="2871"/>
      <c r="J75" s="2870">
        <v>3400</v>
      </c>
      <c r="K75" s="2871"/>
      <c r="L75" s="1405"/>
      <c r="M75" s="2870"/>
      <c r="N75" s="2871"/>
      <c r="P75" s="2870"/>
      <c r="Q75" s="2871"/>
      <c r="S75" s="2870"/>
      <c r="T75" s="2871"/>
      <c r="V75" s="2872"/>
      <c r="W75" s="2875"/>
      <c r="X75" s="2876"/>
    </row>
    <row r="76" spans="1:24" s="329" customFormat="1" ht="12" customHeight="1" thickBot="1">
      <c r="A76" s="412" t="str">
        <f>IF(AND(G76&gt;0,OR(C76="",C76="&lt;Enter detailed description here; use Comments section if needed&gt;")),"X","")</f>
        <v/>
      </c>
      <c r="B76" s="329" t="s">
        <v>771</v>
      </c>
      <c r="C76" s="2634" t="s">
        <v>4194</v>
      </c>
      <c r="D76" s="2634"/>
      <c r="E76" s="2634"/>
      <c r="F76" s="2635"/>
      <c r="G76" s="2870"/>
      <c r="H76" s="2871"/>
      <c r="J76" s="2870"/>
      <c r="K76" s="2871"/>
      <c r="L76" s="1405"/>
      <c r="M76" s="2870"/>
      <c r="N76" s="2871"/>
      <c r="P76" s="2870"/>
      <c r="Q76" s="2871"/>
      <c r="S76" s="2870"/>
      <c r="T76" s="2871"/>
      <c r="U76" s="411" t="str">
        <f>IF(AND(G76&gt;0,OR(C76="",C76="&lt;Enter detailed description here; use Comments section if needed&gt;")),"NO DESCRIPTION PROVIDED - please enter detailed description in Other box at left; use Comments section below if needed.","")</f>
        <v/>
      </c>
      <c r="V76" s="2872"/>
      <c r="W76" s="2875"/>
      <c r="X76" s="2876"/>
    </row>
    <row r="77" spans="1:24" s="329" customFormat="1" ht="12" customHeight="1" thickTop="1">
      <c r="F77" s="385" t="s">
        <v>197</v>
      </c>
      <c r="G77" s="1576">
        <f>SUM(G66:H76)</f>
        <v>411930</v>
      </c>
      <c r="H77" s="1577"/>
      <c r="J77" s="1576">
        <f>SUM(J66:K76)</f>
        <v>411930</v>
      </c>
      <c r="K77" s="1577"/>
      <c r="L77" s="387"/>
      <c r="M77" s="1576">
        <f>SUM(M66:N76)</f>
        <v>0</v>
      </c>
      <c r="N77" s="1577"/>
      <c r="P77" s="1576">
        <f>SUM(P66:Q76)</f>
        <v>0</v>
      </c>
      <c r="Q77" s="1577"/>
      <c r="S77" s="1576">
        <f>SUM(S66:T76)</f>
        <v>0</v>
      </c>
      <c r="T77" s="1577"/>
      <c r="V77" s="2880">
        <f>SUM(V66:V76)</f>
        <v>0</v>
      </c>
      <c r="W77" s="2881"/>
      <c r="X77" s="2882"/>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0">
        <v>40000</v>
      </c>
      <c r="H79" s="2871"/>
      <c r="J79" s="2870">
        <v>40000</v>
      </c>
      <c r="K79" s="2871"/>
      <c r="L79" s="1405"/>
      <c r="M79" s="2870"/>
      <c r="N79" s="2871"/>
      <c r="P79" s="2870"/>
      <c r="Q79" s="2871"/>
      <c r="S79" s="2870"/>
      <c r="T79" s="2871"/>
      <c r="V79" s="2872"/>
      <c r="W79" s="2897"/>
      <c r="X79" s="2898"/>
    </row>
    <row r="80" spans="1:24" s="329" customFormat="1" ht="12" customHeight="1">
      <c r="B80" s="329" t="s">
        <v>1318</v>
      </c>
      <c r="G80" s="2870"/>
      <c r="H80" s="2871"/>
      <c r="J80" s="2870"/>
      <c r="K80" s="2871"/>
      <c r="L80" s="1405"/>
      <c r="M80" s="2870"/>
      <c r="N80" s="2871"/>
      <c r="P80" s="2870"/>
      <c r="Q80" s="2871"/>
      <c r="S80" s="2870"/>
      <c r="T80" s="2871"/>
      <c r="V80" s="2872"/>
      <c r="W80" s="2899"/>
      <c r="X80" s="2900"/>
    </row>
    <row r="81" spans="1:24" s="329" customFormat="1" ht="12" customHeight="1">
      <c r="B81" s="329" t="s">
        <v>1319</v>
      </c>
      <c r="D81" s="394" t="s">
        <v>1455</v>
      </c>
      <c r="E81" s="2901" t="s">
        <v>3156</v>
      </c>
      <c r="G81" s="2870">
        <v>97500</v>
      </c>
      <c r="H81" s="2871"/>
      <c r="I81" s="348"/>
      <c r="J81" s="2870">
        <v>97500</v>
      </c>
      <c r="K81" s="2871"/>
      <c r="L81" s="1405"/>
      <c r="M81" s="2870"/>
      <c r="N81" s="2871"/>
      <c r="P81" s="2870"/>
      <c r="Q81" s="2871"/>
      <c r="S81" s="2870"/>
      <c r="T81" s="2871"/>
      <c r="V81" s="2872"/>
      <c r="W81" s="2899"/>
      <c r="X81" s="2900"/>
    </row>
    <row r="82" spans="1:24" s="329" customFormat="1" ht="12" customHeight="1" thickBot="1">
      <c r="B82" s="329" t="s">
        <v>1320</v>
      </c>
      <c r="D82" s="394" t="s">
        <v>1455</v>
      </c>
      <c r="E82" s="2901" t="s">
        <v>3156</v>
      </c>
      <c r="G82" s="2870">
        <v>97500</v>
      </c>
      <c r="H82" s="2871"/>
      <c r="I82" s="348"/>
      <c r="J82" s="2870">
        <v>97500</v>
      </c>
      <c r="K82" s="2871"/>
      <c r="L82" s="1405"/>
      <c r="M82" s="2870"/>
      <c r="N82" s="2871"/>
      <c r="P82" s="2870"/>
      <c r="Q82" s="2871"/>
      <c r="S82" s="2870"/>
      <c r="T82" s="2871"/>
      <c r="V82" s="2872"/>
      <c r="W82" s="2899"/>
      <c r="X82" s="2900"/>
    </row>
    <row r="83" spans="1:24" s="329" customFormat="1" ht="12" customHeight="1" thickTop="1">
      <c r="F83" s="385" t="s">
        <v>197</v>
      </c>
      <c r="G83" s="1576">
        <f>SUM(G79:H82)</f>
        <v>235000</v>
      </c>
      <c r="H83" s="1577"/>
      <c r="J83" s="1576">
        <f>SUM(J79:K82)</f>
        <v>235000</v>
      </c>
      <c r="K83" s="1577"/>
      <c r="L83" s="387"/>
      <c r="M83" s="1576">
        <f>SUM(M79:N82)</f>
        <v>0</v>
      </c>
      <c r="N83" s="1577"/>
      <c r="P83" s="1576">
        <f>SUM(P79:Q82)</f>
        <v>0</v>
      </c>
      <c r="Q83" s="1577"/>
      <c r="S83" s="1576">
        <f>SUM(S79:T82)</f>
        <v>0</v>
      </c>
      <c r="T83" s="1577"/>
      <c r="V83" s="2880">
        <f>SUM(V79:V82)</f>
        <v>0</v>
      </c>
      <c r="W83" s="2902"/>
      <c r="X83" s="2903"/>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0">
        <v>10600</v>
      </c>
      <c r="H85" s="2871"/>
      <c r="J85" s="1566"/>
      <c r="K85" s="1566"/>
      <c r="L85" s="1405"/>
      <c r="M85" s="1566"/>
      <c r="N85" s="1566"/>
      <c r="P85" s="1566"/>
      <c r="Q85" s="1566"/>
      <c r="S85" s="2870">
        <v>10600</v>
      </c>
      <c r="T85" s="2871"/>
      <c r="V85" s="2872"/>
      <c r="W85" s="2897"/>
      <c r="X85" s="2898"/>
    </row>
    <row r="86" spans="1:24" s="329" customFormat="1" ht="12" customHeight="1">
      <c r="B86" s="329" t="s">
        <v>1322</v>
      </c>
      <c r="G86" s="2870">
        <v>25000</v>
      </c>
      <c r="H86" s="2871"/>
      <c r="J86" s="1566"/>
      <c r="K86" s="1566"/>
      <c r="L86" s="1405"/>
      <c r="M86" s="1566"/>
      <c r="N86" s="1566"/>
      <c r="P86" s="1566"/>
      <c r="Q86" s="1566"/>
      <c r="S86" s="2870">
        <v>25000</v>
      </c>
      <c r="T86" s="2871"/>
      <c r="V86" s="2872"/>
      <c r="W86" s="2899"/>
      <c r="X86" s="2900"/>
    </row>
    <row r="87" spans="1:24" s="329" customFormat="1" ht="12" customHeight="1">
      <c r="B87" s="329" t="s">
        <v>1323</v>
      </c>
      <c r="G87" s="2870"/>
      <c r="H87" s="2871"/>
      <c r="J87" s="1566"/>
      <c r="K87" s="1566"/>
      <c r="L87" s="1405"/>
      <c r="M87" s="1566"/>
      <c r="N87" s="1566"/>
      <c r="P87" s="1566"/>
      <c r="Q87" s="1566"/>
      <c r="S87" s="2870"/>
      <c r="T87" s="2871"/>
      <c r="V87" s="2872"/>
      <c r="W87" s="2899"/>
      <c r="X87" s="2900"/>
    </row>
    <row r="88" spans="1:24" s="329" customFormat="1" ht="12" customHeight="1">
      <c r="B88" s="329" t="s">
        <v>1325</v>
      </c>
      <c r="G88" s="2870"/>
      <c r="H88" s="2871"/>
      <c r="J88" s="1566"/>
      <c r="K88" s="1566"/>
      <c r="L88" s="1405"/>
      <c r="M88" s="1566"/>
      <c r="N88" s="1566"/>
      <c r="P88" s="1566"/>
      <c r="Q88" s="1566"/>
      <c r="S88" s="2870"/>
      <c r="T88" s="2871"/>
      <c r="V88" s="2872"/>
      <c r="W88" s="2899"/>
      <c r="X88" s="2900"/>
    </row>
    <row r="89" spans="1:24" s="329" customFormat="1" ht="12" customHeight="1">
      <c r="B89" s="329" t="s">
        <v>2378</v>
      </c>
      <c r="G89" s="2870"/>
      <c r="H89" s="2871"/>
      <c r="J89" s="1566"/>
      <c r="K89" s="1566"/>
      <c r="L89" s="1405"/>
      <c r="M89" s="1566"/>
      <c r="N89" s="1566"/>
      <c r="P89" s="1566"/>
      <c r="Q89" s="1566"/>
      <c r="S89" s="2870"/>
      <c r="T89" s="2871"/>
      <c r="V89" s="2872"/>
      <c r="W89" s="2899"/>
      <c r="X89" s="2900"/>
    </row>
    <row r="90" spans="1:24" s="329" customFormat="1" ht="12" customHeight="1" thickBot="1">
      <c r="A90" s="412" t="str">
        <f>IF(AND(G90&gt;0,OR(C90="",C90="&lt;Enter detailed description here; use Comments section if needed&gt;")),"X","")</f>
        <v/>
      </c>
      <c r="B90" s="329" t="s">
        <v>771</v>
      </c>
      <c r="C90" s="2634" t="s">
        <v>4194</v>
      </c>
      <c r="D90" s="2634"/>
      <c r="E90" s="2634"/>
      <c r="F90" s="2635"/>
      <c r="G90" s="2870"/>
      <c r="H90" s="2871"/>
      <c r="J90" s="1566"/>
      <c r="K90" s="1566"/>
      <c r="L90" s="1405"/>
      <c r="M90" s="1566"/>
      <c r="N90" s="1566"/>
      <c r="P90" s="1566"/>
      <c r="Q90" s="1566"/>
      <c r="S90" s="2870"/>
      <c r="T90" s="2871"/>
      <c r="U90" s="411" t="str">
        <f>IF(AND(G90&gt;0,OR(C90="",C90="&lt;Enter detailed description here; use Comments section if needed&gt;")),"NO DESCRIPTION PROVIDED - please enter detailed description in Other box at left; use Comments section below if needed.","")</f>
        <v/>
      </c>
      <c r="V90" s="2872"/>
      <c r="W90" s="2899"/>
      <c r="X90" s="2900"/>
    </row>
    <row r="91" spans="1:24" s="329" customFormat="1" ht="12" customHeight="1" thickTop="1">
      <c r="F91" s="385" t="s">
        <v>197</v>
      </c>
      <c r="G91" s="1576">
        <f>SUM(G85:H90)</f>
        <v>35600</v>
      </c>
      <c r="H91" s="1577"/>
      <c r="J91" s="1566"/>
      <c r="K91" s="1566"/>
      <c r="L91" s="387"/>
      <c r="M91" s="1566"/>
      <c r="N91" s="1566"/>
      <c r="P91" s="1566"/>
      <c r="Q91" s="1566"/>
      <c r="S91" s="1576">
        <f>SUM(S85:T90)</f>
        <v>35600</v>
      </c>
      <c r="T91" s="1577"/>
      <c r="V91" s="2880">
        <f>SUM(V85:V90)</f>
        <v>0</v>
      </c>
      <c r="W91" s="2902"/>
      <c r="X91" s="2903"/>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397"/>
      <c r="I93" s="1397"/>
      <c r="J93" s="1567" t="s">
        <v>283</v>
      </c>
      <c r="K93" s="1568"/>
      <c r="L93" s="384"/>
      <c r="M93" s="1571" t="s">
        <v>507</v>
      </c>
      <c r="N93" s="1572"/>
      <c r="P93" s="1567" t="s">
        <v>284</v>
      </c>
      <c r="Q93" s="1568"/>
      <c r="S93" s="1567" t="s">
        <v>285</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2778</v>
      </c>
      <c r="X94" s="164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0"/>
      <c r="H96" s="2871"/>
      <c r="J96" s="387"/>
      <c r="K96" s="387"/>
      <c r="L96" s="1405"/>
      <c r="M96" s="387"/>
      <c r="N96" s="387"/>
      <c r="P96" s="387"/>
      <c r="Q96" s="387"/>
      <c r="S96" s="2870"/>
      <c r="T96" s="2871"/>
      <c r="V96" s="2872"/>
      <c r="W96" s="2897"/>
      <c r="X96" s="2898"/>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0">
        <v>6500</v>
      </c>
      <c r="H97" s="2871"/>
      <c r="J97" s="387"/>
      <c r="K97" s="387"/>
      <c r="L97" s="395"/>
      <c r="M97" s="387"/>
      <c r="N97" s="387"/>
      <c r="P97" s="387"/>
      <c r="Q97" s="387"/>
      <c r="S97" s="2870">
        <v>6500</v>
      </c>
      <c r="T97" s="2871"/>
      <c r="V97" s="2872"/>
      <c r="W97" s="2899"/>
      <c r="X97" s="2900"/>
    </row>
    <row r="98" spans="1:24" s="329" customFormat="1" ht="12.6" customHeight="1">
      <c r="B98" s="329" t="s">
        <v>2790</v>
      </c>
      <c r="G98" s="2870"/>
      <c r="H98" s="2871"/>
      <c r="J98" s="387"/>
      <c r="K98" s="387"/>
      <c r="L98" s="395"/>
      <c r="M98" s="387"/>
      <c r="N98" s="387"/>
      <c r="O98" s="1397"/>
      <c r="P98" s="387"/>
      <c r="Q98" s="387"/>
      <c r="S98" s="2870"/>
      <c r="T98" s="2871"/>
      <c r="V98" s="2872"/>
      <c r="W98" s="2899"/>
      <c r="X98" s="2900"/>
    </row>
    <row r="99" spans="1:24" s="329" customFormat="1" ht="12.6" customHeight="1">
      <c r="B99" s="329" t="s">
        <v>538</v>
      </c>
      <c r="E99" s="1635">
        <f>'DCA Underwriting Assumptions'!$Q$83*J174</f>
        <v>65636.320000000007</v>
      </c>
      <c r="F99" s="1636"/>
      <c r="G99" s="2870">
        <v>65636</v>
      </c>
      <c r="H99" s="2871"/>
      <c r="J99" s="387"/>
      <c r="K99" s="387"/>
      <c r="L99" s="1405"/>
      <c r="M99" s="387"/>
      <c r="N99" s="387"/>
      <c r="O99" s="1397"/>
      <c r="P99" s="387"/>
      <c r="Q99" s="387"/>
      <c r="S99" s="2870">
        <v>65636</v>
      </c>
      <c r="T99" s="2871"/>
      <c r="V99" s="2872"/>
      <c r="W99" s="2899"/>
      <c r="X99" s="2900"/>
    </row>
    <row r="100" spans="1:24" s="329" customFormat="1" ht="12.6" customHeight="1">
      <c r="B100" s="329"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100" s="1636"/>
      <c r="G100" s="2870">
        <v>51200</v>
      </c>
      <c r="H100" s="2871"/>
      <c r="J100" s="299"/>
      <c r="K100" s="299"/>
      <c r="L100" s="299"/>
      <c r="M100" s="299"/>
      <c r="N100" s="299"/>
      <c r="O100" s="299"/>
      <c r="P100" s="299"/>
      <c r="Q100" s="299"/>
      <c r="S100" s="2870">
        <v>51200</v>
      </c>
      <c r="T100" s="2871"/>
      <c r="V100" s="2872"/>
      <c r="W100" s="2899"/>
      <c r="X100" s="2900"/>
    </row>
    <row r="101" spans="1:24" s="329" customFormat="1" ht="12.6" customHeight="1">
      <c r="B101" s="329" t="str">
        <f>CONCATENATE("DCA HOME Front End Analysis Fee (when ID of Interest; $",'DCA Underwriting Assumptions'!$Q$85,")")</f>
        <v>DCA HOME Front End Analysis Fee (when ID of Interest; $2700)</v>
      </c>
      <c r="G101" s="2870"/>
      <c r="H101" s="2871"/>
      <c r="J101" s="299"/>
      <c r="K101" s="299"/>
      <c r="L101" s="299"/>
      <c r="M101" s="299"/>
      <c r="N101" s="299"/>
      <c r="O101" s="299"/>
      <c r="P101" s="299"/>
      <c r="Q101" s="299"/>
      <c r="S101" s="2870"/>
      <c r="T101" s="2871"/>
      <c r="V101" s="2872"/>
      <c r="W101" s="2899"/>
      <c r="X101" s="2900"/>
    </row>
    <row r="102" spans="1:24" s="329" customFormat="1" ht="12.6" customHeight="1">
      <c r="B102" s="329" t="str">
        <f>CONCATENATE("DCA Final Inspection Fee (Tax Credit only - no HOME; $",'DCA Underwriting Assumptions'!$Q$106,")")</f>
        <v>DCA Final Inspection Fee (Tax Credit only - no HOME; $3000)</v>
      </c>
      <c r="G102" s="2870">
        <v>3000</v>
      </c>
      <c r="H102" s="2871"/>
      <c r="J102" s="299"/>
      <c r="K102" s="299"/>
      <c r="L102" s="299"/>
      <c r="M102" s="299"/>
      <c r="N102" s="299"/>
      <c r="O102" s="299"/>
      <c r="P102" s="299"/>
      <c r="Q102" s="299"/>
      <c r="S102" s="2870">
        <v>3000</v>
      </c>
      <c r="T102" s="2871"/>
      <c r="V102" s="2872"/>
      <c r="W102" s="2899"/>
      <c r="X102" s="2900"/>
    </row>
    <row r="103" spans="1:24" s="329" customFormat="1" ht="12.6" customHeight="1">
      <c r="A103" s="412" t="str">
        <f>IF(AND(G103&gt;0,OR(C103="",C103="&lt;Enter detailed description here; use Comments section if needed&gt;")),"X","")</f>
        <v/>
      </c>
      <c r="B103" s="329" t="s">
        <v>771</v>
      </c>
      <c r="C103" s="2634" t="s">
        <v>4194</v>
      </c>
      <c r="D103" s="2634"/>
      <c r="E103" s="2634"/>
      <c r="F103" s="2635"/>
      <c r="G103" s="2870"/>
      <c r="H103" s="2871"/>
      <c r="J103" s="299"/>
      <c r="K103" s="299"/>
      <c r="L103" s="299"/>
      <c r="M103" s="299"/>
      <c r="N103" s="299"/>
      <c r="O103" s="299"/>
      <c r="P103" s="299"/>
      <c r="Q103" s="299"/>
      <c r="S103" s="2870"/>
      <c r="T103" s="2871"/>
      <c r="U103" s="411" t="str">
        <f>IF(AND(G103&gt;0,OR(C103="",C103="&lt;Enter detailed description here; use Comments section if needed&gt;")),"NO DESCRIPTION PROVIDED - please enter detailed description in Other box at left; use Comments section below if needed.","")</f>
        <v/>
      </c>
      <c r="V103" s="2872"/>
      <c r="W103" s="2899"/>
      <c r="X103" s="2900"/>
    </row>
    <row r="104" spans="1:24" s="329" customFormat="1" ht="12.6" customHeight="1" thickBot="1">
      <c r="A104" s="412" t="str">
        <f>IF(AND(G104&gt;0,OR(C104="",C104="&lt;Enter detailed description here; use Comments section if needed&gt;")),"X","")</f>
        <v/>
      </c>
      <c r="B104" s="329" t="s">
        <v>771</v>
      </c>
      <c r="C104" s="2634" t="s">
        <v>4194</v>
      </c>
      <c r="D104" s="2634"/>
      <c r="E104" s="2634"/>
      <c r="F104" s="2635"/>
      <c r="G104" s="2870"/>
      <c r="H104" s="2871"/>
      <c r="J104" s="299"/>
      <c r="K104" s="299"/>
      <c r="L104" s="299"/>
      <c r="M104" s="299"/>
      <c r="N104" s="299"/>
      <c r="O104" s="299"/>
      <c r="P104" s="299"/>
      <c r="Q104" s="299"/>
      <c r="S104" s="2870"/>
      <c r="T104" s="2871"/>
      <c r="U104" s="411" t="str">
        <f>IF(AND(G104&gt;0,OR(C104="",C104="&lt;Enter detailed description here; use Comments section if needed&gt;")),"NO DESCRIPTION PROVIDED - please enter detailed description in Other box at left; use Comments section below if needed.","")</f>
        <v/>
      </c>
      <c r="V104" s="2872"/>
      <c r="W104" s="2899"/>
      <c r="X104" s="2900"/>
    </row>
    <row r="105" spans="1:24" s="329" customFormat="1" ht="12.6" customHeight="1" thickTop="1">
      <c r="F105" s="385" t="s">
        <v>197</v>
      </c>
      <c r="G105" s="1576">
        <f>SUM(G96:H104)</f>
        <v>126336</v>
      </c>
      <c r="H105" s="1577"/>
      <c r="J105" s="387"/>
      <c r="K105" s="387"/>
      <c r="L105" s="1405"/>
      <c r="M105" s="387"/>
      <c r="N105" s="387"/>
      <c r="P105" s="387"/>
      <c r="Q105" s="387"/>
      <c r="S105" s="1576">
        <f>SUM(S96:T104)</f>
        <v>126336</v>
      </c>
      <c r="T105" s="1577"/>
      <c r="V105" s="2880">
        <f>SUM(V96:V104)</f>
        <v>0</v>
      </c>
      <c r="W105" s="2902"/>
      <c r="X105" s="2903"/>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0">
        <v>1500</v>
      </c>
      <c r="H107" s="2871"/>
      <c r="J107" s="1566"/>
      <c r="K107" s="1566"/>
      <c r="L107" s="1405"/>
      <c r="M107" s="1566"/>
      <c r="N107" s="1566"/>
      <c r="O107" s="1397"/>
      <c r="P107" s="1566"/>
      <c r="Q107" s="1566"/>
      <c r="S107" s="2870">
        <v>1500</v>
      </c>
      <c r="T107" s="2871"/>
      <c r="V107" s="2872"/>
      <c r="W107" s="2897"/>
      <c r="X107" s="2898"/>
    </row>
    <row r="108" spans="1:24" s="329" customFormat="1" ht="12.6" customHeight="1">
      <c r="B108" s="329" t="s">
        <v>293</v>
      </c>
      <c r="G108" s="2870"/>
      <c r="H108" s="2871"/>
      <c r="J108" s="1566"/>
      <c r="K108" s="1566"/>
      <c r="L108" s="1405"/>
      <c r="M108" s="1566"/>
      <c r="N108" s="1566"/>
      <c r="O108" s="1397"/>
      <c r="P108" s="1566"/>
      <c r="Q108" s="1566"/>
      <c r="S108" s="2870"/>
      <c r="T108" s="2871"/>
      <c r="V108" s="2872"/>
      <c r="W108" s="2899"/>
      <c r="X108" s="2900"/>
    </row>
    <row r="109" spans="1:24" s="329" customFormat="1" ht="12.6" customHeight="1">
      <c r="B109" s="329" t="s">
        <v>2471</v>
      </c>
      <c r="G109" s="2870"/>
      <c r="H109" s="2871"/>
      <c r="J109" s="1566"/>
      <c r="K109" s="1566"/>
      <c r="L109" s="1405"/>
      <c r="M109" s="1566"/>
      <c r="N109" s="1566"/>
      <c r="O109" s="1397"/>
      <c r="P109" s="1566"/>
      <c r="Q109" s="1566"/>
      <c r="S109" s="2870"/>
      <c r="T109" s="2871"/>
      <c r="V109" s="2872"/>
      <c r="W109" s="2899"/>
      <c r="X109" s="2900"/>
    </row>
    <row r="110" spans="1:24" s="329" customFormat="1" ht="12.6" customHeight="1" thickBot="1">
      <c r="A110" s="412" t="str">
        <f>IF(AND(G110&gt;0,OR(C110="",C110="&lt;Enter detailed description here; use Comments section if needed&gt;")),"X","")</f>
        <v/>
      </c>
      <c r="B110" s="329" t="s">
        <v>771</v>
      </c>
      <c r="C110" s="2634" t="s">
        <v>4194</v>
      </c>
      <c r="D110" s="2634"/>
      <c r="E110" s="2634"/>
      <c r="F110" s="2635"/>
      <c r="G110" s="2870"/>
      <c r="H110" s="2871"/>
      <c r="J110" s="1566"/>
      <c r="K110" s="1566"/>
      <c r="L110" s="1405"/>
      <c r="M110" s="1566"/>
      <c r="N110" s="1566"/>
      <c r="O110" s="1397"/>
      <c r="P110" s="1566"/>
      <c r="Q110" s="1566"/>
      <c r="S110" s="2870"/>
      <c r="T110" s="2871"/>
      <c r="U110" s="411" t="str">
        <f>IF(AND(G110&gt;0,OR(C110="",C110="&lt;Enter detailed description here; use Comments section if needed&gt;")),"NO DESCRIPTION PROVIDED - please enter detailed description in Other box at left; use Comments section below if needed.","")</f>
        <v/>
      </c>
      <c r="V110" s="2872"/>
      <c r="W110" s="2899"/>
      <c r="X110" s="2900"/>
    </row>
    <row r="111" spans="1:24" s="329" customFormat="1" ht="12.6" customHeight="1" thickTop="1">
      <c r="F111" s="385" t="s">
        <v>197</v>
      </c>
      <c r="G111" s="1576">
        <f>SUM(G107:H110)</f>
        <v>1500</v>
      </c>
      <c r="H111" s="1577"/>
      <c r="J111" s="1566"/>
      <c r="K111" s="1566"/>
      <c r="L111" s="1405"/>
      <c r="M111" s="1566"/>
      <c r="N111" s="1566"/>
      <c r="O111" s="1397"/>
      <c r="P111" s="1566"/>
      <c r="Q111" s="1566"/>
      <c r="S111" s="1576">
        <f>SUM(S107:T110)</f>
        <v>1500</v>
      </c>
      <c r="T111" s="1577"/>
      <c r="V111" s="2880">
        <f>SUM(V107:V110)</f>
        <v>0</v>
      </c>
      <c r="W111" s="2902"/>
      <c r="X111" s="2903"/>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0.51864885878924838</v>
      </c>
      <c r="G113" s="2870">
        <v>713749</v>
      </c>
      <c r="H113" s="2871"/>
      <c r="J113" s="2870">
        <v>713749</v>
      </c>
      <c r="K113" s="2871"/>
      <c r="L113" s="386"/>
      <c r="M113" s="2870"/>
      <c r="N113" s="2871"/>
      <c r="P113" s="2870"/>
      <c r="Q113" s="2871"/>
      <c r="S113" s="2870"/>
      <c r="T113" s="2871"/>
      <c r="V113" s="2872"/>
      <c r="W113" s="2897"/>
      <c r="X113" s="2898"/>
    </row>
    <row r="114" spans="1:24" s="329" customFormat="1" ht="12.6" customHeight="1">
      <c r="B114" s="329" t="s">
        <v>1931</v>
      </c>
      <c r="F114" s="447">
        <f>IF($G$117=0,0,G114/$G$117)</f>
        <v>4.9999636672794785E-2</v>
      </c>
      <c r="G114" s="2870">
        <v>68808</v>
      </c>
      <c r="H114" s="2871"/>
      <c r="J114" s="2870">
        <v>68808</v>
      </c>
      <c r="K114" s="2871"/>
      <c r="L114" s="1405"/>
      <c r="M114" s="2870"/>
      <c r="N114" s="2871"/>
      <c r="P114" s="2870"/>
      <c r="Q114" s="2871"/>
      <c r="S114" s="2870"/>
      <c r="T114" s="2871"/>
      <c r="V114" s="2872"/>
      <c r="W114" s="2899"/>
      <c r="X114" s="2900"/>
    </row>
    <row r="115" spans="1:24" s="329" customFormat="1" ht="12.6" customHeight="1">
      <c r="B115" s="329" t="s">
        <v>4044</v>
      </c>
      <c r="F115" s="447">
        <f>IF($G$117=0,0,G115/$G$117)</f>
        <v>0</v>
      </c>
      <c r="G115" s="2870"/>
      <c r="H115" s="2871"/>
      <c r="J115" s="2870"/>
      <c r="K115" s="2871"/>
      <c r="L115" s="1405"/>
      <c r="M115" s="2870"/>
      <c r="N115" s="2871"/>
      <c r="P115" s="2870"/>
      <c r="Q115" s="2871"/>
      <c r="S115" s="2870"/>
      <c r="T115" s="2871"/>
      <c r="V115" s="2872"/>
      <c r="W115" s="2899"/>
      <c r="X115" s="2900"/>
    </row>
    <row r="116" spans="1:24" s="329" customFormat="1" ht="12.6" customHeight="1" thickBot="1">
      <c r="B116" s="329" t="s">
        <v>1923</v>
      </c>
      <c r="F116" s="447">
        <f>IF($G$117=0,0,G116/$G$117)</f>
        <v>0.43135150453795679</v>
      </c>
      <c r="G116" s="2870">
        <v>593613</v>
      </c>
      <c r="H116" s="2871"/>
      <c r="J116" s="2870">
        <v>593613</v>
      </c>
      <c r="K116" s="2871"/>
      <c r="L116" s="1405"/>
      <c r="M116" s="2870"/>
      <c r="N116" s="2871"/>
      <c r="P116" s="2870"/>
      <c r="Q116" s="2871"/>
      <c r="S116" s="2870"/>
      <c r="T116" s="2871"/>
      <c r="V116" s="2872"/>
      <c r="W116" s="2899"/>
      <c r="X116" s="2900"/>
    </row>
    <row r="117" spans="1:24" s="329" customFormat="1" ht="12.6" customHeight="1" thickTop="1">
      <c r="C117" s="411" t="str">
        <f>IF(G117&lt;='DCA Underwriting Assumptions'!$Q$92,"","Developer Fee exceeds DCA Program Maximum !!!")</f>
        <v/>
      </c>
      <c r="F117" s="385" t="s">
        <v>197</v>
      </c>
      <c r="G117" s="1576">
        <f>SUM(G113:H116)</f>
        <v>1376170</v>
      </c>
      <c r="H117" s="1577"/>
      <c r="J117" s="1576">
        <f>SUM(J113:K116)</f>
        <v>1376170</v>
      </c>
      <c r="K117" s="1577"/>
      <c r="L117" s="1405"/>
      <c r="M117" s="1576">
        <f>SUM(M113:N116)</f>
        <v>0</v>
      </c>
      <c r="N117" s="1577"/>
      <c r="P117" s="1576">
        <f>SUM(P113:Q116)</f>
        <v>0</v>
      </c>
      <c r="Q117" s="1577"/>
      <c r="S117" s="1576">
        <f>SUM(S113:T116)</f>
        <v>0</v>
      </c>
      <c r="T117" s="1577"/>
      <c r="V117" s="2880">
        <f>SUM(V113:V116)</f>
        <v>0</v>
      </c>
      <c r="W117" s="2902"/>
      <c r="X117" s="2903"/>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0">
        <v>20000</v>
      </c>
      <c r="H119" s="2871"/>
      <c r="J119" s="396"/>
      <c r="K119" s="396"/>
      <c r="L119" s="396"/>
      <c r="M119" s="396"/>
      <c r="N119" s="396"/>
      <c r="P119" s="396"/>
      <c r="Q119" s="396"/>
      <c r="S119" s="2870">
        <v>20000</v>
      </c>
      <c r="T119" s="2871"/>
      <c r="V119" s="2872"/>
      <c r="W119" s="2897"/>
      <c r="X119" s="2898"/>
    </row>
    <row r="120" spans="1:24" s="329" customFormat="1" ht="12.6" customHeight="1">
      <c r="B120" s="329" t="s">
        <v>1593</v>
      </c>
      <c r="F120" s="567">
        <f>+'Part VI-Revenues &amp; Expenses'!$P$176*('DCA Underwriting Assumptions'!$Q$105/12)</f>
        <v>59372</v>
      </c>
      <c r="G120" s="2870">
        <v>59372</v>
      </c>
      <c r="H120" s="2871"/>
      <c r="J120" s="1566"/>
      <c r="K120" s="1566"/>
      <c r="L120" s="1405"/>
      <c r="M120" s="1566"/>
      <c r="N120" s="1566"/>
      <c r="O120" s="1397"/>
      <c r="P120" s="1566"/>
      <c r="Q120" s="1566"/>
      <c r="R120" s="1397"/>
      <c r="S120" s="2870">
        <v>59372</v>
      </c>
      <c r="T120" s="2871"/>
      <c r="V120" s="2872"/>
      <c r="W120" s="2899"/>
      <c r="X120" s="2900"/>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151115.36470724651</v>
      </c>
      <c r="G121" s="2870">
        <v>151115</v>
      </c>
      <c r="H121" s="2871"/>
      <c r="J121" s="395"/>
      <c r="K121" s="395"/>
      <c r="L121" s="395"/>
      <c r="M121" s="395"/>
      <c r="N121" s="395"/>
      <c r="O121" s="1397"/>
      <c r="P121" s="395"/>
      <c r="Q121" s="395"/>
      <c r="R121" s="1397"/>
      <c r="S121" s="2870">
        <v>151115</v>
      </c>
      <c r="T121" s="2871"/>
      <c r="V121" s="2872"/>
      <c r="W121" s="2899"/>
      <c r="X121" s="2900"/>
    </row>
    <row r="122" spans="1:24" s="329" customFormat="1" ht="12.6" customHeight="1">
      <c r="B122" s="329" t="s">
        <v>1291</v>
      </c>
      <c r="G122" s="2870"/>
      <c r="H122" s="2871"/>
      <c r="J122" s="396"/>
      <c r="K122" s="396"/>
      <c r="L122" s="396"/>
      <c r="M122" s="396"/>
      <c r="N122" s="396"/>
      <c r="P122" s="396"/>
      <c r="Q122" s="396"/>
      <c r="S122" s="2870"/>
      <c r="T122" s="2871"/>
      <c r="V122" s="2872"/>
      <c r="W122" s="2899"/>
      <c r="X122" s="2900"/>
    </row>
    <row r="123" spans="1:24" s="329" customFormat="1" ht="12.6" customHeight="1">
      <c r="B123" s="329" t="s">
        <v>1292</v>
      </c>
      <c r="E123" s="1136" t="s">
        <v>3852</v>
      </c>
      <c r="F123" s="522">
        <f>IF('Part VI-Revenues &amp; Expenses'!$O$62=0,0,G123/'Part VI-Revenues &amp; Expenses'!$O$62)</f>
        <v>781.25</v>
      </c>
      <c r="G123" s="2870">
        <v>50000</v>
      </c>
      <c r="H123" s="2871"/>
      <c r="J123" s="2870">
        <v>50000</v>
      </c>
      <c r="K123" s="2871"/>
      <c r="L123" s="1405"/>
      <c r="M123" s="2870"/>
      <c r="N123" s="2871"/>
      <c r="P123" s="2870"/>
      <c r="Q123" s="2871"/>
      <c r="S123" s="2870"/>
      <c r="T123" s="2871"/>
      <c r="V123" s="2872"/>
      <c r="W123" s="2899"/>
      <c r="X123" s="2900"/>
    </row>
    <row r="124" spans="1:24" s="329" customFormat="1" ht="12.6" customHeight="1" thickBot="1">
      <c r="A124" s="412" t="str">
        <f>IF(AND(G124&gt;0,OR(C124="",C124="&lt;Enter detailed description here; use Comments section if needed&gt;")),"X","")</f>
        <v/>
      </c>
      <c r="B124" s="329" t="s">
        <v>771</v>
      </c>
      <c r="C124" s="2634" t="s">
        <v>4194</v>
      </c>
      <c r="D124" s="2634"/>
      <c r="E124" s="2634"/>
      <c r="F124" s="2635"/>
      <c r="G124" s="2870"/>
      <c r="H124" s="2871"/>
      <c r="J124" s="2870"/>
      <c r="K124" s="2871"/>
      <c r="L124" s="1405"/>
      <c r="M124" s="2870"/>
      <c r="N124" s="2871"/>
      <c r="P124" s="2870"/>
      <c r="Q124" s="2871"/>
      <c r="S124" s="2870"/>
      <c r="T124" s="2871"/>
      <c r="U124" s="411" t="str">
        <f>IF(AND(G124&gt;0,OR(C124="",C124="&lt;Enter detailed description here; use Comments section if needed&gt;")),"NO DESCRIPTION PROVIDED - please enter detailed description in Other box at left; use Comments section below if needed.","")</f>
        <v/>
      </c>
      <c r="V124" s="2872"/>
      <c r="W124" s="2899"/>
      <c r="X124" s="2900"/>
    </row>
    <row r="125" spans="1:24" s="329" customFormat="1" ht="12.6" customHeight="1" thickTop="1">
      <c r="B125" s="397"/>
      <c r="F125" s="385" t="s">
        <v>197</v>
      </c>
      <c r="G125" s="1576">
        <f>SUM(G119:H124)</f>
        <v>280487</v>
      </c>
      <c r="H125" s="1577"/>
      <c r="J125" s="1576">
        <f>SUM(J123:K124)</f>
        <v>50000</v>
      </c>
      <c r="K125" s="1577"/>
      <c r="L125" s="1405"/>
      <c r="M125" s="1576">
        <f>SUM(M123:N124)</f>
        <v>0</v>
      </c>
      <c r="N125" s="1577"/>
      <c r="P125" s="1576">
        <f>SUM(P123:Q124)</f>
        <v>0</v>
      </c>
      <c r="Q125" s="1577"/>
      <c r="S125" s="1576">
        <f>SUM(S119:T124)</f>
        <v>230487</v>
      </c>
      <c r="T125" s="1577"/>
      <c r="V125" s="2880">
        <f>SUM(V119:V124)</f>
        <v>0</v>
      </c>
      <c r="W125" s="2902"/>
      <c r="X125" s="2903"/>
    </row>
    <row r="126" spans="1:24" s="329" customFormat="1" ht="13.15" customHeight="1">
      <c r="B126" s="331" t="s">
        <v>634</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7"/>
      <c r="G127" s="2870"/>
      <c r="H127" s="2871"/>
      <c r="J127" s="2870"/>
      <c r="K127" s="2871"/>
      <c r="L127" s="386"/>
      <c r="M127" s="2870"/>
      <c r="N127" s="2871"/>
      <c r="P127" s="2870"/>
      <c r="Q127" s="2871"/>
      <c r="S127" s="2870"/>
      <c r="T127" s="2871"/>
      <c r="V127" s="2872"/>
      <c r="W127" s="2897"/>
      <c r="X127" s="2898"/>
    </row>
    <row r="128" spans="1:24" s="329" customFormat="1" ht="12.6" customHeight="1" thickBot="1">
      <c r="A128" s="412" t="str">
        <f>IF(AND(G128&gt;0,OR(C128="",C128="&lt;Enter detailed description here; use Comments section if needed&gt;")),"X","")</f>
        <v/>
      </c>
      <c r="B128" s="329" t="s">
        <v>771</v>
      </c>
      <c r="C128" s="2634" t="s">
        <v>4194</v>
      </c>
      <c r="D128" s="2634"/>
      <c r="E128" s="2634"/>
      <c r="F128" s="2635"/>
      <c r="G128" s="2870"/>
      <c r="H128" s="2871"/>
      <c r="J128" s="2870"/>
      <c r="K128" s="2871"/>
      <c r="L128" s="1405"/>
      <c r="M128" s="2870"/>
      <c r="N128" s="2871"/>
      <c r="P128" s="2870"/>
      <c r="Q128" s="2871"/>
      <c r="S128" s="2870"/>
      <c r="T128" s="2871"/>
      <c r="U128" s="411" t="str">
        <f>IF(AND(G128&gt;0,OR(C128="",C128="&lt;Enter detailed description here; use Comments section if needed&gt;")),"NO DESCRIPTION PROVIDED - please enter detailed description in Other box at left; use Comments section below if needed.","")</f>
        <v/>
      </c>
      <c r="V128" s="2872"/>
      <c r="W128" s="2899"/>
      <c r="X128" s="2900"/>
    </row>
    <row r="129" spans="1:24" s="329" customFormat="1" ht="12.6" customHeight="1" thickTop="1">
      <c r="C129" s="1387"/>
      <c r="F129" s="385" t="s">
        <v>197</v>
      </c>
      <c r="G129" s="1576">
        <f>SUM(G127:H128)</f>
        <v>0</v>
      </c>
      <c r="H129" s="1577"/>
      <c r="J129" s="1576">
        <f>SUM(J127:K128)</f>
        <v>0</v>
      </c>
      <c r="K129" s="1577"/>
      <c r="L129" s="1405"/>
      <c r="M129" s="1576">
        <f>SUM(M127:N128)</f>
        <v>0</v>
      </c>
      <c r="N129" s="1577"/>
      <c r="P129" s="1576">
        <f>SUM(P127:Q128)</f>
        <v>0</v>
      </c>
      <c r="Q129" s="1577"/>
      <c r="S129" s="1576">
        <f>SUM(S127:T128)</f>
        <v>0</v>
      </c>
      <c r="T129" s="1577"/>
      <c r="V129" s="2880">
        <f>SUM(V127:V128)</f>
        <v>0</v>
      </c>
      <c r="W129" s="2899"/>
      <c r="X129" s="2900"/>
    </row>
    <row r="130" spans="1:24" s="329" customFormat="1" ht="3" customHeight="1" thickBot="1">
      <c r="C130" s="1387"/>
      <c r="H130" s="393"/>
      <c r="I130" s="393"/>
      <c r="L130" s="1397"/>
      <c r="W130" s="2899"/>
      <c r="X130" s="2900"/>
    </row>
    <row r="131" spans="1:24" s="329" customFormat="1" ht="13.9" customHeight="1" thickBot="1">
      <c r="B131" s="335" t="s">
        <v>2885</v>
      </c>
      <c r="G131" s="1617">
        <f>G17+G23+G27+G33+G38+G41+G47+G64+G77+G83+G91+G105+G111+G117+G125+G129</f>
        <v>10550624</v>
      </c>
      <c r="H131" s="1618"/>
      <c r="J131" s="1617">
        <f>J17+J23+J27+J33+J38+J41+J47+J64+J77+J83+J91+J105+J111+J117+J125+J129</f>
        <v>10003162</v>
      </c>
      <c r="K131" s="1618"/>
      <c r="M131" s="1617">
        <f>M17+M23+M27+M33+M38+M41+M47+M64+M77+M83+M91+M105+M111+M117+M125+M129</f>
        <v>0</v>
      </c>
      <c r="N131" s="1618"/>
      <c r="P131" s="1617">
        <f>P17+P23+P27+P33+P38+P41+P47+P64+P77+P83+P91+P105+P111+P117+P125+P129</f>
        <v>0</v>
      </c>
      <c r="Q131" s="1618"/>
      <c r="S131" s="1617">
        <f>S17+S23+S27+S33+S38+S41+S47+S64+S77+S83+S91+S105+S111+S117+S125+S129</f>
        <v>547461</v>
      </c>
      <c r="T131" s="1618"/>
      <c r="V131" s="2904">
        <f>V17+V23+V27+V33+V38+V41+V47+V64+V77+V83+V91+V105+V111+V117+V125+V129</f>
        <v>0</v>
      </c>
      <c r="W131" s="2905"/>
      <c r="X131" s="2903"/>
    </row>
    <row r="132" spans="1:24" s="329" customFormat="1" ht="3" customHeight="1">
      <c r="C132" s="1387"/>
      <c r="H132" s="393"/>
      <c r="I132" s="393"/>
      <c r="L132" s="1397"/>
    </row>
    <row r="133" spans="1:24" s="329" customFormat="1" ht="13.9" customHeight="1">
      <c r="B133" s="578" t="s">
        <v>2880</v>
      </c>
      <c r="C133" s="576"/>
      <c r="D133" s="1619">
        <f>IF('Part VI-Revenues &amp; Expenses'!$O$62=0,0,G131/'Part VI-Revenues &amp; Expenses'!$O$62)</f>
        <v>164853.5</v>
      </c>
      <c r="E133" s="1619"/>
      <c r="F133" s="577" t="s">
        <v>2879</v>
      </c>
      <c r="G133" s="1637">
        <f>IF('Part I-Project Information'!$P$60=0,0,G131/'Part I-Project Information'!$P$60)</f>
        <v>151.58724730966509</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770</v>
      </c>
      <c r="B136" s="475" t="s">
        <v>1480</v>
      </c>
      <c r="C136" s="1176"/>
      <c r="D136" s="1405"/>
      <c r="E136" s="1405"/>
      <c r="F136" s="1405"/>
      <c r="G136" s="1397"/>
      <c r="H136" s="1397"/>
      <c r="I136" s="400"/>
      <c r="J136" s="1567" t="s">
        <v>283</v>
      </c>
      <c r="K136" s="1568"/>
      <c r="M136" s="1567" t="s">
        <v>102</v>
      </c>
      <c r="N136" s="1568"/>
      <c r="P136" s="1567" t="s">
        <v>284</v>
      </c>
      <c r="Q136" s="1568"/>
      <c r="W136" s="474" t="str">
        <f>B136</f>
        <v>TAX CREDIT CALCULATION - BASIS METHOD</v>
      </c>
    </row>
    <row r="137" spans="1:24" s="329" customFormat="1" ht="15" customHeight="1" thickBot="1">
      <c r="B137" s="335" t="s">
        <v>2122</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06"/>
      <c r="K139" s="2907"/>
      <c r="P139" s="2906"/>
      <c r="Q139" s="2907"/>
      <c r="V139" s="2872"/>
      <c r="W139" s="2897"/>
      <c r="X139" s="2898"/>
    </row>
    <row r="140" spans="1:24" s="329" customFormat="1" ht="13.9" customHeight="1">
      <c r="B140" s="1397" t="s">
        <v>2230</v>
      </c>
      <c r="D140" s="1397"/>
      <c r="E140" s="1397"/>
      <c r="F140" s="1397"/>
      <c r="G140" s="1397"/>
      <c r="H140" s="1397"/>
      <c r="I140" s="400"/>
      <c r="J140" s="2906"/>
      <c r="K140" s="2907"/>
      <c r="P140" s="2906"/>
      <c r="Q140" s="2907"/>
      <c r="V140" s="2872"/>
      <c r="W140" s="2899"/>
      <c r="X140" s="2900"/>
    </row>
    <row r="141" spans="1:24" s="329" customFormat="1" ht="13.9" customHeight="1">
      <c r="B141" s="1397" t="s">
        <v>1933</v>
      </c>
      <c r="D141" s="1397"/>
      <c r="E141" s="1397"/>
      <c r="I141" s="400"/>
      <c r="J141" s="2906"/>
      <c r="K141" s="2907"/>
      <c r="P141" s="2906"/>
      <c r="Q141" s="2907"/>
      <c r="V141" s="2872"/>
      <c r="W141" s="2899"/>
      <c r="X141" s="2900"/>
    </row>
    <row r="142" spans="1:24" s="329" customFormat="1" ht="13.9" customHeight="1">
      <c r="B142" s="1397" t="s">
        <v>1934</v>
      </c>
      <c r="D142" s="1397"/>
      <c r="E142" s="1397"/>
      <c r="I142" s="400"/>
      <c r="J142" s="2906"/>
      <c r="K142" s="2907"/>
      <c r="P142" s="2906"/>
      <c r="Q142" s="2907"/>
      <c r="V142" s="2872"/>
      <c r="W142" s="2899"/>
      <c r="X142" s="2900"/>
    </row>
    <row r="143" spans="1:24" s="329" customFormat="1" ht="13.9" customHeight="1">
      <c r="B143" s="1397" t="s">
        <v>265</v>
      </c>
      <c r="D143" s="1397"/>
      <c r="E143" s="1397"/>
      <c r="I143" s="400"/>
      <c r="J143" s="2906"/>
      <c r="K143" s="2907"/>
      <c r="P143" s="2906"/>
      <c r="Q143" s="2907"/>
      <c r="V143" s="2872"/>
      <c r="W143" s="2899"/>
      <c r="X143" s="2900"/>
    </row>
    <row r="144" spans="1:24" s="329" customFormat="1" ht="13.9" customHeight="1" thickBot="1">
      <c r="B144" s="1397" t="s">
        <v>1659</v>
      </c>
      <c r="C144" s="2634" t="s">
        <v>2500</v>
      </c>
      <c r="D144" s="2634"/>
      <c r="E144" s="2634"/>
      <c r="F144" s="2634"/>
      <c r="G144" s="2634"/>
      <c r="H144" s="2634"/>
      <c r="I144" s="2635"/>
      <c r="J144" s="2906"/>
      <c r="K144" s="2907"/>
      <c r="P144" s="2906"/>
      <c r="Q144" s="2907"/>
      <c r="V144" s="2872"/>
      <c r="W144" s="2899"/>
      <c r="X144" s="2900"/>
    </row>
    <row r="145" spans="1:24" s="329" customFormat="1" ht="13.9" customHeight="1" thickBot="1">
      <c r="B145" s="340" t="s">
        <v>1935</v>
      </c>
      <c r="C145" s="343"/>
      <c r="J145" s="1538">
        <f>SUM(J139:K144)</f>
        <v>0</v>
      </c>
      <c r="K145" s="1539"/>
      <c r="P145" s="1538">
        <f>SUM(P139:Q144)</f>
        <v>0</v>
      </c>
      <c r="Q145" s="1539"/>
      <c r="V145" s="2880">
        <f>SUM(V139:V144)</f>
        <v>0</v>
      </c>
      <c r="W145" s="2902"/>
      <c r="X145" s="2903"/>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3">
        <f>J131</f>
        <v>10003162</v>
      </c>
      <c r="K148" s="1594"/>
      <c r="M148" s="1595">
        <f>M131</f>
        <v>0</v>
      </c>
      <c r="N148" s="1596"/>
      <c r="P148" s="1593">
        <f>P131</f>
        <v>0</v>
      </c>
      <c r="Q148" s="1594"/>
      <c r="V148" s="2872"/>
      <c r="W148" s="2897"/>
      <c r="X148" s="2898"/>
    </row>
    <row r="149" spans="1:24" s="329" customFormat="1" ht="13.9" customHeight="1">
      <c r="B149" s="329" t="s">
        <v>2299</v>
      </c>
      <c r="J149" s="1578">
        <f>J145</f>
        <v>0</v>
      </c>
      <c r="K149" s="1585"/>
      <c r="M149" s="1579"/>
      <c r="N149" s="1579"/>
      <c r="P149" s="1578">
        <f>P145</f>
        <v>0</v>
      </c>
      <c r="Q149" s="1585"/>
      <c r="V149" s="2872"/>
      <c r="W149" s="2899"/>
      <c r="X149" s="2900"/>
    </row>
    <row r="150" spans="1:24" s="329" customFormat="1" ht="13.9" customHeight="1">
      <c r="B150" s="329" t="s">
        <v>2300</v>
      </c>
      <c r="J150" s="1578">
        <f>J148-J149</f>
        <v>10003162</v>
      </c>
      <c r="K150" s="1585"/>
      <c r="M150" s="1578">
        <f>M148</f>
        <v>0</v>
      </c>
      <c r="N150" s="1585"/>
      <c r="P150" s="1578">
        <f>P148-P149</f>
        <v>0</v>
      </c>
      <c r="Q150" s="1585"/>
      <c r="V150" s="2872"/>
      <c r="W150" s="2899"/>
      <c r="X150" s="2900"/>
    </row>
    <row r="151" spans="1:24" s="329" customFormat="1" ht="13.9" customHeight="1">
      <c r="B151" s="329" t="s">
        <v>1542</v>
      </c>
      <c r="G151" s="1391" t="s">
        <v>1778</v>
      </c>
      <c r="H151" s="2624" t="s">
        <v>4256</v>
      </c>
      <c r="I151" s="2625"/>
      <c r="J151" s="2908">
        <v>1.3</v>
      </c>
      <c r="K151" s="2909"/>
      <c r="M151" s="1592"/>
      <c r="N151" s="1592"/>
      <c r="P151" s="2908"/>
      <c r="Q151" s="2909"/>
      <c r="V151" s="2872"/>
      <c r="W151" s="2899"/>
      <c r="X151" s="2900"/>
    </row>
    <row r="152" spans="1:24" s="329" customFormat="1" ht="13.9" customHeight="1">
      <c r="B152" s="329" t="s">
        <v>2132</v>
      </c>
      <c r="J152" s="1578">
        <f>J150*J151</f>
        <v>13004110.6</v>
      </c>
      <c r="K152" s="1585"/>
      <c r="M152" s="1578">
        <f>+M150</f>
        <v>0</v>
      </c>
      <c r="N152" s="1585"/>
      <c r="P152" s="1578">
        <f>P150*P151</f>
        <v>0</v>
      </c>
      <c r="Q152" s="1585"/>
      <c r="V152" s="2872"/>
      <c r="W152" s="2899"/>
      <c r="X152" s="2900"/>
    </row>
    <row r="153" spans="1:24" s="329" customFormat="1" ht="13.9" customHeight="1">
      <c r="B153" s="329" t="s">
        <v>2629</v>
      </c>
      <c r="J153" s="1590">
        <f>MIN('Part VI-Revenues &amp; Expenses'!$O$58/'Part VI-Revenues &amp; Expenses'!$O$60,'Part VI-Revenues &amp; Expenses'!$O$115/'Part VI-Revenues &amp; Expenses'!$O$117)</f>
        <v>0.70102163461538458</v>
      </c>
      <c r="K153" s="1591"/>
      <c r="M153" s="1590">
        <f>MIN('Part VI-Revenues &amp; Expenses'!$O$58/'Part VI-Revenues &amp; Expenses'!$O$60,'Part VI-Revenues &amp; Expenses'!$O$115/'Part VI-Revenues &amp; Expenses'!$O$117)</f>
        <v>0.70102163461538458</v>
      </c>
      <c r="N153" s="1591"/>
      <c r="P153" s="1590">
        <f>MIN('Part VI-Revenues &amp; Expenses'!$O$58/'Part VI-Revenues &amp; Expenses'!$O$60,'Part VI-Revenues &amp; Expenses'!$O$115/'Part VI-Revenues &amp; Expenses'!$O$117)</f>
        <v>0.70102163461538458</v>
      </c>
      <c r="Q153" s="1591"/>
      <c r="V153" s="2872"/>
      <c r="W153" s="2899"/>
      <c r="X153" s="2900"/>
    </row>
    <row r="154" spans="1:24" s="329" customFormat="1" ht="13.9" customHeight="1">
      <c r="B154" s="329" t="s">
        <v>2123</v>
      </c>
      <c r="J154" s="1578">
        <f>J152*J153</f>
        <v>9116162.8695312496</v>
      </c>
      <c r="K154" s="1585"/>
      <c r="M154" s="1578">
        <f>M152*M153</f>
        <v>0</v>
      </c>
      <c r="N154" s="1585"/>
      <c r="P154" s="1578">
        <f>P152*P153</f>
        <v>0</v>
      </c>
      <c r="Q154" s="1585"/>
      <c r="V154" s="2872"/>
      <c r="W154" s="2899"/>
      <c r="X154" s="2900"/>
    </row>
    <row r="155" spans="1:24" s="329" customFormat="1" ht="13.9" customHeight="1">
      <c r="B155" s="329" t="s">
        <v>2124</v>
      </c>
      <c r="J155" s="2908">
        <v>0.09</v>
      </c>
      <c r="K155" s="2909"/>
      <c r="M155" s="2908"/>
      <c r="N155" s="2909"/>
      <c r="P155" s="2908"/>
      <c r="Q155" s="2909"/>
      <c r="V155" s="2872"/>
      <c r="W155" s="2899"/>
      <c r="X155" s="2900"/>
    </row>
    <row r="156" spans="1:24" s="329" customFormat="1" ht="13.9" customHeight="1" thickBot="1">
      <c r="B156" s="329" t="s">
        <v>2630</v>
      </c>
      <c r="J156" s="1588">
        <f>J154*J155</f>
        <v>820454.65825781238</v>
      </c>
      <c r="K156" s="1589"/>
      <c r="M156" s="1588">
        <f>M154*M155</f>
        <v>0</v>
      </c>
      <c r="N156" s="1589"/>
      <c r="P156" s="1588">
        <f>P154*P155</f>
        <v>0</v>
      </c>
      <c r="Q156" s="1589"/>
      <c r="V156" s="2910"/>
      <c r="W156" s="2899"/>
      <c r="X156" s="2900"/>
    </row>
    <row r="157" spans="1:24" s="329" customFormat="1" ht="13.9" customHeight="1" thickBot="1">
      <c r="B157" s="331" t="s">
        <v>1478</v>
      </c>
      <c r="J157" s="1538">
        <f>J156+M156+P156</f>
        <v>820454.65825781238</v>
      </c>
      <c r="K157" s="1611"/>
      <c r="L157" s="1611"/>
      <c r="M157" s="1611"/>
      <c r="N157" s="1611"/>
      <c r="O157" s="1611"/>
      <c r="P157" s="1611"/>
      <c r="Q157" s="1539"/>
      <c r="V157" s="2872"/>
      <c r="W157" s="2902"/>
      <c r="X157" s="2903"/>
    </row>
    <row r="158" spans="1:24" s="329" customFormat="1" ht="6" customHeight="1">
      <c r="B158" s="401"/>
      <c r="L158" s="402"/>
      <c r="M158" s="402"/>
      <c r="N158" s="402"/>
      <c r="O158" s="402"/>
    </row>
    <row r="159" spans="1:24" s="329" customFormat="1" ht="13.9" customHeight="1">
      <c r="A159" s="474" t="s">
        <v>772</v>
      </c>
      <c r="B159" s="474" t="s">
        <v>1481</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2886</v>
      </c>
      <c r="G161" s="1606" t="str">
        <f>IF(J162&gt;J161,"TDC exceeds QAP PUCL!","")</f>
        <v/>
      </c>
      <c r="H161" s="1606"/>
      <c r="I161" s="1607"/>
      <c r="J161" s="1608">
        <f>'Part VIII-Threshold Criteria'!$P$65</f>
        <v>10550704</v>
      </c>
      <c r="K161" s="1609"/>
      <c r="L161" s="1610"/>
      <c r="M161" s="1600" t="s">
        <v>2861</v>
      </c>
      <c r="N161" s="1601"/>
      <c r="O161" s="1601"/>
      <c r="P161" s="1601"/>
      <c r="Q161" s="1601"/>
      <c r="R161" s="1602"/>
      <c r="S161" s="1600" t="s">
        <v>4112</v>
      </c>
      <c r="T161" s="1602"/>
      <c r="V161" s="2872"/>
      <c r="W161" s="2897"/>
      <c r="X161" s="2898"/>
    </row>
    <row r="162" spans="1:24" s="329" customFormat="1" ht="13.9" customHeight="1">
      <c r="B162" s="329" t="s">
        <v>2863</v>
      </c>
      <c r="J162" s="2911">
        <f>MIN(G131,J161,(G131-O164))</f>
        <v>10550624</v>
      </c>
      <c r="K162" s="2912"/>
      <c r="L162" s="2913"/>
      <c r="M162" s="1603"/>
      <c r="N162" s="1604"/>
      <c r="O162" s="1604"/>
      <c r="P162" s="1604"/>
      <c r="Q162" s="1604"/>
      <c r="R162" s="1605"/>
      <c r="S162" s="1603"/>
      <c r="T162" s="1605"/>
      <c r="V162" s="2872"/>
      <c r="W162" s="2899"/>
      <c r="X162" s="2900"/>
    </row>
    <row r="163" spans="1:24" s="329" customFormat="1" ht="13.9" customHeight="1">
      <c r="B163" s="329" t="s">
        <v>275</v>
      </c>
      <c r="J163" s="1578">
        <f>'Part III-Sources of Funds'!$I$54-'Part III-Sources of Funds'!$I$41-'Part III-Sources of Funds'!$I$42-'Part III-Sources of Funds'!$I$45-'Part III-Sources of Funds'!$I$46</f>
        <v>1060110</v>
      </c>
      <c r="K163" s="1579"/>
      <c r="L163" s="1580"/>
      <c r="M163" s="1603"/>
      <c r="N163" s="1604"/>
      <c r="O163" s="1604"/>
      <c r="P163" s="1604"/>
      <c r="Q163" s="1604"/>
      <c r="R163" s="1605"/>
      <c r="S163" s="1603"/>
      <c r="T163" s="1605"/>
      <c r="V163" s="2872"/>
      <c r="W163" s="2899"/>
      <c r="X163" s="2900"/>
    </row>
    <row r="164" spans="1:24" s="329" customFormat="1" ht="13.9" customHeight="1" thickBot="1">
      <c r="B164" s="329" t="s">
        <v>2311</v>
      </c>
      <c r="J164" s="1578">
        <f>+J162-J163</f>
        <v>9490514</v>
      </c>
      <c r="K164" s="1579"/>
      <c r="L164" s="1580"/>
      <c r="M164" s="1586" t="s">
        <v>2862</v>
      </c>
      <c r="N164" s="1587"/>
      <c r="O164" s="1612">
        <f>'Part III-Sources of Funds'!$I$41</f>
        <v>0</v>
      </c>
      <c r="P164" s="1612"/>
      <c r="Q164" s="1612"/>
      <c r="R164" s="1613"/>
      <c r="S164" s="459" t="s">
        <v>1721</v>
      </c>
      <c r="T164" s="2914"/>
      <c r="V164" s="2872"/>
      <c r="W164" s="2899"/>
      <c r="X164" s="2900"/>
    </row>
    <row r="165" spans="1:24" s="329" customFormat="1" ht="13.9" customHeight="1">
      <c r="B165" s="329" t="s">
        <v>1335</v>
      </c>
      <c r="J165" s="1581" t="str">
        <f>"/ 10"</f>
        <v>/ 10</v>
      </c>
      <c r="K165" s="1581"/>
      <c r="L165" s="1581"/>
      <c r="M165" s="1397"/>
      <c r="N165" s="536"/>
      <c r="O165" s="536"/>
      <c r="P165" s="536"/>
      <c r="Q165" s="536"/>
      <c r="R165" s="536"/>
      <c r="W165" s="2899"/>
      <c r="X165" s="2900"/>
    </row>
    <row r="166" spans="1:24" s="329" customFormat="1" ht="13.9" customHeight="1">
      <c r="B166" s="329" t="s">
        <v>1336</v>
      </c>
      <c r="J166" s="1578">
        <f>J164/10</f>
        <v>949051.4</v>
      </c>
      <c r="K166" s="1579"/>
      <c r="L166" s="1585"/>
      <c r="M166" s="348"/>
      <c r="N166" s="1455" t="s">
        <v>1337</v>
      </c>
      <c r="O166" s="1455"/>
      <c r="Q166" s="1455" t="s">
        <v>1865</v>
      </c>
      <c r="R166" s="1455"/>
      <c r="V166" s="2872"/>
      <c r="W166" s="2899"/>
      <c r="X166" s="2900"/>
    </row>
    <row r="167" spans="1:24" s="329" customFormat="1" ht="13.9" customHeight="1" thickBot="1">
      <c r="B167" s="329" t="s">
        <v>1541</v>
      </c>
      <c r="J167" s="1614">
        <f>N167+Q167</f>
        <v>1.1499999999999999</v>
      </c>
      <c r="K167" s="1615"/>
      <c r="L167" s="1616"/>
      <c r="M167" s="1391" t="s">
        <v>1338</v>
      </c>
      <c r="N167" s="2915">
        <v>0.85</v>
      </c>
      <c r="O167" s="2916"/>
      <c r="P167" s="1391" t="s">
        <v>636</v>
      </c>
      <c r="Q167" s="2915">
        <v>0.3</v>
      </c>
      <c r="R167" s="2916"/>
      <c r="V167" s="2872"/>
      <c r="W167" s="2899"/>
      <c r="X167" s="2900"/>
    </row>
    <row r="168" spans="1:24" s="329" customFormat="1" ht="13.9" customHeight="1" thickBot="1">
      <c r="B168" s="331" t="s">
        <v>1479</v>
      </c>
      <c r="J168" s="1538">
        <f>IF(J167=0,"",J166/J167)</f>
        <v>825262.08695652185</v>
      </c>
      <c r="K168" s="1611"/>
      <c r="L168" s="1539"/>
      <c r="M168" s="348"/>
      <c r="N168" s="1397"/>
      <c r="O168" s="1397"/>
      <c r="V168" s="2872"/>
      <c r="W168" s="2899"/>
      <c r="X168" s="2900"/>
    </row>
    <row r="169" spans="1:24" s="329" customFormat="1" ht="6" customHeight="1">
      <c r="J169" s="403"/>
      <c r="K169" s="403"/>
      <c r="L169" s="403"/>
      <c r="M169" s="348"/>
      <c r="N169" s="1401"/>
      <c r="O169" s="1401"/>
      <c r="W169" s="2899"/>
      <c r="X169" s="2900"/>
    </row>
    <row r="170" spans="1:24" s="329" customFormat="1" ht="16.149999999999999" customHeight="1">
      <c r="B170" s="331" t="s">
        <v>3044</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820454.65825781238</v>
      </c>
      <c r="K170" s="1583"/>
      <c r="L170" s="1584"/>
      <c r="M170" s="348"/>
      <c r="N170" s="1401"/>
      <c r="O170" s="1401"/>
      <c r="V170" s="2872"/>
      <c r="W170" s="2899"/>
      <c r="X170" s="2900"/>
    </row>
    <row r="171" spans="1:24" s="329" customFormat="1" ht="3" customHeight="1">
      <c r="J171" s="403"/>
      <c r="K171" s="403"/>
      <c r="L171" s="403"/>
      <c r="M171" s="348"/>
      <c r="N171" s="1401"/>
      <c r="O171" s="1401"/>
      <c r="W171" s="2899"/>
      <c r="X171" s="2900"/>
    </row>
    <row r="172" spans="1:24" s="329" customFormat="1" ht="16.149999999999999" customHeight="1">
      <c r="B172" s="331" t="s">
        <v>362</v>
      </c>
      <c r="J172" s="2917">
        <v>820454</v>
      </c>
      <c r="K172" s="2918"/>
      <c r="L172" s="2919"/>
      <c r="M172" s="404" t="str">
        <f>IF(J170=0,"",IF(J172&gt;J170,"ALLOCATION CANNOT EXCEED MAXIMUM - REVISE REQUEST!",""))</f>
        <v/>
      </c>
      <c r="N172" s="1401"/>
      <c r="O172" s="1401"/>
      <c r="V172" s="2872"/>
      <c r="W172" s="2899"/>
      <c r="X172" s="2900"/>
    </row>
    <row r="173" spans="1:24" s="329" customFormat="1" ht="3" customHeight="1">
      <c r="J173" s="403"/>
      <c r="K173" s="403"/>
      <c r="L173" s="403"/>
      <c r="M173" s="348"/>
      <c r="N173" s="1401"/>
      <c r="O173" s="1401"/>
      <c r="W173" s="2899"/>
      <c r="X173" s="2900"/>
    </row>
    <row r="174" spans="1:24" s="329" customFormat="1" ht="16.149999999999999" customHeight="1">
      <c r="A174" s="474" t="s">
        <v>1858</v>
      </c>
      <c r="B174" s="474" t="s">
        <v>2708</v>
      </c>
      <c r="D174" s="348"/>
      <c r="E174" s="348"/>
      <c r="F174" s="334"/>
      <c r="J174" s="1597">
        <f>IF(J172="",0,+MIN(J170,J172))</f>
        <v>820454</v>
      </c>
      <c r="K174" s="1598"/>
      <c r="L174" s="1599"/>
      <c r="N174" s="2920"/>
      <c r="O174" s="2920"/>
      <c r="P174" s="2920"/>
      <c r="Q174" s="2920"/>
      <c r="R174" s="2920"/>
      <c r="S174" s="2920"/>
      <c r="T174" s="2920"/>
      <c r="V174" s="2872"/>
      <c r="W174" s="2902"/>
      <c r="X174" s="2903"/>
    </row>
    <row r="175" spans="1:24" ht="3" customHeight="1"/>
    <row r="176" spans="1:24" ht="6" customHeight="1"/>
    <row r="177" spans="1:24" ht="12" customHeight="1">
      <c r="A177" s="331" t="s">
        <v>1860</v>
      </c>
      <c r="B177" s="357" t="s">
        <v>593</v>
      </c>
      <c r="K177" s="331" t="s">
        <v>549</v>
      </c>
      <c r="L177" s="331" t="s">
        <v>81</v>
      </c>
    </row>
    <row r="178" spans="1:24" ht="201" customHeight="1">
      <c r="A178" s="2921" t="s">
        <v>4371</v>
      </c>
      <c r="B178" s="2922"/>
      <c r="C178" s="2922"/>
      <c r="D178" s="2922"/>
      <c r="E178" s="2922"/>
      <c r="F178" s="2922"/>
      <c r="G178" s="2922"/>
      <c r="H178" s="2922"/>
      <c r="I178" s="2922"/>
      <c r="J178" s="2923"/>
      <c r="K178" s="2924"/>
      <c r="L178" s="2925"/>
      <c r="M178" s="2925"/>
      <c r="N178" s="2925"/>
      <c r="O178" s="2925"/>
      <c r="P178" s="2925"/>
      <c r="Q178" s="2925"/>
      <c r="R178" s="2925"/>
      <c r="S178" s="2925"/>
      <c r="T178" s="2926"/>
      <c r="W178" s="1532" t="s">
        <v>2796</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2SArbUIGXqMuWnIsYOTnrqjAxNBJ6zS599RunhTJi58HTsjd6cChjgCnnmTIyjKCI0ECc9G24ExrKYw58yv2Kg==" saltValue="+iCVr+yKReKIKh9/6v9Az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2" zoomScale="85" zoomScaleNormal="85" zoomScaleSheetLayoutView="70" workbookViewId="0">
      <selection activeCell="A2" sqref="A1:XFD1048576"/>
    </sheetView>
  </sheetViews>
  <sheetFormatPr defaultColWidth="9.140625" defaultRowHeight="12.75"/>
  <cols>
    <col min="1" max="1" width="10.7109375" style="2927" customWidth="1"/>
    <col min="2" max="2" width="13" style="2927" customWidth="1"/>
    <col min="3" max="3" width="11.140625" style="2927" customWidth="1"/>
    <col min="4" max="4" width="13" style="2927" customWidth="1"/>
    <col min="5" max="5" width="0.7109375" style="2927" customWidth="1"/>
    <col min="6" max="6" width="42.5703125" style="2927" customWidth="1"/>
    <col min="7" max="7" width="0.85546875" style="2927" customWidth="1"/>
    <col min="8" max="8" width="42.5703125" style="2927" customWidth="1"/>
    <col min="9" max="16384" width="9.140625" style="2927"/>
  </cols>
  <sheetData>
    <row r="1" spans="1:14" ht="15.75">
      <c r="A1" s="1652" t="str">
        <f>CONCATENATE("PART FOUR (b) -  OTHER COSTS","  -  ",'Part I-Project Information'!$O$4," - ",'Part I-Project Information'!$F$24,"  -  ",'Part I-Project Information'!$F$28,"  -  ",'Part I-Project Information'!$J$29,",  ","County")</f>
        <v>PART FOUR (b) -  OTHER COSTS  -  2016-028 - The Village on Park  -  Hahira  -  Lowndes,  County</v>
      </c>
      <c r="B1" s="1653"/>
      <c r="C1" s="1653"/>
      <c r="D1" s="1653"/>
      <c r="E1" s="1653"/>
      <c r="F1" s="1653"/>
      <c r="G1" s="1653"/>
      <c r="H1" s="1653"/>
      <c r="I1" s="1355"/>
      <c r="J1" s="1355"/>
      <c r="K1" s="1355"/>
      <c r="L1" s="1355"/>
      <c r="M1" s="1355"/>
      <c r="N1" s="1355"/>
    </row>
    <row r="2" spans="1:14" ht="9" customHeight="1"/>
    <row r="3" spans="1:14" ht="57" customHeight="1">
      <c r="A3" s="2928" t="s">
        <v>4199</v>
      </c>
      <c r="B3" s="2929"/>
      <c r="C3" s="2929"/>
      <c r="D3" s="2929"/>
      <c r="E3" s="2929"/>
      <c r="F3" s="2929"/>
      <c r="G3" s="2929"/>
      <c r="H3" s="2930"/>
    </row>
    <row r="4" spans="1:14" ht="6" customHeight="1"/>
    <row r="5" spans="1:14" ht="27" customHeight="1">
      <c r="A5" s="1654" t="s">
        <v>4185</v>
      </c>
      <c r="B5" s="1654"/>
      <c r="C5" s="1654"/>
      <c r="D5" s="1654"/>
      <c r="F5" s="1356" t="s">
        <v>4186</v>
      </c>
      <c r="G5" s="704"/>
      <c r="H5" s="1356" t="s">
        <v>4187</v>
      </c>
    </row>
    <row r="6" spans="1:14" ht="6.75" customHeight="1">
      <c r="A6" s="704"/>
      <c r="B6" s="704"/>
      <c r="C6" s="704"/>
      <c r="D6" s="704"/>
    </row>
    <row r="7" spans="1:14" s="2931" customFormat="1" ht="4.5" customHeight="1">
      <c r="A7" s="1357"/>
      <c r="B7" s="1357"/>
      <c r="C7" s="1357"/>
      <c r="D7" s="1357"/>
      <c r="E7" s="1357"/>
      <c r="F7" s="1357"/>
      <c r="G7" s="1357"/>
    </row>
    <row r="8" spans="1:14" s="2931" customFormat="1">
      <c r="A8" s="1366" t="s">
        <v>104</v>
      </c>
      <c r="B8" s="1358"/>
      <c r="C8" s="1358"/>
      <c r="D8" s="1358"/>
      <c r="E8" s="1358"/>
      <c r="F8" s="1358"/>
      <c r="G8" s="1358"/>
    </row>
    <row r="9" spans="1:14" s="2931" customFormat="1" ht="41.25" customHeight="1">
      <c r="A9" s="1649" t="str">
        <f>'Part IV-Uses of Funds'!$C$14</f>
        <v>&lt;&lt; Enter description here; provide detail &amp; justification in tab Part IV-b &gt;&gt;</v>
      </c>
      <c r="B9" s="1650"/>
      <c r="C9" s="1650"/>
      <c r="D9" s="1651"/>
      <c r="F9" s="2932"/>
      <c r="G9" s="1358"/>
      <c r="H9" s="2932"/>
    </row>
    <row r="10" spans="1:14" s="2931" customFormat="1" ht="41.25" customHeight="1">
      <c r="A10" s="1646"/>
      <c r="B10" s="1647"/>
      <c r="C10" s="1647"/>
      <c r="D10" s="1648"/>
      <c r="F10" s="2933"/>
      <c r="G10" s="1358"/>
      <c r="H10" s="2933"/>
    </row>
    <row r="11" spans="1:14" s="2931" customFormat="1" ht="4.5" customHeight="1">
      <c r="F11" s="2933"/>
      <c r="G11" s="1358"/>
      <c r="H11" s="2933"/>
    </row>
    <row r="12" spans="1:14" s="2931" customFormat="1" ht="15" customHeight="1">
      <c r="A12" s="1365" t="s">
        <v>4190</v>
      </c>
      <c r="B12" s="1364">
        <f>'Part IV-Uses of Funds'!$G$14</f>
        <v>0</v>
      </c>
      <c r="C12" s="1365" t="s">
        <v>1856</v>
      </c>
      <c r="D12" s="1364">
        <f>'Part IV-Uses of Funds'!$J$14+'Part IV-Uses of Funds'!$M$14+'Part IV-Uses of Funds'!$P$14</f>
        <v>0</v>
      </c>
      <c r="F12" s="2933"/>
      <c r="G12" s="1358"/>
      <c r="H12" s="2933"/>
    </row>
    <row r="13" spans="1:14" s="2931" customFormat="1" ht="6" customHeight="1">
      <c r="A13" s="1358"/>
      <c r="B13" s="1359"/>
      <c r="C13" s="1358"/>
      <c r="D13" s="1358"/>
      <c r="F13" s="2933"/>
      <c r="G13" s="1360"/>
      <c r="H13" s="2933"/>
    </row>
    <row r="14" spans="1:14" s="2931" customFormat="1" ht="41.25" customHeight="1">
      <c r="A14" s="1649" t="str">
        <f>'Part IV-Uses of Funds'!$C$15</f>
        <v>&lt;&lt; Enter description here; provide detail &amp; justification in tab Part IV-b &gt;&gt;</v>
      </c>
      <c r="B14" s="1650"/>
      <c r="C14" s="1650"/>
      <c r="D14" s="1651"/>
      <c r="F14" s="2933"/>
      <c r="G14" s="1358"/>
      <c r="H14" s="2933"/>
    </row>
    <row r="15" spans="1:14" s="2931" customFormat="1" ht="41.25" customHeight="1">
      <c r="A15" s="1646"/>
      <c r="B15" s="1647"/>
      <c r="C15" s="1647"/>
      <c r="D15" s="1648"/>
      <c r="F15" s="2933"/>
      <c r="G15" s="1358"/>
      <c r="H15" s="2933"/>
    </row>
    <row r="16" spans="1:14" s="2931" customFormat="1" ht="4.5" customHeight="1">
      <c r="F16" s="2933"/>
      <c r="G16" s="1358"/>
      <c r="H16" s="2933"/>
    </row>
    <row r="17" spans="1:8" s="2931" customFormat="1" ht="15" customHeight="1">
      <c r="A17" s="1365" t="s">
        <v>4190</v>
      </c>
      <c r="B17" s="1364">
        <f>'Part IV-Uses of Funds'!$G$15</f>
        <v>0</v>
      </c>
      <c r="C17" s="1365" t="s">
        <v>1856</v>
      </c>
      <c r="D17" s="1364">
        <f>'Part IV-Uses of Funds'!$J$15+'Part IV-Uses of Funds'!$M$15+'Part IV-Uses of Funds'!$P$15</f>
        <v>0</v>
      </c>
      <c r="F17" s="2933"/>
      <c r="G17" s="1358"/>
      <c r="H17" s="2933"/>
    </row>
    <row r="18" spans="1:8" s="2931" customFormat="1" ht="6" customHeight="1">
      <c r="A18" s="1358"/>
      <c r="B18" s="1359"/>
      <c r="C18" s="1358"/>
      <c r="D18" s="1358"/>
      <c r="F18" s="2933"/>
      <c r="G18" s="1360"/>
      <c r="H18" s="2933"/>
    </row>
    <row r="19" spans="1:8" s="2931" customFormat="1" ht="41.25" customHeight="1">
      <c r="A19" s="1649" t="str">
        <f>'Part IV-Uses of Funds'!$C$16</f>
        <v>&lt;&lt; Enter description here; provide detail &amp; justification in tab Part IV-b &gt;&gt;</v>
      </c>
      <c r="B19" s="1650"/>
      <c r="C19" s="1650"/>
      <c r="D19" s="1651"/>
      <c r="F19" s="2933"/>
      <c r="G19" s="1358"/>
      <c r="H19" s="2933"/>
    </row>
    <row r="20" spans="1:8" s="2931" customFormat="1" ht="41.25" customHeight="1">
      <c r="A20" s="1646"/>
      <c r="B20" s="1647"/>
      <c r="C20" s="1647"/>
      <c r="D20" s="1648"/>
      <c r="F20" s="2933"/>
      <c r="G20" s="1358"/>
      <c r="H20" s="2933"/>
    </row>
    <row r="21" spans="1:8" s="2931" customFormat="1" ht="4.5" customHeight="1">
      <c r="F21" s="2933"/>
      <c r="G21" s="1358"/>
      <c r="H21" s="2933"/>
    </row>
    <row r="22" spans="1:8" s="2931" customFormat="1" ht="15" customHeight="1">
      <c r="A22" s="1365" t="s">
        <v>4190</v>
      </c>
      <c r="B22" s="1364">
        <f>'Part IV-Uses of Funds'!$G$16</f>
        <v>0</v>
      </c>
      <c r="C22" s="1365" t="s">
        <v>1856</v>
      </c>
      <c r="D22" s="1364">
        <f>'Part IV-Uses of Funds'!$J$16+'Part IV-Uses of Funds'!$M$16+'Part IV-Uses of Funds'!$P$16</f>
        <v>0</v>
      </c>
      <c r="F22" s="2933"/>
      <c r="G22" s="1358"/>
      <c r="H22" s="2933"/>
    </row>
    <row r="23" spans="1:8" s="2931" customFormat="1" ht="6" customHeight="1">
      <c r="A23" s="1358"/>
      <c r="B23" s="1359"/>
      <c r="C23" s="1358"/>
      <c r="D23" s="1358"/>
      <c r="F23" s="2934"/>
      <c r="G23" s="1360"/>
      <c r="H23" s="2934"/>
    </row>
    <row r="24" spans="1:8" s="2931" customFormat="1">
      <c r="A24" s="1366" t="s">
        <v>4189</v>
      </c>
      <c r="B24" s="1358"/>
      <c r="C24" s="1358"/>
      <c r="D24" s="1358"/>
      <c r="E24" s="1358"/>
      <c r="F24" s="1358"/>
      <c r="G24" s="1358"/>
    </row>
    <row r="25" spans="1:8" s="2931" customFormat="1" ht="41.25" customHeight="1">
      <c r="A25" s="1649" t="str">
        <f>'Part IV-Uses of Funds'!$C$41</f>
        <v>&lt;&lt; Enter description here; provide detail &amp; justification in tab Part IV-b &gt;&gt;</v>
      </c>
      <c r="B25" s="1650"/>
      <c r="C25" s="1650"/>
      <c r="D25" s="1651"/>
      <c r="E25" s="1358"/>
      <c r="F25" s="2935"/>
      <c r="G25" s="1358"/>
      <c r="H25" s="2935"/>
    </row>
    <row r="26" spans="1:8" s="2931" customFormat="1" ht="41.25" customHeight="1">
      <c r="A26" s="1646"/>
      <c r="B26" s="1647"/>
      <c r="C26" s="1647"/>
      <c r="D26" s="1648"/>
      <c r="E26" s="1358"/>
      <c r="F26" s="2936"/>
      <c r="G26" s="1358"/>
      <c r="H26" s="2936"/>
    </row>
    <row r="27" spans="1:8" s="2931" customFormat="1" ht="4.5" customHeight="1">
      <c r="A27" s="1358"/>
      <c r="B27" s="1358"/>
      <c r="C27" s="1358"/>
      <c r="D27" s="1358"/>
      <c r="E27" s="1358"/>
      <c r="F27" s="2936"/>
      <c r="G27" s="1358"/>
      <c r="H27" s="2936"/>
    </row>
    <row r="28" spans="1:8" s="2931" customFormat="1">
      <c r="A28" s="1365" t="s">
        <v>4190</v>
      </c>
      <c r="B28" s="1364">
        <f>'Part IV-Uses of Funds'!$G$41</f>
        <v>0</v>
      </c>
      <c r="C28" s="1365" t="s">
        <v>1856</v>
      </c>
      <c r="D28" s="1364">
        <f>'Part IV-Uses of Funds'!$J$41+'Part IV-Uses of Funds'!$M$41+'Part IV-Uses of Funds'!$P$41</f>
        <v>0</v>
      </c>
      <c r="E28" s="1358"/>
      <c r="F28" s="2936"/>
      <c r="G28" s="1358"/>
      <c r="H28" s="2936"/>
    </row>
    <row r="29" spans="1:8" s="2931" customFormat="1" ht="6" customHeight="1">
      <c r="A29" s="1358"/>
      <c r="B29" s="1359"/>
      <c r="C29" s="1358"/>
      <c r="D29" s="1358"/>
      <c r="E29" s="1358"/>
      <c r="F29" s="2937"/>
      <c r="G29" s="1360"/>
      <c r="H29" s="2937"/>
    </row>
    <row r="30" spans="1:8" s="2931" customFormat="1">
      <c r="A30" s="1366" t="s">
        <v>752</v>
      </c>
      <c r="B30" s="1358"/>
      <c r="C30" s="1358"/>
      <c r="D30" s="1358"/>
      <c r="E30" s="1358"/>
      <c r="F30" s="1358"/>
      <c r="G30" s="1358"/>
    </row>
    <row r="31" spans="1:8" s="2931" customFormat="1" ht="41.25" customHeight="1">
      <c r="A31" s="1643" t="str">
        <f>'Part IV-Uses of Funds'!$C$62</f>
        <v>&lt;&lt; Enter description here; provide detail &amp; justification in tab Part IV-b &gt;&gt;</v>
      </c>
      <c r="B31" s="1644"/>
      <c r="C31" s="1644"/>
      <c r="D31" s="1645"/>
      <c r="E31" s="1358"/>
      <c r="F31" s="2932"/>
      <c r="G31" s="1358"/>
      <c r="H31" s="2932"/>
    </row>
    <row r="32" spans="1:8" s="2931" customFormat="1" ht="41.25" customHeight="1">
      <c r="A32" s="1646"/>
      <c r="B32" s="1647"/>
      <c r="C32" s="1647"/>
      <c r="D32" s="1648"/>
      <c r="E32" s="1358"/>
      <c r="F32" s="2933"/>
      <c r="G32" s="1358"/>
      <c r="H32" s="2933"/>
    </row>
    <row r="33" spans="1:8" s="2931" customFormat="1" ht="4.5" customHeight="1">
      <c r="A33" s="1358"/>
      <c r="B33" s="1358"/>
      <c r="C33" s="1358"/>
      <c r="D33" s="1358"/>
      <c r="E33" s="1358"/>
      <c r="F33" s="2933"/>
      <c r="G33" s="1358"/>
      <c r="H33" s="2933"/>
    </row>
    <row r="34" spans="1:8" s="2931" customFormat="1" ht="14.25" customHeight="1">
      <c r="A34" s="1365" t="s">
        <v>4190</v>
      </c>
      <c r="B34" s="1364">
        <f>'Part IV-Uses of Funds'!$G$62</f>
        <v>0</v>
      </c>
      <c r="C34" s="1365" t="s">
        <v>1856</v>
      </c>
      <c r="D34" s="1364">
        <f>'Part IV-Uses of Funds'!$J$62+'Part IV-Uses of Funds'!$M$62+'Part IV-Uses of Funds'!$P$62</f>
        <v>0</v>
      </c>
      <c r="E34" s="1358"/>
      <c r="F34" s="2933"/>
      <c r="G34" s="1358"/>
      <c r="H34" s="2933"/>
    </row>
    <row r="35" spans="1:8" s="2931" customFormat="1" ht="6" customHeight="1">
      <c r="D35" s="1358"/>
      <c r="E35" s="1358"/>
      <c r="F35" s="2933"/>
      <c r="G35" s="1360"/>
      <c r="H35" s="2933"/>
    </row>
    <row r="36" spans="1:8" s="2931" customFormat="1" ht="41.25" customHeight="1">
      <c r="A36" s="1643" t="str">
        <f>'Part IV-Uses of Funds'!$C$63</f>
        <v>&lt;&lt; Enter description here; provide detail &amp; justification in tab Part IV-b &gt;&gt;</v>
      </c>
      <c r="B36" s="1644"/>
      <c r="C36" s="1644"/>
      <c r="D36" s="1645"/>
      <c r="E36" s="1358"/>
      <c r="F36" s="2933"/>
      <c r="G36" s="1358"/>
      <c r="H36" s="2933"/>
    </row>
    <row r="37" spans="1:8" s="2931" customFormat="1" ht="41.25" customHeight="1">
      <c r="A37" s="1646"/>
      <c r="B37" s="1647"/>
      <c r="C37" s="1647"/>
      <c r="D37" s="1648"/>
      <c r="E37" s="1358"/>
      <c r="F37" s="2933"/>
      <c r="G37" s="1358"/>
      <c r="H37" s="2933"/>
    </row>
    <row r="38" spans="1:8" s="2931" customFormat="1" ht="4.5" customHeight="1">
      <c r="A38" s="1358"/>
      <c r="B38" s="1358"/>
      <c r="C38" s="1358"/>
      <c r="D38" s="1358"/>
      <c r="E38" s="1358"/>
      <c r="F38" s="2933"/>
      <c r="G38" s="1358"/>
      <c r="H38" s="2933"/>
    </row>
    <row r="39" spans="1:8" s="2931" customFormat="1" ht="14.25" customHeight="1">
      <c r="A39" s="1365" t="s">
        <v>4190</v>
      </c>
      <c r="B39" s="1364">
        <f>'Part IV-Uses of Funds'!$G$63</f>
        <v>0</v>
      </c>
      <c r="C39" s="1365" t="s">
        <v>1856</v>
      </c>
      <c r="D39" s="1364">
        <f>'Part IV-Uses of Funds'!$J$63+'Part IV-Uses of Funds'!$M$63+'Part IV-Uses of Funds'!$P$63</f>
        <v>0</v>
      </c>
      <c r="E39" s="1358"/>
      <c r="F39" s="2933"/>
      <c r="G39" s="1358"/>
      <c r="H39" s="2933"/>
    </row>
    <row r="40" spans="1:8" s="2931" customFormat="1" ht="6" customHeight="1">
      <c r="D40" s="1358"/>
      <c r="E40" s="1358"/>
      <c r="F40" s="2934"/>
      <c r="G40" s="1360"/>
      <c r="H40" s="2934"/>
    </row>
    <row r="41" spans="1:8" s="2931" customFormat="1">
      <c r="A41" s="1366" t="s">
        <v>493</v>
      </c>
      <c r="B41" s="1358"/>
      <c r="C41" s="1358"/>
      <c r="D41" s="1358"/>
      <c r="E41" s="1362"/>
      <c r="F41" s="1362"/>
      <c r="G41" s="1358"/>
    </row>
    <row r="42" spans="1:8" s="2931" customFormat="1" ht="41.25" customHeight="1">
      <c r="A42" s="1643" t="str">
        <f>'Part IV-Uses of Funds'!$C$76</f>
        <v>&lt;&lt; Enter description here; provide detail &amp; justification in tab Part IV-b &gt;&gt;</v>
      </c>
      <c r="B42" s="1644"/>
      <c r="C42" s="1644"/>
      <c r="D42" s="1645"/>
      <c r="F42" s="2935"/>
      <c r="G42" s="1358"/>
      <c r="H42" s="2935"/>
    </row>
    <row r="43" spans="1:8" s="2931" customFormat="1" ht="41.25" customHeight="1">
      <c r="A43" s="1646"/>
      <c r="B43" s="1647"/>
      <c r="C43" s="1647"/>
      <c r="D43" s="1648"/>
      <c r="E43" s="1358"/>
      <c r="F43" s="2936"/>
      <c r="G43" s="1358"/>
      <c r="H43" s="2936"/>
    </row>
    <row r="44" spans="1:8" s="2931" customFormat="1" ht="4.5" customHeight="1">
      <c r="A44" s="1358"/>
      <c r="B44" s="1358"/>
      <c r="C44" s="1358"/>
      <c r="D44" s="1358"/>
      <c r="E44" s="1358"/>
      <c r="F44" s="2936"/>
      <c r="G44" s="1358"/>
      <c r="H44" s="2936"/>
    </row>
    <row r="45" spans="1:8" s="2931" customFormat="1" ht="13.5" customHeight="1">
      <c r="A45" s="1365" t="s">
        <v>4190</v>
      </c>
      <c r="B45" s="1364">
        <f>'Part IV-Uses of Funds'!$G$76</f>
        <v>0</v>
      </c>
      <c r="C45" s="1365" t="s">
        <v>1856</v>
      </c>
      <c r="D45" s="1364">
        <f>'Part IV-Uses of Funds'!$J$76+'Part IV-Uses of Funds'!$M$76+'Part IV-Uses of Funds'!$P$76</f>
        <v>0</v>
      </c>
      <c r="E45" s="1358"/>
      <c r="F45" s="2936"/>
      <c r="G45" s="1358"/>
      <c r="H45" s="2936"/>
    </row>
    <row r="46" spans="1:8" s="2931" customFormat="1" ht="6" customHeight="1">
      <c r="A46" s="1358"/>
      <c r="B46" s="1359"/>
      <c r="C46" s="1358"/>
      <c r="D46" s="1358"/>
      <c r="E46" s="1358"/>
      <c r="F46" s="2937"/>
      <c r="G46" s="1360"/>
      <c r="H46" s="2937"/>
    </row>
    <row r="47" spans="1:8" s="2931" customFormat="1">
      <c r="A47" s="1366" t="s">
        <v>754</v>
      </c>
      <c r="B47" s="1358"/>
      <c r="C47" s="1358"/>
      <c r="D47" s="1358"/>
      <c r="E47" s="1358"/>
      <c r="F47" s="1358"/>
      <c r="G47" s="1358"/>
    </row>
    <row r="48" spans="1:8" s="2931" customFormat="1" ht="41.25" customHeight="1">
      <c r="A48" s="1643" t="str">
        <f>'Part IV-Uses of Funds'!$C$90</f>
        <v>&lt;&lt; Enter description here; provide detail &amp; justification in tab Part IV-b &gt;&gt;</v>
      </c>
      <c r="B48" s="1644"/>
      <c r="C48" s="1644"/>
      <c r="D48" s="1645"/>
      <c r="F48" s="2935"/>
      <c r="G48" s="1358"/>
    </row>
    <row r="49" spans="1:7" s="2931" customFormat="1" ht="41.25" customHeight="1">
      <c r="A49" s="1646"/>
      <c r="B49" s="1647"/>
      <c r="C49" s="1647"/>
      <c r="D49" s="1648"/>
      <c r="E49" s="1358"/>
      <c r="F49" s="2936"/>
      <c r="G49" s="1358"/>
    </row>
    <row r="50" spans="1:7" s="2931" customFormat="1" ht="4.5" customHeight="1">
      <c r="A50" s="1358"/>
      <c r="B50" s="1358"/>
      <c r="C50" s="1358"/>
      <c r="D50" s="1358"/>
      <c r="E50" s="1358"/>
      <c r="F50" s="2936"/>
      <c r="G50" s="1358"/>
    </row>
    <row r="51" spans="1:7" s="2931" customFormat="1" ht="13.5" customHeight="1">
      <c r="A51" s="1365" t="s">
        <v>4190</v>
      </c>
      <c r="B51" s="1364">
        <f>'Part IV-Uses of Funds'!$G$90</f>
        <v>0</v>
      </c>
      <c r="C51" s="1361"/>
      <c r="D51" s="1361"/>
      <c r="E51" s="1358"/>
      <c r="F51" s="2936"/>
      <c r="G51" s="1358"/>
    </row>
    <row r="52" spans="1:7" s="2931" customFormat="1" ht="6" customHeight="1">
      <c r="A52" s="1358"/>
      <c r="B52" s="1358"/>
      <c r="C52" s="1358"/>
      <c r="D52" s="1358"/>
      <c r="E52" s="1358"/>
      <c r="F52" s="2937"/>
      <c r="G52" s="1360"/>
    </row>
    <row r="53" spans="1:7" s="2931" customFormat="1">
      <c r="A53" s="1366" t="s">
        <v>4191</v>
      </c>
      <c r="B53" s="1358"/>
      <c r="C53" s="1358"/>
      <c r="D53" s="1358"/>
      <c r="E53" s="1358"/>
      <c r="F53" s="1358"/>
      <c r="G53" s="1358"/>
    </row>
    <row r="54" spans="1:7" s="2931" customFormat="1" ht="41.25" customHeight="1">
      <c r="A54" s="1643" t="str">
        <f>'Part IV-Uses of Funds'!$C$103</f>
        <v>&lt;&lt; Enter description here; provide detail &amp; justification in tab Part IV-b &gt;&gt;</v>
      </c>
      <c r="B54" s="1644"/>
      <c r="C54" s="1644"/>
      <c r="D54" s="1645"/>
      <c r="F54" s="2932"/>
      <c r="G54" s="1358"/>
    </row>
    <row r="55" spans="1:7" s="2931" customFormat="1" ht="41.25" customHeight="1">
      <c r="A55" s="1646"/>
      <c r="B55" s="1647"/>
      <c r="C55" s="1647"/>
      <c r="D55" s="1648"/>
      <c r="E55" s="1358"/>
      <c r="F55" s="2933"/>
      <c r="G55" s="1358"/>
    </row>
    <row r="56" spans="1:7" s="2931" customFormat="1" ht="4.5" customHeight="1">
      <c r="A56" s="1358"/>
      <c r="B56" s="1358"/>
      <c r="C56" s="1358"/>
      <c r="D56" s="1358"/>
      <c r="E56" s="1358"/>
      <c r="F56" s="2933"/>
      <c r="G56" s="1358"/>
    </row>
    <row r="57" spans="1:7" s="2931" customFormat="1">
      <c r="A57" s="1365" t="s">
        <v>4190</v>
      </c>
      <c r="B57" s="1364">
        <f>'Part IV-Uses of Funds'!$G$103</f>
        <v>0</v>
      </c>
      <c r="C57" s="1361"/>
      <c r="D57" s="1361"/>
      <c r="E57" s="1358"/>
      <c r="F57" s="2933"/>
      <c r="G57" s="1358"/>
    </row>
    <row r="58" spans="1:7" s="2931" customFormat="1" ht="6" customHeight="1">
      <c r="A58" s="1357"/>
      <c r="B58" s="1357"/>
      <c r="C58" s="1357"/>
      <c r="D58" s="1357"/>
      <c r="E58" s="1357"/>
      <c r="F58" s="2933"/>
      <c r="G58" s="1360"/>
    </row>
    <row r="59" spans="1:7" s="2931" customFormat="1" ht="41.25" customHeight="1">
      <c r="A59" s="1643" t="str">
        <f>'Part IV-Uses of Funds'!$C$104</f>
        <v>&lt;&lt; Enter description here; provide detail &amp; justification in tab Part IV-b &gt;&gt;</v>
      </c>
      <c r="B59" s="1644"/>
      <c r="C59" s="1644"/>
      <c r="D59" s="1645"/>
      <c r="F59" s="2933"/>
      <c r="G59" s="1358"/>
    </row>
    <row r="60" spans="1:7" s="2931" customFormat="1" ht="41.25" customHeight="1">
      <c r="A60" s="1646"/>
      <c r="B60" s="1647"/>
      <c r="C60" s="1647"/>
      <c r="D60" s="1648"/>
      <c r="E60" s="1358"/>
      <c r="F60" s="2933"/>
      <c r="G60" s="1358"/>
    </row>
    <row r="61" spans="1:7" s="2931" customFormat="1" ht="4.5" customHeight="1">
      <c r="A61" s="1358"/>
      <c r="B61" s="1358"/>
      <c r="C61" s="1358"/>
      <c r="D61" s="1358"/>
      <c r="E61" s="1358"/>
      <c r="F61" s="2933"/>
      <c r="G61" s="1358"/>
    </row>
    <row r="62" spans="1:7" s="2931" customFormat="1">
      <c r="A62" s="1361" t="s">
        <v>103</v>
      </c>
      <c r="B62" s="1364">
        <f>'Part IV-Uses of Funds'!$G$104</f>
        <v>0</v>
      </c>
      <c r="C62" s="1361"/>
      <c r="D62" s="1361"/>
      <c r="E62" s="1358"/>
      <c r="F62" s="2933"/>
      <c r="G62" s="1358"/>
    </row>
    <row r="63" spans="1:7" s="2931" customFormat="1" ht="6" customHeight="1">
      <c r="A63" s="1357"/>
      <c r="B63" s="1357"/>
      <c r="C63" s="1357"/>
      <c r="D63" s="1357"/>
      <c r="E63" s="1357"/>
      <c r="F63" s="2934"/>
      <c r="G63" s="1360"/>
    </row>
    <row r="64" spans="1:7" s="2931" customFormat="1">
      <c r="A64" s="1366" t="s">
        <v>4192</v>
      </c>
      <c r="B64" s="1358"/>
      <c r="C64" s="1358"/>
      <c r="D64" s="1358"/>
      <c r="E64" s="1358"/>
      <c r="F64" s="1358"/>
      <c r="G64" s="1358"/>
    </row>
    <row r="65" spans="1:8" s="2931" customFormat="1" ht="41.25" customHeight="1">
      <c r="A65" s="1643" t="str">
        <f>'Part IV-Uses of Funds'!$C$110</f>
        <v>&lt;&lt; Enter description here; provide detail &amp; justification in tab Part IV-b &gt;&gt;</v>
      </c>
      <c r="B65" s="1644"/>
      <c r="C65" s="1644"/>
      <c r="D65" s="1645"/>
      <c r="F65" s="2935"/>
      <c r="G65" s="1358"/>
    </row>
    <row r="66" spans="1:8" s="2931" customFormat="1" ht="41.25" customHeight="1">
      <c r="A66" s="1646"/>
      <c r="B66" s="1647"/>
      <c r="C66" s="1647"/>
      <c r="D66" s="1648"/>
      <c r="E66" s="1358"/>
      <c r="F66" s="2936"/>
      <c r="G66" s="1358"/>
    </row>
    <row r="67" spans="1:8" s="2931" customFormat="1" ht="4.5" customHeight="1">
      <c r="A67" s="1358"/>
      <c r="B67" s="1358"/>
      <c r="C67" s="1358"/>
      <c r="D67" s="1358"/>
      <c r="E67" s="1358"/>
      <c r="F67" s="2936"/>
      <c r="G67" s="1358"/>
    </row>
    <row r="68" spans="1:8" s="2931" customFormat="1">
      <c r="A68" s="1361" t="s">
        <v>103</v>
      </c>
      <c r="B68" s="1364">
        <f>'Part IV-Uses of Funds'!$G$110</f>
        <v>0</v>
      </c>
      <c r="C68" s="1361"/>
      <c r="D68" s="1361"/>
      <c r="E68" s="1358"/>
      <c r="F68" s="2936"/>
      <c r="G68" s="1358"/>
    </row>
    <row r="69" spans="1:8" s="2931" customFormat="1" ht="6" customHeight="1">
      <c r="A69" s="1358"/>
      <c r="B69" s="1359"/>
      <c r="C69" s="1358"/>
      <c r="D69" s="1358"/>
      <c r="E69" s="1358"/>
      <c r="F69" s="2937"/>
      <c r="G69" s="1360"/>
    </row>
    <row r="70" spans="1:8" s="2931" customFormat="1">
      <c r="A70" s="1366" t="s">
        <v>1358</v>
      </c>
      <c r="B70" s="1358"/>
      <c r="C70" s="1358"/>
      <c r="D70" s="1358"/>
      <c r="E70" s="1358"/>
      <c r="F70" s="1358"/>
      <c r="G70" s="1358"/>
    </row>
    <row r="71" spans="1:8" s="2931" customFormat="1" ht="41.25" customHeight="1">
      <c r="A71" s="1643" t="str">
        <f>'Part IV-Uses of Funds'!$C$124</f>
        <v>&lt;&lt; Enter description here; provide detail &amp; justification in tab Part IV-b &gt;&gt;</v>
      </c>
      <c r="B71" s="1644"/>
      <c r="C71" s="1644"/>
      <c r="D71" s="1645"/>
      <c r="F71" s="2935"/>
      <c r="G71" s="1358"/>
      <c r="H71" s="2935"/>
    </row>
    <row r="72" spans="1:8" s="2931" customFormat="1" ht="41.25" customHeight="1">
      <c r="A72" s="1646"/>
      <c r="B72" s="1647"/>
      <c r="C72" s="1647"/>
      <c r="D72" s="1648"/>
      <c r="E72" s="1358"/>
      <c r="F72" s="2936"/>
      <c r="G72" s="1358"/>
      <c r="H72" s="2936"/>
    </row>
    <row r="73" spans="1:8" s="2931" customFormat="1" ht="4.5" customHeight="1">
      <c r="A73" s="1358"/>
      <c r="B73" s="1358"/>
      <c r="C73" s="1358"/>
      <c r="D73" s="1358"/>
      <c r="E73" s="1358"/>
      <c r="F73" s="2936"/>
      <c r="G73" s="1358"/>
      <c r="H73" s="2936"/>
    </row>
    <row r="74" spans="1:8" s="2931" customFormat="1">
      <c r="A74" s="1361" t="s">
        <v>103</v>
      </c>
      <c r="B74" s="1364">
        <f>'Part IV-Uses of Funds'!$G$124</f>
        <v>0</v>
      </c>
      <c r="C74" s="1361" t="s">
        <v>4188</v>
      </c>
      <c r="D74" s="1364">
        <f>'Part IV-Uses of Funds'!$J$124+'Part IV-Uses of Funds'!$M$124+'Part IV-Uses of Funds'!$P$124</f>
        <v>0</v>
      </c>
      <c r="E74" s="1358"/>
      <c r="F74" s="2936"/>
      <c r="G74" s="1358"/>
      <c r="H74" s="2936"/>
    </row>
    <row r="75" spans="1:8" s="2931" customFormat="1" ht="6" customHeight="1">
      <c r="A75" s="1358"/>
      <c r="B75" s="1359"/>
      <c r="C75" s="1358"/>
      <c r="D75" s="1358"/>
      <c r="E75" s="1358"/>
      <c r="F75" s="2937"/>
      <c r="G75" s="1360"/>
      <c r="H75" s="2937"/>
    </row>
    <row r="76" spans="1:8" s="2931" customFormat="1">
      <c r="A76" s="1366" t="s">
        <v>4193</v>
      </c>
      <c r="B76" s="1359"/>
      <c r="C76" s="1358"/>
      <c r="D76" s="1358"/>
      <c r="E76" s="1358"/>
      <c r="F76" s="1358"/>
      <c r="G76" s="1360"/>
    </row>
    <row r="77" spans="1:8" s="2931" customFormat="1" ht="41.25" customHeight="1">
      <c r="A77" s="1643" t="str">
        <f>'Part IV-Uses of Funds'!$C$128</f>
        <v>&lt;&lt; Enter description here; provide detail &amp; justification in tab Part IV-b &gt;&gt;</v>
      </c>
      <c r="B77" s="1644"/>
      <c r="C77" s="1644"/>
      <c r="D77" s="1645"/>
      <c r="F77" s="2935"/>
      <c r="G77" s="1358"/>
      <c r="H77" s="2935"/>
    </row>
    <row r="78" spans="1:8" s="2931" customFormat="1" ht="41.25" customHeight="1">
      <c r="A78" s="1646"/>
      <c r="B78" s="1647"/>
      <c r="C78" s="1647"/>
      <c r="D78" s="1648"/>
      <c r="E78" s="1358"/>
      <c r="F78" s="2936"/>
      <c r="G78" s="1358"/>
      <c r="H78" s="2936"/>
    </row>
    <row r="79" spans="1:8" s="2931" customFormat="1" ht="4.5" customHeight="1">
      <c r="A79" s="1358"/>
      <c r="B79" s="1358"/>
      <c r="C79" s="1358"/>
      <c r="D79" s="1358"/>
      <c r="E79" s="1358"/>
      <c r="F79" s="2936"/>
      <c r="G79" s="1358"/>
      <c r="H79" s="2936"/>
    </row>
    <row r="80" spans="1:8" s="2931" customFormat="1">
      <c r="A80" s="1361" t="s">
        <v>103</v>
      </c>
      <c r="B80" s="1364">
        <f>'Part IV-Uses of Funds'!$G$128</f>
        <v>0</v>
      </c>
      <c r="C80" s="1361" t="s">
        <v>4188</v>
      </c>
      <c r="D80" s="1364">
        <f>'Part IV-Uses of Funds'!$J$128+'Part IV-Uses of Funds'!$M$128+'Part IV-Uses of Funds'!$P$128</f>
        <v>0</v>
      </c>
      <c r="E80" s="1363"/>
      <c r="F80" s="2936"/>
      <c r="G80" s="1358"/>
      <c r="H80" s="2936"/>
    </row>
    <row r="81" spans="4:8" s="2931" customFormat="1" ht="6" customHeight="1">
      <c r="D81" s="1384"/>
      <c r="E81" s="2938"/>
      <c r="F81" s="2937"/>
      <c r="G81" s="1360"/>
      <c r="H81" s="2937"/>
    </row>
    <row r="82" spans="4:8" s="2931" customFormat="1"/>
    <row r="83" spans="4:8" s="2931" customFormat="1"/>
    <row r="84" spans="4:8" s="2931" customFormat="1"/>
    <row r="85" spans="4:8" s="2931" customFormat="1"/>
    <row r="86" spans="4:8" s="2931" customFormat="1"/>
    <row r="87" spans="4:8" s="2931" customFormat="1"/>
    <row r="88" spans="4:8" s="2931" customFormat="1"/>
    <row r="89" spans="4:8" s="2931" customFormat="1"/>
    <row r="90" spans="4:8" s="2931" customFormat="1"/>
    <row r="91" spans="4:8" s="2931" customFormat="1"/>
    <row r="92" spans="4:8" s="2931" customFormat="1"/>
  </sheetData>
  <sheetProtection algorithmName="SHA-512" hashValue="Ica9VYVAQmIhD8ayH2m1ie3yJ8B/yfm3D3ke4ETQGAMTBCHqcdBFFqMgoCiYISvJcOpLZhfyTnvTRqQJeJjGKA==" saltValue="nkD6GP34vQVQEkBY2twug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2016-028 The Village on Park, Hahira, Lowndes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4215</v>
      </c>
      <c r="C3" s="1464"/>
      <c r="D3" s="1465"/>
      <c r="F3" s="4" t="s">
        <v>534</v>
      </c>
      <c r="I3" s="1426" t="str">
        <f>VLOOKUP('Part I-Project Information'!$J$29,'DCA Underwriting Assumptions'!$G$141:$H$300,2)</f>
        <v>South</v>
      </c>
    </row>
    <row r="4" spans="1:20" s="8" customFormat="1"/>
    <row r="5" spans="1:20" s="8" customFormat="1">
      <c r="A5" s="14" t="s">
        <v>640</v>
      </c>
      <c r="B5" s="14" t="s">
        <v>2306</v>
      </c>
      <c r="F5" s="8" t="s">
        <v>2606</v>
      </c>
      <c r="I5" s="2939" t="s">
        <v>4222</v>
      </c>
      <c r="J5" s="2940"/>
      <c r="K5" s="2940"/>
      <c r="L5" s="2940"/>
      <c r="M5" s="2941"/>
    </row>
    <row r="6" spans="1:20" s="8" customFormat="1" ht="13.15" customHeight="1">
      <c r="A6" s="14"/>
      <c r="F6" s="8" t="s">
        <v>660</v>
      </c>
      <c r="H6" s="28"/>
      <c r="I6" s="2942">
        <v>42552</v>
      </c>
      <c r="J6" s="2943"/>
      <c r="K6" s="65" t="s">
        <v>559</v>
      </c>
      <c r="L6" s="2944" t="s">
        <v>4338</v>
      </c>
      <c r="M6" s="2941"/>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10" t="s">
        <v>666</v>
      </c>
      <c r="G9" s="1410" t="s">
        <v>1920</v>
      </c>
      <c r="I9" s="267" t="s">
        <v>587</v>
      </c>
      <c r="J9" s="268">
        <v>1</v>
      </c>
      <c r="K9" s="268">
        <v>2</v>
      </c>
      <c r="L9" s="268">
        <v>3</v>
      </c>
      <c r="M9" s="268">
        <v>4</v>
      </c>
    </row>
    <row r="10" spans="1:20" s="8" customFormat="1">
      <c r="B10" s="269" t="s">
        <v>1922</v>
      </c>
      <c r="C10" s="270"/>
      <c r="D10" s="2945" t="s">
        <v>4223</v>
      </c>
      <c r="E10" s="2946"/>
      <c r="F10" s="2947" t="s">
        <v>456</v>
      </c>
      <c r="G10" s="2947"/>
      <c r="H10" s="271"/>
      <c r="I10" s="2948"/>
      <c r="J10" s="2948">
        <v>2</v>
      </c>
      <c r="K10" s="2948">
        <v>2</v>
      </c>
      <c r="L10" s="2948">
        <v>3</v>
      </c>
      <c r="M10" s="2948"/>
      <c r="O10" s="1655" t="s">
        <v>4155</v>
      </c>
      <c r="P10" s="1655"/>
    </row>
    <row r="11" spans="1:20" s="8" customFormat="1">
      <c r="B11" s="272" t="s">
        <v>484</v>
      </c>
      <c r="C11" s="273"/>
      <c r="D11" s="272" t="s">
        <v>1653</v>
      </c>
      <c r="E11" s="273"/>
      <c r="F11" s="2949" t="s">
        <v>456</v>
      </c>
      <c r="G11" s="2949"/>
      <c r="H11" s="274"/>
      <c r="I11" s="2950"/>
      <c r="J11" s="2950">
        <v>38</v>
      </c>
      <c r="K11" s="2950">
        <v>49</v>
      </c>
      <c r="L11" s="2951">
        <v>60</v>
      </c>
      <c r="M11" s="2951"/>
      <c r="O11" s="1655"/>
      <c r="P11" s="1655"/>
    </row>
    <row r="12" spans="1:20" s="8" customFormat="1">
      <c r="B12" s="272" t="s">
        <v>1654</v>
      </c>
      <c r="C12" s="273"/>
      <c r="D12" s="2952" t="s">
        <v>1653</v>
      </c>
      <c r="E12" s="2953"/>
      <c r="F12" s="2949" t="s">
        <v>456</v>
      </c>
      <c r="G12" s="2949"/>
      <c r="H12" s="274"/>
      <c r="I12" s="2950"/>
      <c r="J12" s="2950">
        <v>10</v>
      </c>
      <c r="K12" s="2950">
        <v>13</v>
      </c>
      <c r="L12" s="2951">
        <v>15</v>
      </c>
      <c r="M12" s="2951"/>
      <c r="O12" s="1655"/>
      <c r="P12" s="1655"/>
    </row>
    <row r="13" spans="1:20" s="8" customFormat="1">
      <c r="B13" s="272" t="s">
        <v>1655</v>
      </c>
      <c r="C13" s="273"/>
      <c r="D13" s="2952" t="s">
        <v>1653</v>
      </c>
      <c r="E13" s="2953"/>
      <c r="F13" s="2949" t="s">
        <v>456</v>
      </c>
      <c r="G13" s="2949"/>
      <c r="H13" s="274"/>
      <c r="I13" s="2950"/>
      <c r="J13" s="2950">
        <v>30</v>
      </c>
      <c r="K13" s="2950">
        <v>39</v>
      </c>
      <c r="L13" s="2951">
        <v>48</v>
      </c>
      <c r="M13" s="2951"/>
      <c r="O13" s="1655"/>
      <c r="P13" s="1655"/>
    </row>
    <row r="14" spans="1:20" s="8" customFormat="1">
      <c r="B14" s="272" t="s">
        <v>1656</v>
      </c>
      <c r="C14" s="273"/>
      <c r="D14" s="272" t="s">
        <v>1653</v>
      </c>
      <c r="E14" s="275"/>
      <c r="F14" s="2949" t="s">
        <v>456</v>
      </c>
      <c r="G14" s="2949"/>
      <c r="H14" s="274"/>
      <c r="I14" s="2950"/>
      <c r="J14" s="2950">
        <v>28</v>
      </c>
      <c r="K14" s="2950">
        <v>36</v>
      </c>
      <c r="L14" s="2951">
        <v>44</v>
      </c>
      <c r="M14" s="2951"/>
      <c r="O14" s="1655"/>
      <c r="P14" s="1655"/>
    </row>
    <row r="15" spans="1:20" s="8" customFormat="1">
      <c r="B15" s="272" t="s">
        <v>1420</v>
      </c>
      <c r="C15" s="273"/>
      <c r="D15" s="848" t="s">
        <v>3728</v>
      </c>
      <c r="E15" s="2954" t="s">
        <v>3153</v>
      </c>
      <c r="F15" s="2949" t="s">
        <v>456</v>
      </c>
      <c r="G15" s="2949"/>
      <c r="H15" s="274"/>
      <c r="I15" s="2950"/>
      <c r="J15" s="2950">
        <f>25+16</f>
        <v>41</v>
      </c>
      <c r="K15" s="2950">
        <f>32+21</f>
        <v>53</v>
      </c>
      <c r="L15" s="2951">
        <f>38+26</f>
        <v>64</v>
      </c>
      <c r="M15" s="2951"/>
      <c r="O15" s="1655"/>
      <c r="P15" s="1655"/>
    </row>
    <row r="16" spans="1:20" s="8" customFormat="1">
      <c r="B16" s="276" t="s">
        <v>1921</v>
      </c>
      <c r="C16" s="277"/>
      <c r="D16" s="276"/>
      <c r="E16" s="243"/>
      <c r="F16" s="2955"/>
      <c r="G16" s="2955" t="s">
        <v>456</v>
      </c>
      <c r="H16" s="278"/>
      <c r="I16" s="2956"/>
      <c r="J16" s="2956"/>
      <c r="K16" s="2956"/>
      <c r="L16" s="2957"/>
      <c r="M16" s="2957"/>
      <c r="O16" s="1655"/>
      <c r="P16" s="1655"/>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149</v>
      </c>
      <c r="K17" s="1410">
        <f>IF(SUM(K10:K16)=0,0,IF(OR($D10="&lt;&lt;Select Fuel &gt;&gt;",$D12="&lt;&lt;Select Fuel &gt;&gt;",$D13="&lt;&lt;Select Fuel &gt;&gt;"),"Select Fuel",IF($E15="&lt;Select&gt;","Submeter?",SUM(K10:K16))))</f>
        <v>192</v>
      </c>
      <c r="L17" s="1410">
        <f>IF(SUM(L10:L16)=0,0,IF(OR($D10="&lt;&lt;Select Fuel &gt;&gt;",$D12="&lt;&lt;Select Fuel &gt;&gt;",$D13="&lt;&lt;Select Fuel &gt;&gt;"),"Select Fuel",IF($E15="&lt;Select&gt;","Submeter?",SUM(L10:L16))))</f>
        <v>234</v>
      </c>
      <c r="M17" s="1410">
        <f>IF(SUM(M10:M16)=0,0,IF(OR($D10="&lt;&lt;Select Fuel &gt;&gt;",$D12="&lt;&lt;Select Fuel &gt;&gt;",$D13="&lt;&lt;Select Fuel &gt;&gt;"),"Select Fuel",IF($E15="&lt;Select&gt;","Submeter?",SUM(M10:M16))))</f>
        <v>0</v>
      </c>
    </row>
    <row r="18" spans="1:19" s="8" customFormat="1">
      <c r="B18" s="484" t="s">
        <v>3729</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2307</v>
      </c>
      <c r="F20" s="8" t="s">
        <v>2606</v>
      </c>
      <c r="I20" s="2944"/>
      <c r="J20" s="2940"/>
      <c r="K20" s="2940"/>
      <c r="L20" s="2940"/>
      <c r="M20" s="2941"/>
    </row>
    <row r="21" spans="1:19" s="8" customFormat="1" ht="13.15" customHeight="1">
      <c r="A21" s="14"/>
      <c r="B21" s="14"/>
      <c r="F21" s="8" t="s">
        <v>660</v>
      </c>
      <c r="H21" s="28"/>
      <c r="I21" s="2942"/>
      <c r="J21" s="2943"/>
      <c r="K21" s="65" t="s">
        <v>559</v>
      </c>
      <c r="L21" s="2944"/>
      <c r="M21" s="2941"/>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10" t="s">
        <v>666</v>
      </c>
      <c r="G24" s="1410" t="s">
        <v>1920</v>
      </c>
      <c r="I24" s="267" t="s">
        <v>587</v>
      </c>
      <c r="J24" s="268">
        <v>1</v>
      </c>
      <c r="K24" s="268">
        <v>2</v>
      </c>
      <c r="L24" s="268">
        <v>3</v>
      </c>
      <c r="M24" s="268">
        <v>4</v>
      </c>
    </row>
    <row r="25" spans="1:19" s="8" customFormat="1">
      <c r="B25" s="269" t="s">
        <v>1922</v>
      </c>
      <c r="C25" s="270"/>
      <c r="D25" s="2945" t="s">
        <v>1888</v>
      </c>
      <c r="E25" s="2946"/>
      <c r="F25" s="2947"/>
      <c r="G25" s="2947"/>
      <c r="H25" s="271"/>
      <c r="I25" s="2948"/>
      <c r="J25" s="2948"/>
      <c r="K25" s="2948"/>
      <c r="L25" s="2948"/>
      <c r="M25" s="2948"/>
      <c r="O25" s="1655" t="s">
        <v>4155</v>
      </c>
      <c r="P25" s="1655"/>
    </row>
    <row r="26" spans="1:19" s="8" customFormat="1">
      <c r="B26" s="272" t="s">
        <v>484</v>
      </c>
      <c r="C26" s="273"/>
      <c r="D26" s="272" t="s">
        <v>1653</v>
      </c>
      <c r="E26" s="273"/>
      <c r="F26" s="2949"/>
      <c r="G26" s="2949"/>
      <c r="H26" s="274"/>
      <c r="I26" s="2950"/>
      <c r="J26" s="2950"/>
      <c r="K26" s="2950"/>
      <c r="L26" s="2951"/>
      <c r="M26" s="2951"/>
      <c r="O26" s="1655"/>
      <c r="P26" s="1655"/>
    </row>
    <row r="27" spans="1:19" s="8" customFormat="1">
      <c r="B27" s="272" t="s">
        <v>1654</v>
      </c>
      <c r="C27" s="273"/>
      <c r="D27" s="2952" t="s">
        <v>1888</v>
      </c>
      <c r="E27" s="2953"/>
      <c r="F27" s="2949"/>
      <c r="G27" s="2949"/>
      <c r="H27" s="274"/>
      <c r="I27" s="2950"/>
      <c r="J27" s="2950"/>
      <c r="K27" s="2950"/>
      <c r="L27" s="2951"/>
      <c r="M27" s="2951"/>
      <c r="O27" s="1655"/>
      <c r="P27" s="1655"/>
    </row>
    <row r="28" spans="1:19" s="8" customFormat="1">
      <c r="B28" s="272" t="s">
        <v>1655</v>
      </c>
      <c r="C28" s="273"/>
      <c r="D28" s="2952" t="s">
        <v>1888</v>
      </c>
      <c r="E28" s="2953"/>
      <c r="F28" s="2949"/>
      <c r="G28" s="2949"/>
      <c r="H28" s="274"/>
      <c r="I28" s="2950"/>
      <c r="J28" s="2950"/>
      <c r="K28" s="2950"/>
      <c r="L28" s="2951"/>
      <c r="M28" s="2951"/>
      <c r="O28" s="1655"/>
      <c r="P28" s="1655"/>
    </row>
    <row r="29" spans="1:19" s="8" customFormat="1">
      <c r="B29" s="272" t="s">
        <v>1656</v>
      </c>
      <c r="C29" s="273"/>
      <c r="D29" s="272" t="s">
        <v>1653</v>
      </c>
      <c r="E29" s="275"/>
      <c r="F29" s="2949"/>
      <c r="G29" s="2949"/>
      <c r="H29" s="274"/>
      <c r="I29" s="2950"/>
      <c r="J29" s="2950"/>
      <c r="K29" s="2950"/>
      <c r="L29" s="2951"/>
      <c r="M29" s="2951"/>
      <c r="O29" s="1655"/>
      <c r="P29" s="1655"/>
    </row>
    <row r="30" spans="1:19" s="8" customFormat="1">
      <c r="B30" s="272" t="s">
        <v>1420</v>
      </c>
      <c r="C30" s="273"/>
      <c r="D30" s="848" t="s">
        <v>3728</v>
      </c>
      <c r="E30" s="2954" t="s">
        <v>207</v>
      </c>
      <c r="F30" s="2949"/>
      <c r="G30" s="2949"/>
      <c r="H30" s="274"/>
      <c r="I30" s="2950"/>
      <c r="J30" s="2950"/>
      <c r="K30" s="2950"/>
      <c r="L30" s="2951"/>
      <c r="M30" s="2951"/>
      <c r="O30" s="1655"/>
      <c r="P30" s="1655"/>
    </row>
    <row r="31" spans="1:19" s="8" customFormat="1">
      <c r="B31" s="276" t="s">
        <v>1921</v>
      </c>
      <c r="C31" s="277"/>
      <c r="D31" s="276"/>
      <c r="E31" s="243"/>
      <c r="F31" s="2955"/>
      <c r="G31" s="2955"/>
      <c r="H31" s="278"/>
      <c r="I31" s="2956"/>
      <c r="J31" s="2956"/>
      <c r="K31" s="2956"/>
      <c r="L31" s="2957"/>
      <c r="M31" s="2957"/>
      <c r="O31" s="1655"/>
      <c r="P31" s="1655"/>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3729</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8" t="s">
        <v>4308</v>
      </c>
      <c r="C38" s="2959"/>
      <c r="D38" s="2959"/>
      <c r="E38" s="2959"/>
      <c r="F38" s="2959"/>
      <c r="G38" s="2959"/>
      <c r="H38" s="2959"/>
      <c r="I38" s="2959"/>
      <c r="J38" s="2959"/>
      <c r="K38" s="2959"/>
      <c r="L38" s="2959"/>
      <c r="M38" s="2960"/>
      <c r="N38" s="28"/>
      <c r="O38" s="1442" t="s">
        <v>2796</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1915</v>
      </c>
      <c r="M40" s="28"/>
      <c r="N40" s="28"/>
      <c r="O40" s="1442"/>
      <c r="P40" s="1442"/>
      <c r="Q40" s="1442"/>
      <c r="R40" s="1442"/>
      <c r="S40" s="1442"/>
    </row>
    <row r="41" spans="1:19" s="8" customFormat="1" ht="24.75" customHeight="1">
      <c r="B41" s="2961"/>
      <c r="C41" s="2962"/>
      <c r="D41" s="2962"/>
      <c r="E41" s="2962"/>
      <c r="F41" s="2962"/>
      <c r="G41" s="2962"/>
      <c r="H41" s="2962"/>
      <c r="I41" s="2962"/>
      <c r="J41" s="2962"/>
      <c r="K41" s="2962"/>
      <c r="L41" s="2962"/>
      <c r="M41" s="2963"/>
      <c r="N41" s="28"/>
      <c r="O41" s="1442"/>
      <c r="P41" s="1442"/>
      <c r="Q41" s="1442"/>
      <c r="R41" s="1442"/>
      <c r="S41" s="1442"/>
    </row>
  </sheetData>
  <sheetProtection algorithmName="SHA-512" hashValue="sXhvl1AgZd5YXa7bmCeE9Ih341c7KcFtrO0Gde2jrVCC5ocdRWR4Z8griPYct30YfrrH74JvDwnjzpRBUd9Q2w==" saltValue="L8qKdZYr2kuZf1Jcui82o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2016-06-09T15:20:10Z</cp:lastPrinted>
  <dcterms:created xsi:type="dcterms:W3CDTF">2005-09-15T20:51:37Z</dcterms:created>
  <dcterms:modified xsi:type="dcterms:W3CDTF">2016-07-28T22:40:12Z</dcterms:modified>
</cp:coreProperties>
</file>