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5455" windowHeight="427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H106" i="7" l="1"/>
  <c r="I46" i="3" l="1"/>
  <c r="I45" i="3"/>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J52" i="61"/>
  <c r="G52" i="61"/>
  <c r="M1679" i="61" l="1"/>
  <c r="A4" i="41"/>
  <c r="P332" i="11"/>
  <c r="O332" i="11"/>
  <c r="U166" i="11"/>
  <c r="T166" i="11"/>
  <c r="U165" i="11"/>
  <c r="T165" i="11"/>
  <c r="U164" i="11"/>
  <c r="T164" i="11"/>
  <c r="U163" i="11"/>
  <c r="T163" i="11"/>
  <c r="U162" i="11"/>
  <c r="T162" i="11"/>
  <c r="M162" i="11" l="1"/>
  <c r="L1820" i="61" l="1"/>
  <c r="J1820" i="61"/>
  <c r="M303" i="11"/>
  <c r="M1820" i="61" s="1"/>
  <c r="J13" i="15" l="1"/>
  <c r="G13" i="15"/>
  <c r="J79" i="15"/>
  <c r="G79" i="15"/>
  <c r="G121" i="15" l="1"/>
  <c r="G120" i="15"/>
  <c r="L26" i="3" l="1"/>
  <c r="L25" i="3"/>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IL766" i="61" l="1"/>
  <c r="FZ760" i="61"/>
  <c r="CU753" i="61"/>
  <c r="BW782" i="61"/>
  <c r="CE774" i="61"/>
  <c r="EY754"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C977" i="61"/>
  <c r="D977" i="61"/>
  <c r="V64" i="15"/>
  <c r="F476" i="61" l="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77"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L1835" i="61" l="1"/>
  <c r="P69" i="61"/>
  <c r="L318" i="11"/>
  <c r="J1743" i="61"/>
  <c r="N69" i="61"/>
  <c r="J226" i="11"/>
  <c r="G977" i="61"/>
  <c r="Q758" i="61"/>
  <c r="Q754" i="61"/>
  <c r="H977"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4" i="61"/>
  <c r="P227" i="1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977" i="6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P378" i="11" s="1"/>
  <c r="J165" i="11" s="1"/>
  <c r="J1682" i="61" s="1"/>
  <c r="H388" i="11"/>
  <c r="O378" i="11" s="1"/>
  <c r="P1895" i="61" l="1"/>
  <c r="O1895" i="61"/>
  <c r="I165" i="11"/>
  <c r="G984" i="61"/>
  <c r="L356" i="11"/>
  <c r="L355" i="11"/>
  <c r="I1682" i="61" l="1"/>
  <c r="O165" i="11"/>
  <c r="O1682" i="61" s="1"/>
  <c r="E1007" i="61"/>
  <c r="H984" i="61"/>
  <c r="L341" i="11"/>
  <c r="R1682" i="61" l="1"/>
  <c r="F1007" i="61"/>
  <c r="G1007" i="61"/>
  <c r="I984" i="61"/>
  <c r="P1819" i="61"/>
  <c r="J984" i="61" l="1"/>
  <c r="H1007" i="61"/>
  <c r="D245" i="11"/>
  <c r="L245" i="11"/>
  <c r="K984" i="61" l="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C1037" i="61" l="1"/>
  <c r="E1014" i="61"/>
  <c r="L253" i="11"/>
  <c r="L251" i="11"/>
  <c r="F1014" i="61" l="1"/>
  <c r="D1037" i="61"/>
  <c r="L347" i="11"/>
  <c r="G1014" i="61" l="1"/>
  <c r="F230" i="11"/>
  <c r="F229" i="11"/>
  <c r="F226" i="11"/>
  <c r="G230" i="11"/>
  <c r="G229" i="11"/>
  <c r="G226" i="11"/>
  <c r="G225" i="11"/>
  <c r="C230" i="11"/>
  <c r="C229" i="11"/>
  <c r="C226" i="11"/>
  <c r="C225" i="11"/>
  <c r="E1037" i="61" l="1"/>
  <c r="F1037" i="61"/>
  <c r="H1014" i="61"/>
  <c r="J174" i="11"/>
  <c r="G1037" i="61" l="1"/>
  <c r="I1014" i="61"/>
  <c r="H1037" i="61" l="1"/>
  <c r="J1014" i="61"/>
  <c r="K1014" i="61" l="1"/>
  <c r="I1037" i="61"/>
  <c r="B1044" i="61" l="1"/>
  <c r="O164" i="15"/>
  <c r="A2" i="41"/>
  <c r="M387" i="11"/>
  <c r="J1037" i="61" l="1"/>
  <c r="K1037" i="61"/>
  <c r="C1044" i="61"/>
  <c r="V145" i="15"/>
  <c r="V129" i="15"/>
  <c r="V125" i="15"/>
  <c r="V117" i="15"/>
  <c r="V111" i="15"/>
  <c r="V105" i="15"/>
  <c r="V91" i="15"/>
  <c r="V83" i="15"/>
  <c r="V77" i="15"/>
  <c r="V38" i="15"/>
  <c r="V33" i="15"/>
  <c r="V27" i="15"/>
  <c r="V23" i="15"/>
  <c r="V17" i="15"/>
  <c r="B1067" i="61" l="1"/>
  <c r="D1044" i="61"/>
  <c r="V131" i="15"/>
  <c r="E1044" i="61" l="1"/>
  <c r="C1067" i="61"/>
  <c r="H4" i="51"/>
  <c r="E5" i="51"/>
  <c r="E4" i="51"/>
  <c r="F1044" i="61" l="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P1560" i="61"/>
  <c r="J162" i="11"/>
  <c r="J1679" i="61" s="1"/>
  <c r="I163" i="11"/>
  <c r="O163" i="11" s="1"/>
  <c r="O1680" i="61" s="1"/>
  <c r="O1560" i="61"/>
  <c r="I162" i="11"/>
  <c r="I1679" i="61" l="1"/>
  <c r="O162" i="11"/>
  <c r="I1680" i="61"/>
  <c r="R1680" i="61" s="1"/>
  <c r="O1679" i="61" l="1"/>
  <c r="R1679" i="61" s="1"/>
  <c r="R162" i="1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59"/>
  <c r="U1" i="59" s="1"/>
  <c r="A1" i="15"/>
  <c r="A1" i="18"/>
  <c r="A1" i="8"/>
  <c r="A1" i="29"/>
  <c r="A1" i="3"/>
  <c r="A1" i="7"/>
  <c r="A1965" i="61"/>
  <c r="A364" i="61"/>
  <c r="J54" i="61"/>
  <c r="M1907" i="61"/>
  <c r="M1905" i="61"/>
  <c r="G1762" i="61"/>
  <c r="I69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M1908" i="61"/>
  <c r="L1739" i="61"/>
  <c r="O1792" i="61"/>
  <c r="R1792" i="61" s="1"/>
  <c r="I164" i="11"/>
  <c r="L222" i="11"/>
  <c r="H15" i="50"/>
  <c r="F18" i="49" s="1"/>
  <c r="I1681" i="61" l="1"/>
  <c r="O164" i="11"/>
  <c r="O1681" i="61" s="1"/>
  <c r="N42" i="3"/>
  <c r="N405" i="61" s="1"/>
  <c r="N40" i="3"/>
  <c r="N403" i="61" s="1"/>
  <c r="N39" i="3"/>
  <c r="N402" i="61" s="1"/>
  <c r="N401" i="61"/>
  <c r="N37" i="3"/>
  <c r="U62" i="15"/>
  <c r="A62" i="15"/>
  <c r="W40" i="15"/>
  <c r="O40" i="15"/>
  <c r="E37" i="15"/>
  <c r="E36" i="15"/>
  <c r="S38" i="15"/>
  <c r="P38" i="15"/>
  <c r="M38" i="15"/>
  <c r="J38" i="15"/>
  <c r="G38" i="15"/>
  <c r="S33" i="15"/>
  <c r="P33" i="15"/>
  <c r="M33" i="15"/>
  <c r="J33" i="15"/>
  <c r="G33" i="15"/>
  <c r="R164" i="11" l="1"/>
  <c r="R1681" i="61"/>
  <c r="D113" i="8"/>
  <c r="J83" i="8"/>
  <c r="F83" i="8"/>
  <c r="B83" i="8"/>
  <c r="H53" i="8"/>
  <c r="C113" i="8"/>
  <c r="I83" i="8"/>
  <c r="E83" i="8"/>
  <c r="K53" i="8"/>
  <c r="G53" i="8"/>
  <c r="F113" i="8"/>
  <c r="B113" i="8"/>
  <c r="H83" i="8"/>
  <c r="D83" i="8"/>
  <c r="J53" i="8"/>
  <c r="F53" i="8"/>
  <c r="E113" i="8"/>
  <c r="K83" i="8"/>
  <c r="G83" i="8"/>
  <c r="C83" i="8"/>
  <c r="I53" i="8"/>
  <c r="B23" i="8"/>
  <c r="N400" i="61"/>
  <c r="F115" i="8"/>
  <c r="F123" i="8" s="1"/>
  <c r="B115" i="8"/>
  <c r="B123" i="8" s="1"/>
  <c r="E115" i="8"/>
  <c r="E123" i="8" s="1"/>
  <c r="C115" i="8"/>
  <c r="C123" i="8" s="1"/>
  <c r="D115" i="8"/>
  <c r="D123" i="8" s="1"/>
  <c r="D116" i="8"/>
  <c r="C116" i="8"/>
  <c r="F116" i="8"/>
  <c r="B116" i="8"/>
  <c r="E116" i="8"/>
  <c r="F119" i="8"/>
  <c r="B119" i="8"/>
  <c r="C119" i="8"/>
  <c r="E119" i="8"/>
  <c r="D119" i="8"/>
  <c r="D114" i="8"/>
  <c r="D122" i="8" s="1"/>
  <c r="C114" i="8"/>
  <c r="C122" i="8" s="1"/>
  <c r="F114" i="8"/>
  <c r="F122" i="8" s="1"/>
  <c r="B114" i="8"/>
  <c r="B122" i="8" s="1"/>
  <c r="E114" i="8"/>
  <c r="E122" i="8" s="1"/>
  <c r="B25" i="8"/>
  <c r="B33" i="8" s="1"/>
  <c r="B24" i="8"/>
  <c r="B32" i="8" s="1"/>
  <c r="B29" i="8"/>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D125" i="8"/>
  <c r="D121" i="8"/>
  <c r="E125" i="8"/>
  <c r="E121" i="8"/>
  <c r="B125" i="8"/>
  <c r="B121" i="8"/>
  <c r="C125" i="8"/>
  <c r="C121" i="8"/>
  <c r="F125" i="8"/>
  <c r="F121" i="8"/>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B101" i="8"/>
  <c r="B1042" i="61" s="1"/>
  <c r="C41" i="8"/>
  <c r="C982" i="61" s="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l="1"/>
  <c r="F116" i="15"/>
  <c r="F115" i="15"/>
  <c r="F113"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14" i="51" l="1"/>
  <c r="D34" i="51"/>
  <c r="E34" i="51"/>
  <c r="F14" i="51"/>
  <c r="I14" i="51"/>
  <c r="E1868" i="61"/>
  <c r="D476" i="61"/>
  <c r="D47" i="15"/>
  <c r="D133" i="15"/>
  <c r="I1868" i="61"/>
  <c r="L1868" i="61" s="1"/>
  <c r="I1788" i="61"/>
  <c r="P1135" i="61"/>
  <c r="I418" i="61"/>
  <c r="P1134" i="61"/>
  <c r="O55" i="61"/>
  <c r="M1906" i="61"/>
  <c r="M749"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4" i="59" l="1"/>
  <c r="R757" i="61" s="1"/>
  <c r="R11" i="59"/>
  <c r="R754" i="61" s="1"/>
  <c r="R13" i="59"/>
  <c r="R756" i="61" s="1"/>
  <c r="R10" i="59"/>
  <c r="R753" i="61" s="1"/>
  <c r="R15" i="59"/>
  <c r="R758" i="61" s="1"/>
  <c r="R12" i="59"/>
  <c r="R755" i="61" s="1"/>
  <c r="P410" i="61"/>
  <c r="P409"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P411" i="61" l="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170" i="59" l="1"/>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P919" i="61" l="1"/>
  <c r="N915" i="61"/>
  <c r="N914" i="61"/>
  <c r="N171" i="59"/>
  <c r="P176" i="59"/>
  <c r="N172" i="59"/>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F549" i="61" l="1"/>
  <c r="B19" i="8"/>
  <c r="N177" i="59"/>
  <c r="F120" i="15"/>
  <c r="P190" i="59"/>
  <c r="F550" i="61"/>
  <c r="F121" i="15"/>
  <c r="P933" i="61"/>
  <c r="N920"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36" i="8" l="1"/>
  <c r="F109" i="8"/>
  <c r="I49" i="8"/>
  <c r="G19" i="8"/>
  <c r="J19" i="8"/>
  <c r="B79" i="8"/>
  <c r="D19" i="8"/>
  <c r="C19" i="8"/>
  <c r="I79" i="8"/>
  <c r="H19" i="8"/>
  <c r="F19" i="8"/>
  <c r="G79" i="8"/>
  <c r="I19" i="8"/>
  <c r="E109" i="8"/>
  <c r="B109" i="8"/>
  <c r="K49" i="8"/>
  <c r="C109" i="8"/>
  <c r="J49" i="8"/>
  <c r="H79" i="8"/>
  <c r="E19" i="8"/>
  <c r="K19" i="8"/>
  <c r="G49" i="8"/>
  <c r="H49" i="8"/>
  <c r="E79" i="8"/>
  <c r="F79" i="8"/>
  <c r="D109" i="8"/>
  <c r="C79" i="8"/>
  <c r="J79" i="8"/>
  <c r="D49" i="8"/>
  <c r="E49" i="8"/>
  <c r="C49" i="8"/>
  <c r="D79" i="8"/>
  <c r="F49" i="8"/>
  <c r="B49" i="8"/>
  <c r="K79" i="8"/>
  <c r="B977"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F111" i="8"/>
  <c r="I81" i="8"/>
  <c r="I82" i="8" s="1"/>
  <c r="H21" i="8"/>
  <c r="C111" i="8"/>
  <c r="C112" i="8" s="1"/>
  <c r="I21" i="8"/>
  <c r="C21" i="8"/>
  <c r="K51" i="8"/>
  <c r="H81" i="8"/>
  <c r="B51" i="8"/>
  <c r="D111" i="8"/>
  <c r="D21" i="8"/>
  <c r="D81" i="8"/>
  <c r="C81" i="8"/>
  <c r="D51" i="8"/>
  <c r="J51" i="8"/>
  <c r="G51" i="8"/>
  <c r="F81" i="8"/>
  <c r="C13" i="51"/>
  <c r="I51" i="8"/>
  <c r="H51" i="8"/>
  <c r="J21" i="8"/>
  <c r="F21" i="8"/>
  <c r="G81" i="8"/>
  <c r="G82" i="8" s="1"/>
  <c r="K21" i="8"/>
  <c r="E81" i="8"/>
  <c r="B111" i="8"/>
  <c r="B112" i="8" s="1"/>
  <c r="E111" i="8"/>
  <c r="E112" i="8" s="1"/>
  <c r="C51" i="8"/>
  <c r="G33" i="51" s="1"/>
  <c r="E76" i="50"/>
  <c r="E73" i="50" s="1"/>
  <c r="I76" i="50"/>
  <c r="I73" i="50" s="1"/>
  <c r="K76" i="50"/>
  <c r="K73" i="50" s="1"/>
  <c r="G76" i="50"/>
  <c r="G73" i="50" s="1"/>
  <c r="J28" i="8"/>
  <c r="K96" i="8" l="1"/>
  <c r="B972" i="61"/>
  <c r="B976" i="61"/>
  <c r="D112" i="8"/>
  <c r="B82" i="8"/>
  <c r="D82" i="8"/>
  <c r="J82" i="8"/>
  <c r="C66" i="8"/>
  <c r="C96" i="8"/>
  <c r="H66" i="8"/>
  <c r="H96" i="8"/>
  <c r="D36" i="8"/>
  <c r="I66" i="8"/>
  <c r="F82" i="8"/>
  <c r="H82" i="8"/>
  <c r="D96" i="8"/>
  <c r="J96" i="8"/>
  <c r="E96" i="8"/>
  <c r="E36" i="8"/>
  <c r="K66" i="8"/>
  <c r="G96" i="8"/>
  <c r="C36" i="8"/>
  <c r="G36" i="8"/>
  <c r="B126" i="8"/>
  <c r="C82" i="8"/>
  <c r="B66" i="8"/>
  <c r="E54" i="51"/>
  <c r="C54" i="51"/>
  <c r="F54" i="51"/>
  <c r="D54" i="51"/>
  <c r="G54" i="51"/>
  <c r="H54" i="51"/>
  <c r="E66" i="8"/>
  <c r="D126" i="8"/>
  <c r="G66" i="8"/>
  <c r="J66" i="8"/>
  <c r="E126" i="8"/>
  <c r="H36" i="8"/>
  <c r="B96" i="8"/>
  <c r="F126" i="8"/>
  <c r="F36" i="8"/>
  <c r="F66" i="8"/>
  <c r="D66" i="8"/>
  <c r="F96" i="8"/>
  <c r="K36" i="8"/>
  <c r="C126" i="8"/>
  <c r="I36" i="8"/>
  <c r="I96" i="8"/>
  <c r="J36"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J174" i="15" l="1"/>
  <c r="M172" i="15"/>
  <c r="J603" i="61"/>
  <c r="E528" i="61" s="1"/>
  <c r="M601" i="61"/>
  <c r="B1010" i="61"/>
  <c r="C69" i="8"/>
  <c r="D1009" i="61"/>
  <c r="E68" i="8"/>
  <c r="H31" i="51"/>
  <c r="P1523" i="61"/>
  <c r="L343" i="11"/>
  <c r="L1860" i="61" s="1"/>
  <c r="O1646" i="61"/>
  <c r="B58" i="8"/>
  <c r="L409" i="61" l="1"/>
  <c r="N409" i="61" s="1"/>
  <c r="L408" i="61"/>
  <c r="N408" i="61" s="1"/>
  <c r="L46" i="3"/>
  <c r="N46" i="3" s="1"/>
  <c r="E99" i="15"/>
  <c r="M61" i="49"/>
  <c r="P61" i="49" s="1"/>
  <c r="C21" i="51"/>
  <c r="L45" i="3"/>
  <c r="N45" i="3" s="1"/>
  <c r="J7" i="7"/>
  <c r="C1010" i="61"/>
  <c r="D69" i="8"/>
  <c r="E1009" i="61"/>
  <c r="F68" i="8"/>
  <c r="I31" i="51"/>
  <c r="C58" i="8"/>
  <c r="C41" i="51" l="1"/>
  <c r="D41" i="51" s="1"/>
  <c r="E41" i="51" s="1"/>
  <c r="C22" i="51"/>
  <c r="C42" i="51" s="1"/>
  <c r="D42" i="51" s="1"/>
  <c r="E42" i="51" s="1"/>
  <c r="D21" i="51"/>
  <c r="D1010" i="61"/>
  <c r="E69" i="8"/>
  <c r="F1009" i="61"/>
  <c r="G68" i="8"/>
  <c r="C51" i="51"/>
  <c r="D58" i="8"/>
  <c r="E21" i="51" l="1"/>
  <c r="D22" i="51"/>
  <c r="E1010" i="61"/>
  <c r="F69" i="8"/>
  <c r="G1009" i="61"/>
  <c r="H68" i="8"/>
  <c r="D51" i="51"/>
  <c r="E58" i="8"/>
  <c r="F21" i="51" l="1"/>
  <c r="E22" i="51"/>
  <c r="G69" i="8"/>
  <c r="F1010" i="61"/>
  <c r="H1009" i="61"/>
  <c r="I68" i="8"/>
  <c r="E51" i="51"/>
  <c r="F58" i="8"/>
  <c r="G21" i="51" l="1"/>
  <c r="F22" i="51"/>
  <c r="H69" i="8"/>
  <c r="G1010" i="61"/>
  <c r="I1009" i="61"/>
  <c r="J68" i="8"/>
  <c r="F51" i="51"/>
  <c r="G58" i="8"/>
  <c r="H21" i="51" l="1"/>
  <c r="G22" i="51"/>
  <c r="I69" i="8"/>
  <c r="H1010" i="61"/>
  <c r="J1009" i="61"/>
  <c r="K68" i="8"/>
  <c r="G51" i="51"/>
  <c r="H58" i="8"/>
  <c r="H22" i="51" l="1"/>
  <c r="I21" i="51"/>
  <c r="I22" i="51" s="1"/>
  <c r="I1010" i="61"/>
  <c r="J69" i="8"/>
  <c r="K1009" i="61"/>
  <c r="B98" i="8"/>
  <c r="H51" i="51"/>
  <c r="I58" i="8"/>
  <c r="J1010" i="61" l="1"/>
  <c r="K69" i="8"/>
  <c r="B1039" i="61"/>
  <c r="C98" i="8"/>
  <c r="J58" i="8"/>
  <c r="K1010" i="61" l="1"/>
  <c r="B99" i="8"/>
  <c r="C1039" i="61"/>
  <c r="D98" i="8"/>
  <c r="K58" i="8"/>
  <c r="B1040" i="61" l="1"/>
  <c r="C99" i="8"/>
  <c r="D1039" i="61"/>
  <c r="E98" i="8"/>
  <c r="B88" i="8"/>
  <c r="C1040" i="61" l="1"/>
  <c r="D99" i="8"/>
  <c r="E1039" i="61"/>
  <c r="F98" i="8"/>
  <c r="C88" i="8"/>
  <c r="D1040" i="61" l="1"/>
  <c r="E99" i="8"/>
  <c r="F1039" i="61"/>
  <c r="G98" i="8"/>
  <c r="D88" i="8"/>
  <c r="E1040" i="61" l="1"/>
  <c r="F99" i="8"/>
  <c r="G1039" i="61"/>
  <c r="H98" i="8"/>
  <c r="E88" i="8"/>
  <c r="F1040" i="61" l="1"/>
  <c r="G99" i="8"/>
  <c r="H1039" i="61"/>
  <c r="I98" i="8"/>
  <c r="F88" i="8"/>
  <c r="G1040" i="61" l="1"/>
  <c r="H99" i="8"/>
  <c r="I1039" i="61"/>
  <c r="J98" i="8"/>
  <c r="G88" i="8"/>
  <c r="H1040" i="61" l="1"/>
  <c r="I99" i="8"/>
  <c r="J1039" i="61"/>
  <c r="K98" i="8"/>
  <c r="H88" i="8"/>
  <c r="I1040" i="61" l="1"/>
  <c r="J99" i="8"/>
  <c r="K1039" i="61"/>
  <c r="B128" i="8"/>
  <c r="I88" i="8"/>
  <c r="J1040" i="61" l="1"/>
  <c r="K99" i="8"/>
  <c r="B1069" i="61"/>
  <c r="C128" i="8"/>
  <c r="J88" i="8"/>
  <c r="B129" i="8" l="1"/>
  <c r="K1040" i="61"/>
  <c r="C1069" i="61"/>
  <c r="D128" i="8"/>
  <c r="K88" i="8"/>
  <c r="B1070" i="61" l="1"/>
  <c r="C129" i="8"/>
  <c r="D1069" i="61"/>
  <c r="E128" i="8"/>
  <c r="B118" i="8"/>
  <c r="B30" i="8"/>
  <c r="C23" i="8"/>
  <c r="D23" i="8"/>
  <c r="E23" i="8"/>
  <c r="F23" i="8"/>
  <c r="G23" i="8"/>
  <c r="H23" i="8"/>
  <c r="I23" i="8"/>
  <c r="J23" i="8"/>
  <c r="K23" i="8"/>
  <c r="D30" i="8"/>
  <c r="B53" i="8"/>
  <c r="C53" i="8"/>
  <c r="D53" i="8"/>
  <c r="D60" i="8" s="1"/>
  <c r="E53" i="8"/>
  <c r="E60" i="8" s="1"/>
  <c r="D90" i="8"/>
  <c r="E90" i="8"/>
  <c r="B120" i="8" l="1"/>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E1070" i="61"/>
  <c r="F129" i="8"/>
  <c r="F1070" i="61" s="1"/>
  <c r="E118" i="8"/>
  <c r="D17" i="51"/>
  <c r="D18" i="51" s="1"/>
  <c r="D20" i="51" s="1"/>
  <c r="D24" i="51" s="1"/>
  <c r="K7" i="51" s="1"/>
  <c r="E10" i="51"/>
  <c r="E37" i="8"/>
  <c r="E978" i="61" s="1"/>
  <c r="E120" i="8" l="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<sst xmlns="http://schemas.openxmlformats.org/spreadsheetml/2006/main" count="12537" uniqueCount="4489">
  <si>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</si>
  <si>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</si>
  <si>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</si>
  <si>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</si>
  <si>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</si>
  <si>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</si>
  <si>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</si>
  <si>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</si>
  <si>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</si>
  <si>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</si>
  <si>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</si>
  <si>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</si>
  <si>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</si>
  <si>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</si>
  <si>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</si>
  <si>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</si>
  <si>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</si>
  <si>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</si>
  <si>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</si>
  <si>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</si>
  <si>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</si>
  <si>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</si>
  <si>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</si>
  <si>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</si>
  <si>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</si>
  <si>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</si>
  <si>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</si>
  <si>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</si>
  <si>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</si>
  <si>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</si>
  <si>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</si>
  <si>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</si>
  <si>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</si>
  <si>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</si>
  <si>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</si>
  <si>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</si>
  <si>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</si>
  <si>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</si>
  <si>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</si>
  <si>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</si>
  <si>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</si>
  <si>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</si>
  <si>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</si>
  <si>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</si>
  <si>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</si>
  <si>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</si>
  <si>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</si>
  <si>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</si>
  <si>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</si>
  <si>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</si>
  <si>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</si>
  <si>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</si>
  <si>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</si>
  <si>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</si>
  <si>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</si>
  <si>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</si>
  <si>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</si>
  <si>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</si>
  <si>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</si>
  <si>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</si>
  <si>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</si>
  <si>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</si>
  <si>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</si>
  <si>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</si>
  <si>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</si>
  <si>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</si>
  <si>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</si>
  <si>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</si>
  <si>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</si>
  <si>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</si>
  <si>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</si>
  <si>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</si>
  <si>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</si>
  <si>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</si>
  <si>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</si>
  <si>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</si>
  <si>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</si>
  <si>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</si>
  <si>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</si>
  <si>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</si>
  <si>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</si>
  <si>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</si>
  <si>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</si>
  <si>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</si>
  <si>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</si>
  <si>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</si>
  <si>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</si>
  <si>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</si>
  <si>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</si>
  <si>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</si>
  <si>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</si>
  <si>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</si>
  <si>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</si>
  <si>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</si>
  <si>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</si>
  <si>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</si>
  <si>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</si>
  <si>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</si>
  <si>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</si>
  <si>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</si>
  <si>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</si>
  <si>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</si>
  <si>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</si>
  <si>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</si>
  <si>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</si>
  <si>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</si>
  <si>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</si>
  <si>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</si>
  <si>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</si>
  <si>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</si>
  <si>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</si>
  <si>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</si>
  <si>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</si>
  <si>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</si>
  <si>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</si>
  <si>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</si>
  <si>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</si>
  <si>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</si>
  <si>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</si>
  <si>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</si>
  <si>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</si>
  <si>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</si>
  <si>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</si>
  <si>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</si>
  <si>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</si>
  <si>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</si>
  <si>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</si>
  <si>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</si>
  <si>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</si>
  <si>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</si>
  <si>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</si>
  <si>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</si>
  <si>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</si>
  <si>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</si>
  <si>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</si>
  <si>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</si>
  <si>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</si>
  <si>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</si>
  <si>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</si>
  <si>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</si>
  <si>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</si>
  <si>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</si>
  <si>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</si>
  <si>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</si>
  <si>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</si>
  <si>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</si>
  <si>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</si>
  <si>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</si>
  <si>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</si>
  <si>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</si>
  <si>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</si>
  <si>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</si>
  <si>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</si>
  <si>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</si>
  <si>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</si>
  <si>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</si>
  <si>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</si>
  <si>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</si>
  <si>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</si>
  <si>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</si>
  <si>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</si>
  <si>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</si>
  <si>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</si>
  <si>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</si>
  <si>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</si>
  <si>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</si>
  <si>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</si>
  <si>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</si>
  <si>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</si>
  <si>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</si>
  <si>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</si>
  <si>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</si>
  <si>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</si>
  <si>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</si>
  <si>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</si>
  <si>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</si>
  <si>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</si>
  <si>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</si>
  <si>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</si>
  <si>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</si>
  <si>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</si>
  <si>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</si>
  <si>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</si>
  <si>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</si>
  <si>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</si>
  <si>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</si>
  <si>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</si>
  <si>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</si>
  <si>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</si>
  <si>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</si>
  <si>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</si>
  <si>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</si>
  <si>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</si>
  <si>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</si>
  <si>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</si>
  <si>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</si>
  <si>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</si>
  <si>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</si>
  <si>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</si>
  <si>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</si>
  <si>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</si>
  <si>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</si>
  <si>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</si>
  <si>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</si>
  <si>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</si>
  <si>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</si>
  <si>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</si>
  <si>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</si>
  <si>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</si>
  <si>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</si>
  <si>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</si>
  <si>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</si>
  <si>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</si>
  <si>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</si>
  <si>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</si>
  <si>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</si>
  <si>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</si>
  <si>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</si>
  <si>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</si>
  <si>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</si>
  <si>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</si>
  <si>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</si>
  <si>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</si>
  <si>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</si>
  <si>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</si>
  <si>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</si>
  <si>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</si>
  <si>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</si>
  <si>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</si>
  <si>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</si>
  <si>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</si>
  <si>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</si>
  <si>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</si>
  <si>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</si>
  <si>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</si>
  <si>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</si>
  <si>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</si>
  <si>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</si>
  <si>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</si>
  <si>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</si>
  <si>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</si>
  <si>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</si>
  <si>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</si>
  <si>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</si>
  <si>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</si>
  <si>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</si>
  <si>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</si>
  <si>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</si>
  <si>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</si>
  <si>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</si>
  <si>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</si>
  <si>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</si>
  <si>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</si>
  <si>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</si>
  <si>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</si>
  <si>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</si>
  <si>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</si>
  <si>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</si>
  <si>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</si>
  <si>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</si>
  <si>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</si>
  <si>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</si>
  <si>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</si>
  <si>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</si>
  <si>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</si>
  <si>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</si>
  <si>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</si>
  <si>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</si>
  <si>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</si>
  <si>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</si>
  <si>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</si>
  <si>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</si>
  <si>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</si>
  <si>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</si>
  <si>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</si>
  <si>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</si>
  <si>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</si>
  <si>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</si>
  <si>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</si>
  <si>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</si>
  <si>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</si>
  <si>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</si>
  <si>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</si>
  <si>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</si>
  <si>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</si>
  <si>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</si>
  <si>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</si>
  <si>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</si>
  <si>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</si>
  <si>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</si>
  <si>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</si>
  <si>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</si>
  <si>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</si>
  <si>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</si>
  <si>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</si>
  <si>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</si>
  <si>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</si>
  <si>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</si>
  <si>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</si>
  <si>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</si>
  <si>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</si>
  <si>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</si>
  <si>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</si>
  <si>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</si>
  <si>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</si>
  <si>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</si>
  <si>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</si>
  <si>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</si>
  <si>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</si>
  <si>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</si>
  <si>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</si>
  <si>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</si>
  <si>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</si>
  <si>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</si>
  <si>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</si>
  <si>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</si>
  <si>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</si>
  <si>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</si>
  <si>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</si>
  <si>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</si>
  <si>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</si>
  <si>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</si>
  <si>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</si>
  <si>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</si>
  <si>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</si>
  <si>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</si>
  <si>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</si>
  <si>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</si>
  <si>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</si>
  <si>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</si>
  <si>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</si>
  <si>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</si>
  <si>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</si>
  <si>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</si>
  <si>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</si>
  <si>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</si>
  <si>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</si>
  <si>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</si>
  <si>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</si>
  <si>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</si>
  <si>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</si>
  <si>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</si>
  <si>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</si>
  <si>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</si>
  <si>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</si>
  <si>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</si>
  <si>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</si>
  <si>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</si>
  <si>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</si>
  <si>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</si>
  <si>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</si>
  <si>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</si>
  <si>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</si>
  <si>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</si>
  <si>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</si>
  <si>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</si>
  <si>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</si>
  <si>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</si>
  <si>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</si>
  <si>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</si>
  <si>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</si>
  <si>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</si>
  <si>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</si>
  <si>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</si>
  <si>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</si>
  <si>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</si>
  <si>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</si>
  <si>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</si>
  <si>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</si>
  <si>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</si>
  <si>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</si>
  <si>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</si>
  <si>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</si>
  <si>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</si>
  <si>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</si>
  <si>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</si>
  <si>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</si>
  <si>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</si>
  <si>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</si>
  <si>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</si>
  <si>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</si>
  <si>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</si>
  <si>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</si>
  <si>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</si>
  <si>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</si>
  <si>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</si>
  <si>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</si>
  <si>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</si>
  <si>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</si>
  <si>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</si>
  <si>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</si>
  <si>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</si>
  <si>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</si>
  <si>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</si>
  <si>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</si>
  <si>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</si>
  <si>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</si>
  <si>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</si>
  <si>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</si>
  <si>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</si>
  <si>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</si>
  <si>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</si>
  <si>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</si>
  <si>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</si>
  <si>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</si>
  <si>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</si>
  <si>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</si>
  <si>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</si>
  <si>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</si>
  <si>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</si>
  <si>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</si>
  <si>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</si>
  <si>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</si>
  <si>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</si>
  <si>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</si>
  <si>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</si>
  <si>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</si>
  <si>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</si>
  <si>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</si>
  <si>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</si>
  <si>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</si>
  <si>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</si>
  <si>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</si>
  <si>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</si>
  <si>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</si>
  <si>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</si>
  <si>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</si>
  <si>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</si>
  <si>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</si>
  <si>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</si>
  <si>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</si>
  <si>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</si>
  <si>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</si>
  <si>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</si>
  <si>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</si>
  <si>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</si>
  <si>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</si>
  <si>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</si>
  <si>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</si>
  <si>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</si>
  <si>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</si>
  <si>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</si>
  <si>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</si>
  <si>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</si>
  <si>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</si>
  <si>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</si>
  <si>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</si>
  <si>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</si>
  <si>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</si>
  <si>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</si>
  <si>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</si>
  <si>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</si>
  <si>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</si>
  <si>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</si>
  <si>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</si>
  <si>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</si>
  <si>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</si>
  <si>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</si>
  <si>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</si>
  <si>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</si>
  <si>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</si>
  <si>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</si>
  <si>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</si>
  <si>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</si>
  <si>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</si>
  <si>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</si>
  <si>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</si>
  <si>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</si>
  <si>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</si>
  <si>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</si>
  <si>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</si>
  <si>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</si>
  <si>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</si>
  <si>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</si>
  <si>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</si>
  <si>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</si>
  <si>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</si>
  <si>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</si>
  <si>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</si>
  <si>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</si>
  <si>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</si>
  <si>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</si>
  <si>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</si>
  <si>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</si>
  <si>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</si>
  <si>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</si>
  <si>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</si>
  <si>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</si>
  <si>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</si>
  <si>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</si>
  <si>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</si>
  <si>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</si>
  <si>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</si>
  <si>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</si>
  <si>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</si>
  <si>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</si>
  <si>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</si>
  <si>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</si>
  <si>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</si>
  <si>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</si>
  <si>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</si>
  <si>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</si>
  <si>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</si>
  <si>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</si>
  <si>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</si>
  <si>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</si>
  <si>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</si>
  <si>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</si>
  <si>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</si>
  <si>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</si>
  <si>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</si>
  <si>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</si>
  <si>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</si>
  <si>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</si>
  <si>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</si>
  <si>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</si>
  <si>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</si>
  <si>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</si>
  <si>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</si>
  <si>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</si>
  <si>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</si>
  <si>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</si>
  <si>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</si>
  <si>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</si>
  <si>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</si>
  <si>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</si>
  <si>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</si>
  <si>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</si>
  <si>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</si>
  <si>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</si>
  <si>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</si>
  <si>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</si>
  <si>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</si>
  <si>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</si>
  <si>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</si>
  <si>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</si>
  <si>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</si>
  <si>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</si>
  <si>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</si>
  <si>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</si>
  <si>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</si>
  <si>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</si>
  <si>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</si>
  <si>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</si>
  <si>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</si>
  <si>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</si>
  <si>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</si>
  <si>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</si>
  <si>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</si>
  <si>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</si>
  <si>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</si>
  <si>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</si>
  <si>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</si>
  <si>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</si>
  <si>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</si>
  <si>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</si>
  <si>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</si>
  <si>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</si>
  <si>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</si>
  <si>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</si>
  <si>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</si>
  <si>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</si>
  <si>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</si>
  <si>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</si>
  <si>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</si>
  <si>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</si>
  <si>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</si>
  <si>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</si>
  <si>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</si>
  <si>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</si>
  <si>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</si>
  <si>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</si>
  <si>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</si>
  <si>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</si>
  <si>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</si>
  <si>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</si>
  <si>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</si>
  <si>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</si>
  <si>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</si>
  <si>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</si>
  <si>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</si>
  <si>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</si>
  <si>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</si>
  <si>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</si>
  <si>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</si>
  <si>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</si>
  <si>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</si>
  <si>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</si>
  <si>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</si>
  <si>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</si>
  <si>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</si>
  <si>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</si>
  <si>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</si>
  <si>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</si>
  <si>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</si>
  <si>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</si>
  <si>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</si>
  <si>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</si>
  <si>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</si>
  <si>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</si>
  <si>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</si>
  <si>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</si>
  <si>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</si>
  <si>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</si>
  <si>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</si>
  <si>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</si>
  <si>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</si>
  <si>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</si>
  <si>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</si>
  <si>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</si>
  <si>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</si>
  <si>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</si>
  <si>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</si>
  <si>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</si>
  <si>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</si>
  <si>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</si>
  <si>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</si>
  <si>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</si>
  <si>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</si>
  <si>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</si>
  <si>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</si>
  <si>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</si>
  <si>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</si>
  <si>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</si>
  <si>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</si>
  <si>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</si>
  <si>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</si>
  <si>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</si>
  <si>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</si>
  <si>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</si>
  <si>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</si>
  <si>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</si>
  <si>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</si>
  <si>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</si>
  <si>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</si>
  <si>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</si>
  <si>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</si>
  <si>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</si>
  <si>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</si>
  <si>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</si>
  <si>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</si>
  <si>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</si>
  <si>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</si>
  <si>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</si>
  <si>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</si>
  <si>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</si>
  <si>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</si>
  <si>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</si>
  <si>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</si>
  <si>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</si>
  <si>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</si>
  <si>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</si>
  <si>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</si>
  <si>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</si>
  <si>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</si>
  <si>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</si>
  <si>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</si>
  <si>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</si>
  <si>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</si>
  <si>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</si>
  <si>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</si>
  <si>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</si>
  <si>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</si>
  <si>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</si>
  <si>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</si>
  <si>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</si>
  <si>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</si>
  <si>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</si>
  <si>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</si>
  <si>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</si>
  <si>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</si>
  <si>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</si>
  <si>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</si>
  <si>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</si>
  <si>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</si>
  <si>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</si>
  <si>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</si>
  <si>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</si>
  <si>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</si>
  <si>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</si>
  <si>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</si>
  <si>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</si>
  <si>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</si>
  <si>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</si>
  <si>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</si>
  <si>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</si>
  <si>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</si>
  <si>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</si>
  <si>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</si>
  <si>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</si>
  <si>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</si>
  <si>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</si>
  <si>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</si>
  <si>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</si>
  <si>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</si>
  <si>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</si>
  <si>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</si>
  <si>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</si>
  <si>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</si>
  <si>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</si>
  <si>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</si>
  <si>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</si>
  <si>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</si>
  <si>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</si>
  <si>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</si>
  <si>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</si>
  <si>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</si>
  <si>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</si>
  <si>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</si>
  <si>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</si>
  <si>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</si>
  <si>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</si>
  <si>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</si>
  <si>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</si>
  <si>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</si>
  <si>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</si>
  <si>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</si>
  <si>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</si>
  <si>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</si>
  <si>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</si>
  <si>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</si>
  <si>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</si>
  <si>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</si>
  <si>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</si>
  <si>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</si>
  <si>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</si>
  <si>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</si>
  <si>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</si>
  <si>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</si>
  <si>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</si>
  <si>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</si>
  <si>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</si>
  <si>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</si>
  <si>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</si>
  <si>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</si>
  <si>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</si>
  <si>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</si>
  <si>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</si>
  <si>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</si>
  <si>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</si>
  <si>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</si>
  <si>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</si>
  <si>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</si>
  <si>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</si>
  <si>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</si>
  <si>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</si>
  <si>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</si>
  <si>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</si>
  <si>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</si>
  <si>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</si>
  <si>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</si>
  <si>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</si>
  <si>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</si>
  <si>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</si>
  <si>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</si>
  <si>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</si>
  <si>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</si>
  <si>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</si>
  <si>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</si>
  <si>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</si>
  <si>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</si>
  <si>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</si>
  <si>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</si>
  <si>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</si>
  <si>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</si>
  <si>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</si>
  <si>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</si>
  <si>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</si>
  <si>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</si>
  <si>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</si>
  <si>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</si>
  <si>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</si>
  <si>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</si>
  <si>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</si>
  <si>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</si>
  <si>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</si>
  <si>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</si>
  <si>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</si>
  <si>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</si>
  <si>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</si>
  <si>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</si>
  <si>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</si>
  <si>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</si>
  <si>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</si>
  <si>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</si>
  <si>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</si>
  <si>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</si>
  <si>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</si>
  <si>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</si>
  <si>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</si>
  <si>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</si>
  <si>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</si>
  <si>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</si>
  <si>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</si>
  <si>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</si>
  <si>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</si>
  <si>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</si>
  <si>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</si>
  <si>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</si>
  <si>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</si>
  <si>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</si>
  <si>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</si>
  <si>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</si>
  <si>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</si>
  <si>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</si>
  <si>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</si>
  <si>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</si>
  <si>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</si>
  <si>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</si>
  <si>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</si>
  <si>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</si>
  <si>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</si>
  <si>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</si>
  <si>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</si>
  <si>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</si>
  <si>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</si>
  <si>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</si>
  <si>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</si>
  <si>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</si>
  <si>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</si>
  <si>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</si>
  <si>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</si>
  <si>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</si>
  <si>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</si>
  <si>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</si>
  <si>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</si>
  <si>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</si>
  <si>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</si>
  <si>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</si>
  <si>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</si>
  <si>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</si>
  <si>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</si>
  <si>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</si>
  <si>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</si>
  <si>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</si>
  <si>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</si>
  <si>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</si>
  <si>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</si>
  <si>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</si>
  <si>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</si>
  <si>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</si>
  <si>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</si>
  <si>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</si>
  <si>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</si>
  <si>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</si>
  <si>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</si>
  <si>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</si>
  <si>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</si>
  <si>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</si>
  <si>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</si>
  <si>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</si>
  <si>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</si>
  <si>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</si>
  <si>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</si>
  <si>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</si>
  <si>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</si>
  <si>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</si>
  <si>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</si>
  <si>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</si>
  <si>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</si>
  <si>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</si>
  <si>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</si>
  <si>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</si>
  <si>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</si>
  <si>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</si>
  <si>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</si>
  <si>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</si>
  <si>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</si>
  <si>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</si>
  <si>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</si>
  <si>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</si>
  <si>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</si>
  <si>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</si>
  <si>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</si>
  <si>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</si>
  <si>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</si>
  <si>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</si>
  <si>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</si>
  <si>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</si>
  <si>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</si>
  <si>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</si>
  <si>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</si>
  <si>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</si>
  <si>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</si>
  <si>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</si>
  <si>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</si>
  <si>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</si>
  <si>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</si>
  <si>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</si>
  <si>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</si>
  <si>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</si>
  <si>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</si>
  <si>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</si>
  <si>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</si>
  <si>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</si>
  <si>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</si>
  <si>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</si>
  <si>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</si>
  <si>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</si>
  <si>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</si>
  <si>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</si>
  <si>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</si>
  <si>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</si>
  <si>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</si>
  <si>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</si>
  <si>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</si>
  <si>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</si>
  <si>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</si>
  <si>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</si>
  <si>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</si>
  <si>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</si>
  <si>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</si>
  <si>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</si>
  <si>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</si>
  <si>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</si>
  <si>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</si>
  <si>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</si>
  <si>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</si>
  <si>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</si>
  <si>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</si>
  <si>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</si>
  <si>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</si>
  <si>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</si>
  <si>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</si>
  <si>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</si>
  <si>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</si>
  <si>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</si>
  <si>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</si>
  <si>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</si>
  <si>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</si>
  <si>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</si>
  <si>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</si>
  <si>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</si>
  <si>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</si>
  <si>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</si>
  <si>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</si>
  <si>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</si>
  <si>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</si>
  <si>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</si>
  <si>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</si>
  <si>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</si>
  <si>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</si>
  <si>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</si>
  <si>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</si>
  <si>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</si>
  <si>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</si>
  <si>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</si>
  <si>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</si>
  <si>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</si>
  <si>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</si>
  <si>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</si>
  <si>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</si>
  <si>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</si>
  <si>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</si>
  <si>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</si>
  <si>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</si>
  <si>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</si>
  <si>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</si>
  <si>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</si>
  <si>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</si>
  <si>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</si>
  <si>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</si>
  <si>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</si>
  <si>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</si>
  <si>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</si>
  <si>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</si>
  <si>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</si>
  <si>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</si>
  <si>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</si>
  <si>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</si>
  <si>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</si>
  <si>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</si>
  <si>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</si>
  <si>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</si>
  <si>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</si>
  <si>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</si>
  <si>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</si>
  <si>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</si>
  <si>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</si>
  <si>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</si>
  <si>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</si>
  <si>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</si>
  <si>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</si>
  <si>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</si>
  <si>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</si>
  <si>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</si>
  <si>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</si>
  <si>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</si>
  <si>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</si>
  <si>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</si>
  <si>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</si>
  <si>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</si>
  <si>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</si>
  <si>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</si>
  <si>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</si>
  <si>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</si>
  <si>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</si>
  <si>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</si>
  <si>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</si>
  <si>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</si>
  <si>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</si>
  <si>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</si>
  <si>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</si>
  <si>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</si>
  <si>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</si>
  <si>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</si>
  <si>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</si>
  <si>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</si>
  <si>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</si>
  <si>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</si>
  <si>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</si>
  <si>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</si>
  <si>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</si>
  <si>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</si>
  <si>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</si>
  <si>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</si>
  <si>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</si>
  <si>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</si>
  <si>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</si>
  <si>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</si>
  <si>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</si>
  <si>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</si>
  <si>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</si>
  <si>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</si>
  <si>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</si>
  <si>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</si>
  <si>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</si>
  <si>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</si>
  <si>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</si>
  <si>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</si>
  <si>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</si>
  <si>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</si>
  <si>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</si>
  <si>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</si>
  <si>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</si>
  <si>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</si>
  <si>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</si>
  <si>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</si>
  <si>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</si>
  <si>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</si>
  <si>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</si>
  <si>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</si>
  <si>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</si>
  <si>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</si>
  <si>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</si>
  <si>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</si>
  <si>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</si>
  <si>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</si>
  <si>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</si>
  <si>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</si>
  <si>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</si>
  <si>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</si>
  <si>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</si>
  <si>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</si>
  <si>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</si>
  <si>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</si>
  <si>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</si>
  <si>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</si>
  <si>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</si>
  <si>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</si>
  <si>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</si>
  <si>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</si>
  <si>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</si>
  <si>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</si>
  <si>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</si>
  <si>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</si>
  <si>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</si>
  <si>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</si>
  <si>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</si>
  <si>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</si>
  <si>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</si>
  <si>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</si>
  <si>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</si>
  <si>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</si>
  <si>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</si>
  <si>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</si>
  <si>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</si>
  <si>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</si>
  <si>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</si>
  <si>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</si>
  <si>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</si>
  <si>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</si>
  <si>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</si>
  <si>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</si>
  <si>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</si>
  <si>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</si>
  <si>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</si>
  <si>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</si>
  <si>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</si>
  <si>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</si>
  <si>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</si>
  <si>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</si>
  <si>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</si>
  <si>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</si>
  <si>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</si>
  <si>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</si>
  <si>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</si>
  <si>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</si>
  <si>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</si>
  <si>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</si>
  <si>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</si>
  <si>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</si>
  <si>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</si>
  <si>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</si>
  <si>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</si>
  <si>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</si>
  <si>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</si>
  <si>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</si>
  <si>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</si>
  <si>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</si>
  <si>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</si>
  <si>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</si>
  <si>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</si>
  <si>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</si>
  <si>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</si>
  <si>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</si>
  <si>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</si>
  <si>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</si>
  <si>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</si>
  <si>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</si>
  <si>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</si>
  <si>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</si>
  <si>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</si>
  <si>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</si>
  <si>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</si>
  <si>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</si>
  <si>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</si>
  <si>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</si>
  <si>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</si>
  <si>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</si>
  <si>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</si>
  <si>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</si>
  <si>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</si>
  <si>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</si>
  <si>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</si>
  <si>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</si>
  <si>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</si>
  <si>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</si>
  <si>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</si>
  <si>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</si>
  <si>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</si>
  <si>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</si>
  <si>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</si>
  <si>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</si>
  <si>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</si>
  <si>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</si>
  <si>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</si>
  <si>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</si>
  <si>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</si>
  <si>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</si>
  <si>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</si>
  <si>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</si>
  <si>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</si>
  <si>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</si>
  <si>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</si>
  <si>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</si>
  <si>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</si>
  <si>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</si>
  <si>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</si>
  <si>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</si>
  <si>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</si>
  <si>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</si>
  <si>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</si>
  <si>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</si>
  <si>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</si>
  <si>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</si>
  <si>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</si>
  <si>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</si>
  <si>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</si>
  <si>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</si>
  <si>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</si>
  <si>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</si>
  <si>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</si>
  <si>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</si>
  <si>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</si>
  <si>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</si>
  <si>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</si>
  <si>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</si>
  <si>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</si>
  <si>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</si>
  <si>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</si>
  <si>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</si>
  <si>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</si>
  <si>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</si>
  <si>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</si>
  <si>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</si>
  <si>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</si>
  <si>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</si>
  <si>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</si>
  <si>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</si>
  <si>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</si>
  <si>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</si>
  <si>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</si>
  <si>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</si>
  <si>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</si>
  <si>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</si>
  <si>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</si>
  <si>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</si>
  <si>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</si>
  <si>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</si>
  <si>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</si>
  <si>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</si>
  <si>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</si>
  <si>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</si>
  <si>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</si>
  <si>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</si>
  <si>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</si>
  <si>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</si>
  <si>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</si>
  <si>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</si>
  <si>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</si>
  <si>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</si>
  <si>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</si>
  <si>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</si>
  <si>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</si>
  <si>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</si>
  <si>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</si>
  <si>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</si>
  <si>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</si>
  <si>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</si>
  <si>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</si>
  <si>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</si>
  <si>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</si>
  <si>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</si>
  <si>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</si>
  <si>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</si>
  <si>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</si>
  <si>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</si>
  <si>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</si>
  <si>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</si>
  <si>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</si>
  <si>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</si>
  <si>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</si>
  <si>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</si>
  <si>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</si>
  <si>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</si>
  <si>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</si>
  <si>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</si>
  <si>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</si>
  <si>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</si>
  <si>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</si>
  <si>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</si>
  <si>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</si>
  <si>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</si>
  <si>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</si>
  <si>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</si>
  <si>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</si>
  <si>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</si>
  <si>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</si>
  <si>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</si>
  <si>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</si>
  <si>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</si>
  <si>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</si>
  <si>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</si>
  <si>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</si>
  <si>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</si>
  <si>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</si>
  <si>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</si>
  <si>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</si>
  <si>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</si>
  <si>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</si>
  <si>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</si>
  <si>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</si>
  <si>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</si>
  <si>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</si>
  <si>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</si>
  <si>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</si>
  <si>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</si>
  <si>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</si>
  <si>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</si>
  <si>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</si>
  <si>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</si>
  <si>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</si>
  <si>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</si>
  <si>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</si>
  <si>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</si>
  <si>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</si>
  <si>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</si>
  <si>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</si>
  <si>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</si>
  <si>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</si>
  <si>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</si>
  <si>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</si>
  <si>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</si>
  <si>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</si>
  <si>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</si>
  <si>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</si>
  <si>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</si>
  <si>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</si>
  <si>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</si>
  <si>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</si>
  <si>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</si>
  <si>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</si>
  <si>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</si>
  <si>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</si>
  <si>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</si>
  <si>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</si>
  <si>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</si>
  <si>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</si>
  <si>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</si>
  <si>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</si>
  <si>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</si>
  <si>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</si>
  <si>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</si>
  <si>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</si>
  <si>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</si>
  <si>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</si>
  <si>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</si>
  <si>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</si>
  <si>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</si>
  <si>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</si>
  <si>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</si>
  <si>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</si>
  <si>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</si>
  <si>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</si>
  <si>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</si>
  <si>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</si>
  <si>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</si>
  <si>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</si>
  <si>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</si>
  <si>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</si>
  <si>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</si>
  <si>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</si>
  <si>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</si>
  <si>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</si>
  <si>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</si>
  <si>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</si>
  <si>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</si>
  <si>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</si>
  <si>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</si>
  <si>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</si>
  <si>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</si>
  <si>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</si>
  <si>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</si>
  <si>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</si>
  <si>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</si>
  <si>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</si>
  <si>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</si>
  <si>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</si>
  <si>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</si>
  <si>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</si>
  <si>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</si>
  <si>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</si>
  <si>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</si>
  <si>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</si>
  <si>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</si>
  <si>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</si>
  <si>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</si>
  <si>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</si>
  <si>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</si>
  <si>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</si>
  <si>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</si>
  <si>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</si>
  <si>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</si>
  <si>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</si>
  <si>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</si>
  <si>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</si>
  <si>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</si>
  <si>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</si>
  <si>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</si>
  <si>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</si>
  <si>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</si>
  <si>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</si>
  <si>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</si>
  <si>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</si>
  <si>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</si>
  <si>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</si>
  <si>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</si>
  <si>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</si>
  <si>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</si>
  <si>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</si>
  <si>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</si>
  <si>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</si>
  <si>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</si>
  <si>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</si>
  <si>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</si>
  <si>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</si>
  <si>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</si>
  <si>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</si>
  <si>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</si>
  <si>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</si>
  <si>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</si>
  <si>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</si>
  <si>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</si>
  <si>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</si>
  <si>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</si>
  <si>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</si>
  <si>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</si>
  <si>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</si>
  <si>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</si>
  <si>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</si>
  <si>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</si>
  <si>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</si>
  <si>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</si>
  <si>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</si>
  <si>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</si>
  <si>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</si>
  <si>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</si>
  <si>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</si>
  <si>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</si>
  <si>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</si>
  <si>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</si>
  <si>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</si>
  <si>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</si>
  <si>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</si>
  <si>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</si>
  <si>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</si>
  <si>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</si>
  <si>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</si>
  <si>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</si>
  <si>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</si>
  <si>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</si>
  <si>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</si>
  <si>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</si>
  <si>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</si>
  <si>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</si>
  <si>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</si>
  <si>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</si>
  <si>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</si>
  <si>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</si>
  <si>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</si>
  <si>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</si>
  <si>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</si>
  <si>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</si>
  <si>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</si>
  <si>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</si>
  <si>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</si>
  <si>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</si>
  <si>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</si>
  <si>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</si>
  <si>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</si>
  <si>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</si>
  <si>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</si>
  <si>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</si>
  <si>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</si>
  <si>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</si>
  <si>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</si>
  <si>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</si>
  <si>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</si>
  <si>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</si>
  <si>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</si>
  <si>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</si>
  <si>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</si>
  <si>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</si>
  <si>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</si>
  <si>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</si>
  <si>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</si>
  <si>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</si>
  <si>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</si>
  <si>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</si>
  <si>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</si>
  <si>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</si>
  <si>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</si>
  <si>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</si>
  <si>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</si>
  <si>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</si>
  <si>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</si>
  <si>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</si>
  <si>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</si>
  <si>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</si>
  <si>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</si>
  <si>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</si>
  <si>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</si>
  <si>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</si>
  <si>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</si>
  <si>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</si>
  <si>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</si>
  <si>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</si>
  <si>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</si>
  <si>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</si>
  <si>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</si>
  <si>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</si>
  <si>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</si>
  <si>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</si>
  <si>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</si>
  <si>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</si>
  <si>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</si>
  <si>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</si>
  <si>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</si>
  <si>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</si>
  <si>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</si>
  <si>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</si>
  <si>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</si>
  <si>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</si>
  <si>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</si>
  <si>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</si>
  <si>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</si>
  <si>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</si>
  <si>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</si>
  <si>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</si>
  <si>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</si>
  <si>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</si>
  <si>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</si>
  <si>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</si>
  <si>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</si>
  <si>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</si>
  <si>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</si>
  <si>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</si>
  <si>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</si>
  <si>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</si>
  <si>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</si>
  <si>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</si>
  <si>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</si>
  <si>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</si>
  <si>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</si>
  <si>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</si>
  <si>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</si>
  <si>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</si>
  <si>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</si>
  <si>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</si>
  <si>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</si>
  <si>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</si>
  <si>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</si>
  <si>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</si>
  <si>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</si>
  <si>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</si>
  <si>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</si>
  <si>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</si>
  <si>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</si>
  <si>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</si>
  <si>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</si>
  <si>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</si>
  <si>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</si>
  <si>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</si>
  <si>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</si>
  <si>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</si>
  <si>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</si>
  <si>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</si>
  <si>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</si>
  <si>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</si>
  <si>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</si>
  <si>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</si>
  <si>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</si>
  <si>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</si>
  <si>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</si>
  <si>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</si>
  <si>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</si>
  <si>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</si>
  <si>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</si>
  <si>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</si>
  <si>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</si>
  <si>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</si>
  <si>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</si>
  <si>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</si>
  <si>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</si>
  <si>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</si>
  <si>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</si>
  <si>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</si>
  <si>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</si>
  <si>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</si>
  <si>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</si>
  <si>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</si>
  <si>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</si>
  <si>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</si>
  <si>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</si>
  <si>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</si>
  <si>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</si>
  <si>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</si>
  <si>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</si>
  <si>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</si>
  <si>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</si>
  <si>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</si>
  <si>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</si>
  <si>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</si>
  <si>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</si>
  <si>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</si>
  <si>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</si>
  <si>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</si>
  <si>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</si>
  <si>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</si>
  <si>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</si>
  <si>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</si>
  <si>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</si>
  <si>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</si>
  <si>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</si>
  <si>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</si>
  <si>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</si>
  <si>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</si>
  <si>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</si>
  <si>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</si>
  <si>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</si>
  <si>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</si>
  <si>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</si>
  <si>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</si>
  <si>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</si>
  <si>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</si>
  <si>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</si>
  <si>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</si>
  <si>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</si>
  <si>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</si>
  <si>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</si>
  <si>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</si>
  <si>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</si>
  <si>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</si>
  <si>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</si>
  <si>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</si>
  <si>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</si>
  <si>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</si>
  <si>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</si>
  <si>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</si>
  <si>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</si>
  <si>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</si>
  <si>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</si>
  <si>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</si>
  <si>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</si>
  <si>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</si>
  <si>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</si>
  <si>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</si>
  <si>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</si>
  <si>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</si>
  <si>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</si>
  <si>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</si>
  <si>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</si>
  <si>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</si>
  <si>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</si>
  <si>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</si>
  <si>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</si>
  <si>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</si>
  <si>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</si>
  <si>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</si>
  <si>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</si>
  <si>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</si>
  <si>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</si>
  <si>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</si>
  <si>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</si>
  <si>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</si>
  <si>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</si>
  <si>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</si>
  <si>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</si>
  <si>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</si>
  <si>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</si>
  <si>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</si>
  <si>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</si>
  <si>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</si>
  <si>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</si>
  <si>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</si>
  <si>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</si>
  <si>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</si>
  <si>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</si>
  <si>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</si>
  <si>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</si>
  <si>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</si>
  <si>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</si>
  <si>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</si>
  <si>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</si>
  <si>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</si>
  <si>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</si>
  <si>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</si>
  <si>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</si>
  <si>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</si>
  <si>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</si>
  <si>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</si>
  <si>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</si>
  <si>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</si>
  <si>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</si>
  <si>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</si>
  <si>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</si>
  <si>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</si>
  <si>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</si>
  <si>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</si>
  <si>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</si>
  <si>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</si>
  <si>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</si>
  <si>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</si>
  <si>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</si>
  <si>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</si>
  <si>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</si>
  <si>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</si>
  <si>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</si>
  <si>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</si>
  <si>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</si>
  <si>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</si>
  <si>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</si>
  <si>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</si>
  <si>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</si>
  <si>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</si>
  <si>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</si>
  <si>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</si>
  <si>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</si>
  <si>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</si>
  <si>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</si>
  <si>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</si>
  <si>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</si>
  <si>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</si>
  <si>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</si>
  <si>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</si>
  <si>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</si>
  <si>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</si>
  <si>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</si>
  <si>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</si>
  <si>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</si>
  <si>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</si>
  <si>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</si>
  <si>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</si>
  <si>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</si>
  <si>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</si>
  <si>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</si>
  <si>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</si>
  <si>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</si>
  <si>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</si>
  <si>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</si>
  <si>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</si>
  <si>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</si>
  <si>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</si>
  <si>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</si>
  <si>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</si>
  <si>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</si>
  <si>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</si>
  <si>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</si>
  <si>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</si>
  <si>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</si>
  <si>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</si>
  <si>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</si>
  <si>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</si>
  <si>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</si>
  <si>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</si>
  <si>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</si>
  <si>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</si>
  <si>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</si>
  <si>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</si>
  <si>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</si>
  <si>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</si>
  <si>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</si>
  <si>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</si>
  <si>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</si>
  <si>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</si>
  <si>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</si>
  <si>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</si>
  <si>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</si>
  <si>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</si>
  <si>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</si>
  <si>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</si>
  <si>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</si>
  <si>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</si>
  <si>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</si>
  <si>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</si>
  <si>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</si>
  <si>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</si>
  <si>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</si>
  <si>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</si>
  <si>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</si>
  <si>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</si>
  <si>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</si>
  <si>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</si>
  <si>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</si>
  <si>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</si>
  <si>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</si>
  <si>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</si>
  <si>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</si>
  <si>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</si>
  <si>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</si>
  <si>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</si>
  <si>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</si>
  <si>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</si>
  <si>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</si>
  <si>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</si>
  <si>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</si>
  <si>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</si>
  <si>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</si>
  <si>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</si>
  <si>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</si>
  <si>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</si>
  <si>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</si>
  <si>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</si>
  <si>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</si>
  <si>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</si>
  <si>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</si>
  <si>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</si>
  <si>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</si>
  <si>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</si>
  <si>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</si>
  <si>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</si>
  <si>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</si>
  <si>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</si>
  <si>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</si>
  <si>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</si>
  <si>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</si>
  <si>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</si>
  <si>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</si>
  <si>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</si>
  <si>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</si>
  <si>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</si>
  <si>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</si>
  <si>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</si>
  <si>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</si>
  <si>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</si>
  <si>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</si>
  <si>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</si>
  <si>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</si>
  <si>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</si>
  <si>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</si>
  <si>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</si>
  <si>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</si>
  <si>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</si>
  <si>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</si>
  <si>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</si>
  <si>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</si>
  <si>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</si>
  <si>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</si>
  <si>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</si>
  <si>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</si>
  <si>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</si>
  <si>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</si>
  <si>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</si>
  <si>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</si>
  <si>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</si>
  <si>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</si>
  <si>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</si>
  <si>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</si>
  <si>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</si>
  <si>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</si>
  <si>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</si>
  <si>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</si>
  <si>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</si>
  <si>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</si>
  <si>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</si>
  <si>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</si>
  <si>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</si>
  <si>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</si>
  <si>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</si>
  <si>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</si>
  <si>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</si>
  <si>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</si>
  <si>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</si>
  <si>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</si>
  <si>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</si>
  <si>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</si>
  <si>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</si>
  <si>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</si>
  <si>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</si>
  <si>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</si>
  <si>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</si>
  <si>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</si>
  <si>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</si>
  <si>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</si>
  <si>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</si>
  <si>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</si>
  <si>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</si>
  <si>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</si>
  <si>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</si>
  <si>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</si>
  <si>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</si>
  <si>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</si>
  <si>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</si>
  <si>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</si>
  <si>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</si>
  <si>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</si>
  <si>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</si>
  <si>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</si>
  <si>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</si>
  <si>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</si>
  <si>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</si>
  <si>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</si>
  <si>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</si>
  <si>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</si>
  <si>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</si>
  <si>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</si>
  <si>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</si>
  <si>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</si>
  <si>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</si>
  <si>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</si>
  <si>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</si>
  <si>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</si>
  <si>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</si>
  <si>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</si>
  <si>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</si>
  <si>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</si>
  <si>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</si>
  <si>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</si>
  <si>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</si>
  <si>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</si>
  <si>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</si>
  <si>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</si>
  <si>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</si>
  <si>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</si>
  <si>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</si>
  <si>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</si>
  <si>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</si>
  <si>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</si>
  <si>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</si>
  <si>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</si>
  <si>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</si>
  <si>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</si>
  <si>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</si>
  <si>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</si>
  <si>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</si>
  <si>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</si>
  <si>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</si>
  <si>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</si>
  <si>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</si>
  <si>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</si>
  <si>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</si>
  <si>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</si>
  <si>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</si>
  <si>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</si>
  <si>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</si>
  <si>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</si>
  <si>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</si>
  <si>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</si>
  <si>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</si>
  <si>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</si>
  <si>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</si>
  <si>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</si>
  <si>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</si>
  <si>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</si>
  <si>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</si>
  <si>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</si>
  <si>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</si>
  <si>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</si>
  <si>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</si>
  <si>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</si>
  <si>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</si>
  <si>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</si>
  <si>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</si>
  <si>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</si>
  <si>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</si>
  <si>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</si>
  <si>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</si>
  <si>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</si>
  <si>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</si>
  <si>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</si>
  <si>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</si>
  <si>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</si>
  <si>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</si>
  <si>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</si>
  <si>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</si>
  <si>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</si>
  <si>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</si>
  <si>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</si>
  <si>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</si>
  <si>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</si>
  <si>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</si>
  <si>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</si>
  <si>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</si>
  <si>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</si>
  <si>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</si>
  <si>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</si>
  <si>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</si>
  <si>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</si>
  <si>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</si>
  <si>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</si>
  <si>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</si>
  <si>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</si>
  <si>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</si>
  <si>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</si>
  <si>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</si>
  <si>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</si>
  <si>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</si>
  <si>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</si>
  <si>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</si>
  <si>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</si>
  <si>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</si>
  <si>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</si>
  <si>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</si>
  <si>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</si>
  <si>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</si>
  <si>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</si>
  <si>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</si>
  <si>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</si>
  <si>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</si>
  <si>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</si>
  <si>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</si>
  <si>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</si>
  <si>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</si>
  <si>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</si>
  <si>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</si>
  <si>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</si>
  <si>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</si>
  <si>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</si>
  <si>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</si>
  <si>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</si>
  <si>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</si>
  <si>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</si>
  <si>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</si>
  <si>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</si>
  <si>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</si>
  <si>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</si>
  <si>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</si>
  <si>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</si>
  <si>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</si>
  <si>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</si>
  <si>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</si>
  <si>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</si>
  <si>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</si>
  <si>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</si>
  <si>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</si>
  <si>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</si>
  <si>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</si>
  <si>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</si>
  <si>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</si>
  <si>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</si>
  <si>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</si>
  <si>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</si>
  <si>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</si>
  <si>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</si>
  <si>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</si>
  <si>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</si>
  <si>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</si>
  <si>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</si>
  <si>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</si>
  <si>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</si>
  <si>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</si>
  <si>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</si>
  <si>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</si>
  <si>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</si>
  <si>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</si>
  <si>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</si>
  <si>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</si>
  <si>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</si>
  <si>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</si>
  <si>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</si>
  <si>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</si>
  <si>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</si>
  <si>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</si>
  <si>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</si>
  <si>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</si>
  <si>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</si>
  <si>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</si>
  <si>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</si>
  <si>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</si>
  <si>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</si>
  <si>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</si>
  <si>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</si>
  <si>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</si>
  <si>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</si>
  <si>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</si>
  <si>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</si>
  <si>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</si>
  <si>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</si>
  <si>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</si>
  <si>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</si>
  <si>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</si>
  <si>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</si>
  <si>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</si>
  <si>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</si>
  <si>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</si>
  <si>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</si>
  <si>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</si>
  <si>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</si>
  <si>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</si>
  <si>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</si>
  <si>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</si>
  <si>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</si>
  <si>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</si>
  <si>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</si>
  <si>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</si>
  <si>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</si>
  <si>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</si>
  <si>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</si>
  <si>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</si>
  <si>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</si>
  <si>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</si>
  <si>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</si>
  <si>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</si>
  <si>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</si>
  <si>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</si>
  <si>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</si>
  <si>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</si>
  <si>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</si>
  <si>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</si>
  <si>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</si>
  <si>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</si>
  <si>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</si>
  <si>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</si>
  <si>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</si>
  <si>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</si>
  <si>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</si>
  <si>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</si>
  <si>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</si>
  <si>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</si>
  <si>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</si>
  <si>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</si>
  <si>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</si>
  <si>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</si>
  <si>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</si>
  <si>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</si>
  <si>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</si>
  <si>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</si>
  <si>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</si>
  <si>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</si>
  <si>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</si>
  <si>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</si>
  <si>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</si>
  <si>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</si>
  <si>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</si>
  <si>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</si>
  <si>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</si>
  <si>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</si>
  <si>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</si>
  <si>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</si>
  <si>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</si>
  <si>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</si>
  <si>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</si>
  <si>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</si>
  <si>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</si>
  <si>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</si>
  <si>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</si>
  <si>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</si>
  <si>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</si>
  <si>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</si>
  <si>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</si>
  <si>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</si>
  <si>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</si>
  <si>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</si>
  <si>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</si>
  <si>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</si>
  <si>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</si>
  <si>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</si>
  <si>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</si>
  <si>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</si>
  <si>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</si>
  <si>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</si>
  <si>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</si>
  <si>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</si>
  <si>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</si>
  <si>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</si>
  <si>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</si>
  <si>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</si>
  <si>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</si>
  <si>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</si>
  <si>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</si>
  <si>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</si>
  <si>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</si>
  <si>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</si>
  <si>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</si>
  <si>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</si>
  <si>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</si>
  <si>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</si>
  <si>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</si>
  <si>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</si>
  <si>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</si>
  <si>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</si>
  <si>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</si>
  <si>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</si>
  <si>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</si>
  <si>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</si>
  <si>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</si>
  <si>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</si>
  <si>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</si>
  <si>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</si>
  <si>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</si>
  <si>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</si>
  <si>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</si>
  <si>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</si>
  <si>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</si>
  <si>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</si>
  <si>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</si>
  <si>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</si>
  <si>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</si>
  <si>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</si>
  <si>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</si>
  <si>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</si>
  <si>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</si>
  <si>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</si>
  <si>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</si>
  <si>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</si>
  <si>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</si>
  <si>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</si>
  <si>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</si>
  <si>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</si>
  <si>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</si>
  <si>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</si>
  <si>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</si>
  <si>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</si>
  <si>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</si>
  <si>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</si>
  <si>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</si>
  <si>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</si>
  <si>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</si>
  <si>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</si>
  <si>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</si>
  <si>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</si>
  <si>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</si>
  <si>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</si>
  <si>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</si>
  <si>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</si>
  <si>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</si>
  <si>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</si>
  <si>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</si>
  <si>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</si>
  <si>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</si>
  <si>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</si>
  <si>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</si>
  <si>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</si>
  <si>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</si>
  <si>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</si>
  <si>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</si>
  <si>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</si>
  <si>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</si>
  <si>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</si>
  <si>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</si>
  <si>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</si>
  <si>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</si>
  <si>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</si>
  <si>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</si>
  <si>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</si>
  <si>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</si>
  <si>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</si>
  <si>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</si>
  <si>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</si>
  <si>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</si>
  <si>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</si>
  <si>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</si>
  <si>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</si>
  <si>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</si>
  <si>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</si>
  <si>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</si>
  <si>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</si>
  <si>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</si>
  <si>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</si>
  <si>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</si>
  <si>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</si>
  <si>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</si>
  <si>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</si>
  <si>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</si>
  <si>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</si>
  <si>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</si>
  <si>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</si>
  <si>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</si>
  <si>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</si>
  <si>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</si>
  <si>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</si>
  <si>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</si>
  <si>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</si>
  <si>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</si>
  <si>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</si>
  <si>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</si>
  <si>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</si>
  <si>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</si>
  <si>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</si>
  <si>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</si>
  <si>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</si>
  <si>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</si>
  <si>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</si>
  <si>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</si>
  <si>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</si>
  <si>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</si>
  <si>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</si>
  <si>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</si>
  <si>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</si>
  <si>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</si>
  <si>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</si>
  <si>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</si>
  <si>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</si>
  <si>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</si>
  <si>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</si>
  <si>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</si>
  <si>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</si>
  <si>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</si>
  <si>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</si>
  <si>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</si>
  <si>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</si>
  <si>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</si>
  <si>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</si>
  <si>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</si>
  <si>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</si>
  <si>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</si>
  <si>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</si>
  <si>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</si>
  <si>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</si>
  <si>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</si>
  <si>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</si>
  <si>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</si>
  <si>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</si>
  <si>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</si>
  <si>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</si>
  <si>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</si>
  <si>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</si>
  <si>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</si>
  <si>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</si>
  <si>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</si>
  <si>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</si>
  <si>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</si>
  <si>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</si>
  <si>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</si>
  <si>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</si>
  <si>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</si>
  <si>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</si>
  <si>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</si>
  <si>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</si>
  <si>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</si>
  <si>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</si>
  <si>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</si>
  <si>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</si>
  <si>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</si>
  <si>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</si>
  <si>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</si>
  <si>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</si>
  <si>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</si>
  <si>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</si>
  <si>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</si>
  <si>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</si>
  <si>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</si>
  <si>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</si>
  <si>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</si>
  <si>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</si>
  <si>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</si>
  <si>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</si>
  <si>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</si>
  <si>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</si>
  <si>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</si>
  <si>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</si>
  <si>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</si>
  <si>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</si>
  <si>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</si>
  <si>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</si>
  <si>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</si>
  <si>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</si>
  <si>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</si>
  <si>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</si>
  <si>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</si>
  <si>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</si>
  <si>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</si>
  <si>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</si>
  <si>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</si>
  <si>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</si>
  <si>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</si>
  <si>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</si>
  <si>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</si>
  <si>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</si>
  <si>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</si>
  <si>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</si>
  <si>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</si>
  <si>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</si>
  <si>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</si>
  <si>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</si>
  <si>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</si>
  <si>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</si>
  <si>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</si>
  <si>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</si>
  <si>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</si>
  <si>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</si>
  <si>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</si>
  <si>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</si>
  <si>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</si>
  <si>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</si>
  <si>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</si>
  <si>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</si>
  <si>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</si>
  <si>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</si>
  <si>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</si>
  <si>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</si>
  <si>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</si>
  <si>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</si>
  <si>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</si>
  <si>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</si>
  <si>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</si>
  <si>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</si>
  <si>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</si>
  <si>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</si>
  <si>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</si>
  <si>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</si>
  <si>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</si>
  <si>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</si>
  <si>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</si>
  <si>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</si>
  <si>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</si>
  <si>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</si>
  <si>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</si>
  <si>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</si>
  <si>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</si>
  <si>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</si>
  <si>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</si>
  <si>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</si>
  <si>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</si>
  <si>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</si>
  <si>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</si>
  <si>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</si>
  <si>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</si>
  <si>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</si>
  <si>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</si>
  <si>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</si>
  <si>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</si>
  <si>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</si>
  <si>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</si>
  <si>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</si>
  <si>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</si>
  <si>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</si>
  <si>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</si>
  <si>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</si>
  <si>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</si>
  <si>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</si>
  <si>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</si>
  <si>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</si>
  <si>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</si>
  <si>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</si>
  <si>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</si>
  <si>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</si>
  <si>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</si>
  <si>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</si>
  <si>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</si>
  <si>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</si>
  <si>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</si>
  <si>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</si>
  <si>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</si>
  <si>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</si>
  <si>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</si>
  <si>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</si>
  <si>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</si>
  <si>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</si>
  <si>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</si>
  <si>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</si>
  <si>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</si>
  <si>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</si>
  <si>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</si>
  <si>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</si>
  <si>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</si>
  <si>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</si>
  <si>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</si>
  <si>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</si>
  <si>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</si>
  <si>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</si>
  <si>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</si>
  <si>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</si>
  <si>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</si>
  <si>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</si>
  <si>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</si>
  <si>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</si>
  <si>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</si>
  <si>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</si>
  <si>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</si>
  <si>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</si>
  <si>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</si>
  <si>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</si>
  <si>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</si>
  <si>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</si>
  <si>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</si>
  <si>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</si>
  <si>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</si>
  <si>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</si>
  <si>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</si>
  <si>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</si>
  <si>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</si>
  <si>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</si>
  <si>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</si>
  <si>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</si>
  <si>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</si>
  <si>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</si>
  <si>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</si>
  <si>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</si>
  <si>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</si>
  <si>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</si>
  <si>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</si>
  <si>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</si>
  <si>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</si>
  <si>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</si>
  <si>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</si>
  <si>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</si>
  <si>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</si>
  <si>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</si>
  <si>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</si>
  <si>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</si>
  <si>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</si>
  <si>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</si>
  <si>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</si>
  <si>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</si>
  <si>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</si>
  <si>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</si>
  <si>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</si>
  <si>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</si>
  <si>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</si>
  <si>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</si>
  <si>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</si>
  <si>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</si>
  <si>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</si>
  <si>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</si>
  <si>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</si>
  <si>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</si>
  <si>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</si>
  <si>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</si>
  <si>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</si>
  <si>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</si>
  <si>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</si>
  <si>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</si>
  <si>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</si>
  <si>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</si>
  <si>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</si>
  <si>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</si>
  <si>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</si>
  <si>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</si>
  <si>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</si>
  <si>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</si>
  <si>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</si>
  <si>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</si>
  <si>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</si>
  <si>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</si>
  <si>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</si>
  <si>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</si>
  <si>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</si>
  <si>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</si>
  <si>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</si>
  <si>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</si>
  <si>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</si>
  <si>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</si>
  <si>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</si>
  <si>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</si>
  <si>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</si>
  <si>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</si>
  <si>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</si>
  <si>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</si>
  <si>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</si>
  <si>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</si>
  <si>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</si>
  <si>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</si>
  <si>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</si>
  <si>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</si>
  <si>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</si>
  <si>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</si>
  <si>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</si>
  <si>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</si>
  <si>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</si>
  <si>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</si>
  <si>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</si>
  <si>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</si>
  <si>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</si>
  <si>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</si>
  <si>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</si>
  <si>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</si>
  <si>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</si>
  <si>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</si>
  <si>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</si>
  <si>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</si>
  <si>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</si>
  <si>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</si>
  <si>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</si>
  <si>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</si>
  <si>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</si>
  <si>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</si>
  <si>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</si>
  <si>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</si>
  <si>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</si>
  <si>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</si>
  <si>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</si>
  <si>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</si>
  <si>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</si>
  <si>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</si>
  <si>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</si>
  <si>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</si>
  <si>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</si>
  <si>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</si>
  <si>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</si>
  <si>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</si>
  <si>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</si>
  <si>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</si>
  <si>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</si>
  <si>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</si>
  <si>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</si>
  <si>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</si>
  <si>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</si>
  <si>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</si>
  <si>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</si>
  <si>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</si>
  <si>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</si>
  <si>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</si>
  <si>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</si>
  <si>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</si>
  <si>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</si>
  <si>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</si>
  <si>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</si>
  <si>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</si>
  <si>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</si>
  <si>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</si>
  <si>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</si>
  <si>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</si>
  <si>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</si>
  <si>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</si>
  <si>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</si>
  <si>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</si>
  <si>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</si>
  <si>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</si>
  <si>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</si>
  <si>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</si>
  <si>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</si>
  <si>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</si>
  <si>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</si>
  <si>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</si>
  <si>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</si>
  <si>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</si>
  <si>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</si>
  <si>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</si>
  <si>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</si>
  <si>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</si>
  <si>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</si>
  <si>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</si>
  <si>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</si>
  <si>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</si>
  <si>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</si>
  <si>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</si>
  <si>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</si>
  <si>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</si>
  <si>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</si>
  <si>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</si>
  <si>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</si>
  <si>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</si>
  <si>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</si>
  <si>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</si>
  <si>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</si>
  <si>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</si>
  <si>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</si>
  <si>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</si>
  <si>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</si>
  <si>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</si>
  <si>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</si>
  <si>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</si>
  <si>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</si>
  <si>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</si>
  <si>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</si>
  <si>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</si>
  <si>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</si>
  <si>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</si>
  <si>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</si>
  <si>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</si>
  <si>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</si>
  <si>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</si>
  <si>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</si>
  <si>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</si>
  <si>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</si>
  <si>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</si>
  <si>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</si>
  <si>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</si>
  <si>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</si>
  <si>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</si>
  <si>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</si>
  <si>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</si>
  <si>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</si>
  <si>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</si>
  <si>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</si>
  <si>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</si>
  <si>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</si>
  <si>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</si>
  <si>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</si>
  <si>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</si>
  <si>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</si>
  <si>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</si>
  <si>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</si>
  <si>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</si>
  <si>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</si>
  <si>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</si>
  <si>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</si>
  <si>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</si>
  <si>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</si>
  <si>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</si>
  <si>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</si>
  <si>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</si>
  <si>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</si>
  <si>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</si>
  <si>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</si>
  <si>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</si>
  <si>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</si>
  <si>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</si>
  <si>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</si>
  <si>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</si>
  <si>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</si>
  <si>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</si>
  <si>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</si>
  <si>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</si>
  <si>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</si>
  <si>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</si>
  <si>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</si>
  <si>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</si>
  <si>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</si>
  <si>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</si>
  <si>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</si>
  <si>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</si>
  <si>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</si>
  <si>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</si>
  <si>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</si>
  <si>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</si>
  <si>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</si>
  <si>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</si>
  <si>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</si>
  <si>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</si>
  <si>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</si>
  <si>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</si>
  <si>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</si>
  <si>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</si>
  <si>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</si>
  <si>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</si>
  <si>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</si>
  <si>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</si>
  <si>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</si>
  <si>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</si>
  <si>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</si>
  <si>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</si>
  <si>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</si>
  <si>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</si>
  <si>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</si>
  <si>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</si>
  <si>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</si>
  <si>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</si>
  <si>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</si>
  <si>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</si>
  <si>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</si>
  <si>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</si>
  <si>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</si>
  <si>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</si>
  <si>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</si>
  <si>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</si>
  <si>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</si>
  <si>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</si>
  <si>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</si>
  <si>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</si>
  <si>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</si>
  <si>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</si>
  <si>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</si>
  <si>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</si>
  <si>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</si>
  <si>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</si>
  <si>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</si>
  <si>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</si>
  <si>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</si>
  <si>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</si>
  <si>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</si>
  <si>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</si>
  <si>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</si>
  <si>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</si>
  <si>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</si>
  <si>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</si>
  <si>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</si>
  <si>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</si>
  <si>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</si>
  <si>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</si>
  <si>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</si>
  <si>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</si>
  <si>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</si>
  <si>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</si>
  <si>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</si>
  <si>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</si>
  <si>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</si>
  <si>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</si>
  <si>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</si>
  <si>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</si>
  <si>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</si>
  <si>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</si>
  <si>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</si>
  <si>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</si>
  <si>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</si>
  <si>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</si>
  <si>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</si>
  <si>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</si>
  <si>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</si>
  <si>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</si>
  <si>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</si>
  <si>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</si>
  <si>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</si>
  <si>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</si>
  <si>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</si>
  <si>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</si>
  <si>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</si>
  <si>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</si>
  <si>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</si>
  <si>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</si>
  <si>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</si>
  <si>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</si>
  <si>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</si>
  <si>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</si>
  <si>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</si>
  <si>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</si>
  <si>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</si>
  <si>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</si>
  <si>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</si>
  <si>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</si>
  <si>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</si>
  <si>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</si>
  <si>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</si>
  <si>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</si>
  <si>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</si>
  <si>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</si>
  <si>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</si>
  <si>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</si>
  <si>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</si>
  <si>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</si>
  <si>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</si>
  <si>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</si>
  <si>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</si>
  <si>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</si>
  <si>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</si>
  <si>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</si>
  <si>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</si>
  <si>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</si>
  <si>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</si>
  <si>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</si>
  <si>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</si>
  <si>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</si>
  <si>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</si>
  <si>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</si>
  <si>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</si>
  <si>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</si>
  <si>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</si>
  <si>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</si>
  <si>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</si>
  <si>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</si>
  <si>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</si>
  <si>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</si>
  <si>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</si>
  <si>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</si>
  <si>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</si>
  <si>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</si>
  <si>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</si>
  <si>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</si>
  <si>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</si>
  <si>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</si>
  <si>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</si>
  <si>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</si>
  <si>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</si>
  <si>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</si>
  <si>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</si>
  <si>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</si>
  <si>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</si>
  <si>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</si>
  <si>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</si>
  <si>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</si>
  <si>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</si>
  <si>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</si>
  <si>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</si>
  <si>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</si>
  <si>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</si>
  <si>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</si>
  <si>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</si>
  <si>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</si>
  <si>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</si>
  <si>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</si>
  <si>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</si>
  <si>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</si>
  <si>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</si>
  <si>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</si>
  <si>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</si>
  <si>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</si>
  <si>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</si>
  <si>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</si>
  <si>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</si>
  <si>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</si>
  <si>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</si>
  <si>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</si>
  <si>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</si>
  <si>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</si>
  <si>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</si>
  <si>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</si>
  <si>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</si>
  <si>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</si>
  <si>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</si>
  <si>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</si>
  <si>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</si>
  <si>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</si>
  <si>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</si>
  <si>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</si>
  <si>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</si>
  <si>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</si>
  <si>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</si>
  <si>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</si>
  <si>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</si>
  <si>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</si>
  <si>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</si>
  <si>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</si>
  <si>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</si>
  <si>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</si>
  <si>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</si>
  <si>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</si>
  <si>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</si>
  <si>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</si>
  <si>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</si>
  <si>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</si>
  <si>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</si>
  <si>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</si>
  <si>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</si>
  <si>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</si>
  <si>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</si>
  <si>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</si>
  <si>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</si>
  <si>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</si>
  <si>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</si>
  <si>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</si>
  <si>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</si>
  <si>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</si>
  <si>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</si>
  <si>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</si>
  <si>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</si>
  <si>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</si>
  <si>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</si>
  <si>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</si>
  <si>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</si>
  <si>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</si>
  <si>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</si>
  <si>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</si>
  <si>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</si>
  <si>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</si>
  <si>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</si>
  <si>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</si>
  <si>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</si>
  <si>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</si>
  <si>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</si>
  <si>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</si>
  <si>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</si>
  <si>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</si>
  <si>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</si>
  <si>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</si>
  <si>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</si>
  <si>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</si>
  <si>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</si>
  <si>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</si>
  <si>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</si>
  <si>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</si>
  <si>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</si>
  <si>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</si>
  <si>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</si>
  <si>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</si>
  <si>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</si>
  <si>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</si>
  <si>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</si>
  <si>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</si>
  <si>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</si>
  <si>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</si>
  <si>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</si>
  <si>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</si>
  <si>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</si>
  <si>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</si>
  <si>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</si>
  <si>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</si>
  <si>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</si>
  <si>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</si>
  <si>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</si>
  <si>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</si>
  <si>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</si>
  <si>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</si>
  <si>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</si>
  <si>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</si>
  <si>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</si>
  <si>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</si>
  <si>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</si>
  <si>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</si>
  <si>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</si>
  <si>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</si>
  <si>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</si>
  <si>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</si>
  <si>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</si>
  <si>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</si>
  <si>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</si>
  <si>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</si>
  <si>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</si>
  <si>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</si>
  <si>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</si>
  <si>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</si>
  <si>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</si>
  <si>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</si>
  <si>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</si>
  <si>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</si>
  <si>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</si>
  <si>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</si>
  <si>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</si>
  <si>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</si>
  <si>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</si>
  <si>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</si>
  <si>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</si>
  <si>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</si>
  <si>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</si>
  <si>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</si>
  <si>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</si>
  <si>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</si>
  <si>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</si>
  <si>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</si>
  <si>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</si>
  <si>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</si>
  <si>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</si>
  <si>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</si>
  <si>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</si>
  <si>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</si>
  <si>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</si>
  <si>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</si>
  <si>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</si>
  <si>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</si>
  <si>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</si>
  <si>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</si>
  <si>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</si>
  <si>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</si>
  <si>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</si>
  <si>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</si>
  <si>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</si>
  <si>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</si>
  <si>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</si>
  <si>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</si>
  <si>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</si>
  <si>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</si>
  <si>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</si>
  <si>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</si>
  <si>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</si>
  <si>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</si>
  <si>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</si>
  <si>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</si>
  <si>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</si>
  <si>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</si>
  <si>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</si>
  <si>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</si>
  <si>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</si>
  <si>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</si>
  <si>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</si>
  <si>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</si>
  <si>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</si>
  <si>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</si>
  <si>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</si>
  <si>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</si>
  <si>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</si>
  <si>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</si>
  <si>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</si>
  <si>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</si>
  <si>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</si>
  <si>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</si>
  <si>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</si>
  <si>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</si>
  <si>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</si>
  <si>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</si>
  <si>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</si>
  <si>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</si>
  <si>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</si>
  <si>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</si>
  <si>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</si>
  <si>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</si>
  <si>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</si>
  <si>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</si>
  <si>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</si>
  <si>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</si>
  <si>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</si>
  <si>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</si>
  <si>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</si>
  <si>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</si>
  <si>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</si>
  <si>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</si>
  <si>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</si>
  <si>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</si>
  <si>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</si>
  <si>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</si>
  <si>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</si>
  <si>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</si>
  <si>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</si>
  <si>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</si>
  <si>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</si>
  <si>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</si>
  <si>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</si>
  <si>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</si>
  <si>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</si>
  <si>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</si>
  <si>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</si>
  <si>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</si>
  <si>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</si>
  <si>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</si>
  <si>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</si>
  <si>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</si>
  <si>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</si>
  <si>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</si>
  <si>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</si>
  <si>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</si>
  <si>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</si>
  <si>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</si>
  <si>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</si>
  <si>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</si>
  <si>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</si>
  <si>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</si>
  <si>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</si>
  <si>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</si>
  <si>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</si>
  <si>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</si>
  <si>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</si>
  <si>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</si>
  <si>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</si>
  <si>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</si>
  <si>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</si>
  <si>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</si>
  <si>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</si>
  <si>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</si>
  <si>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</si>
  <si>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</si>
  <si>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</si>
  <si>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</si>
  <si>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</si>
  <si>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</si>
  <si>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</si>
  <si>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</si>
  <si>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</si>
  <si>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</si>
  <si>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</si>
  <si>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</si>
  <si>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</si>
  <si>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</si>
  <si>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</si>
  <si>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</si>
  <si>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</si>
  <si>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</si>
  <si>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</si>
  <si>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</si>
  <si>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</si>
  <si>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</si>
  <si>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</si>
  <si>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</si>
  <si>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</si>
  <si>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</si>
  <si>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</si>
  <si>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</si>
  <si>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</si>
  <si>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</si>
  <si>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</si>
  <si>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</si>
  <si>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</si>
  <si>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</si>
  <si>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</si>
  <si>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</si>
  <si>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</si>
  <si>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</si>
  <si>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</si>
  <si>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</si>
  <si>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</si>
  <si>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</si>
  <si>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</si>
  <si>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</si>
  <si>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</si>
  <si>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</si>
  <si>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</si>
  <si>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</si>
  <si>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</si>
  <si>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</si>
  <si>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</si>
  <si>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</si>
  <si>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</si>
  <si>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</si>
  <si>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</si>
  <si>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</si>
  <si>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</si>
  <si>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</si>
  <si>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</si>
  <si>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</si>
  <si>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</si>
  <si>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</si>
  <si>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</si>
  <si>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</si>
  <si>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</si>
  <si>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</si>
  <si>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</si>
  <si>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</si>
  <si>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</si>
  <si>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</si>
  <si>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</si>
  <si>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</si>
  <si>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</si>
  <si>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</si>
  <si>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</si>
  <si>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</si>
  <si>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</si>
  <si>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</si>
  <si>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</si>
  <si>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</si>
  <si>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</si>
  <si>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</si>
  <si>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</si>
  <si>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</si>
  <si>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</si>
  <si>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</si>
  <si>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</si>
  <si>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</si>
  <si>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</si>
  <si>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</si>
  <si>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</si>
  <si>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</si>
  <si>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</si>
  <si>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</si>
  <si>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</si>
  <si>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</si>
  <si>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</si>
  <si>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</si>
  <si>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</si>
  <si>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</si>
  <si>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</si>
  <si>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</si>
  <si>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</si>
  <si>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</si>
  <si>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</si>
  <si>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</si>
  <si>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</si>
  <si>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</si>
  <si>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</si>
  <si>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</si>
  <si>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</si>
  <si>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</si>
  <si>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</si>
  <si>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</si>
  <si>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</si>
  <si>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</si>
  <si>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</si>
  <si>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</si>
  <si>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</si>
  <si>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</si>
  <si>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</si>
  <si>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</si>
  <si>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</si>
  <si>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</si>
  <si>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</si>
  <si>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</si>
  <si>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</si>
  <si>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</si>
  <si>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</si>
  <si>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</si>
  <si>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</si>
  <si>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</si>
  <si>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</si>
  <si>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</si>
  <si>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</si>
  <si>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</si>
  <si>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</si>
  <si>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</si>
  <si>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</si>
  <si>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</si>
  <si>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</si>
  <si>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</si>
  <si>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</si>
  <si>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</si>
  <si>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</si>
  <si>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</si>
  <si>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</si>
  <si>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</si>
  <si>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</si>
  <si>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</si>
  <si>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</si>
  <si>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</si>
  <si>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</si>
  <si>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</si>
  <si>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</si>
  <si>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</si>
  <si>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</si>
  <si>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</si>
  <si>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</si>
  <si>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</si>
  <si>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</si>
  <si>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</si>
  <si>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</si>
  <si>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</si>
  <si>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</si>
  <si>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</si>
  <si>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</si>
  <si>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</si>
  <si>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</si>
  <si>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</si>
  <si>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</si>
  <si>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</si>
  <si>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</si>
  <si>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</si>
  <si>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</si>
  <si>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</si>
  <si>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</si>
  <si>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</si>
  <si>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</si>
  <si>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</si>
  <si>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</si>
  <si>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</si>
  <si>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</si>
  <si>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</si>
  <si>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</si>
  <si>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</si>
  <si>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</si>
  <si>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</si>
  <si>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</si>
  <si>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</si>
  <si>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</si>
  <si>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</si>
  <si>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</si>
  <si>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</si>
  <si>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</si>
  <si>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</si>
  <si>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</si>
  <si>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</si>
  <si>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</si>
  <si>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</si>
  <si>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</si>
  <si>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</si>
  <si>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</si>
  <si>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</si>
  <si>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</si>
  <si>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</si>
  <si>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</si>
  <si>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</si>
  <si>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</si>
  <si>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</si>
  <si>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</si>
  <si>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</si>
  <si>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</si>
  <si>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</si>
  <si>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</si>
  <si>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</si>
  <si>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</si>
  <si>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</si>
  <si>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</si>
  <si>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</si>
  <si>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</si>
  <si>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</si>
  <si>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</si>
  <si>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</si>
  <si>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</si>
  <si>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</si>
  <si>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</si>
  <si>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</si>
  <si>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</si>
  <si>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</si>
  <si>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</si>
  <si>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</si>
  <si>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</si>
  <si>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</si>
  <si>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</si>
  <si>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</si>
  <si>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</si>
  <si>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</si>
  <si>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</si>
  <si>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</si>
  <si>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</si>
  <si>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</si>
  <si>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</si>
  <si>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</si>
  <si>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</si>
  <si>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</si>
  <si>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</si>
  <si>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</si>
  <si>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</si>
  <si>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</si>
  <si>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</si>
  <si>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</si>
  <si>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</si>
  <si>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</si>
  <si>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</si>
  <si>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</si>
  <si>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</si>
  <si>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</si>
  <si>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</si>
  <si>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</si>
  <si>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</si>
  <si>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</si>
  <si>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</si>
  <si>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</si>
  <si>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</si>
  <si>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</si>
  <si>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</si>
  <si>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</si>
  <si>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</si>
  <si>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</si>
  <si>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</si>
  <si>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</si>
  <si>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</si>
  <si>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</si>
  <si>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</si>
  <si>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</si>
  <si>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</si>
  <si>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</si>
  <si>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</si>
  <si>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</si>
  <si>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</si>
  <si>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</si>
  <si>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</si>
  <si>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</si>
  <si>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</si>
  <si>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</si>
  <si>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</si>
  <si>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</si>
  <si>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</si>
  <si>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</si>
  <si>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</si>
  <si>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</si>
  <si>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</si>
  <si>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</si>
  <si>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</si>
  <si>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</si>
  <si>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</si>
  <si>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</si>
  <si>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</si>
  <si>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</si>
  <si>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</si>
  <si>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</si>
  <si>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</si>
  <si>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</si>
  <si>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</si>
  <si>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</si>
  <si>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</si>
  <si>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</si>
  <si>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</si>
  <si>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</si>
  <si>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</si>
  <si>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</si>
  <si>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</si>
  <si>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</si>
  <si>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</si>
  <si>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</si>
  <si>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</si>
  <si>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</si>
  <si>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</si>
  <si>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</si>
  <si>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</si>
  <si>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</si>
  <si>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</si>
  <si>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</si>
  <si>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</si>
  <si>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</si>
  <si>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</si>
  <si>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</si>
  <si>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</si>
  <si>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</si>
  <si>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</si>
  <si>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</si>
  <si>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</si>
  <si>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</si>
  <si>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</si>
  <si>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</si>
  <si>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</si>
  <si>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</si>
  <si>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</si>
  <si>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</si>
  <si>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</si>
  <si>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</si>
  <si>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</si>
  <si>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</si>
  <si>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</si>
  <si>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</si>
  <si>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</si>
  <si>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</si>
  <si>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</si>
  <si>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</si>
  <si>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</si>
  <si>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</si>
  <si>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</si>
  <si>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</si>
  <si>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</si>
  <si>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</si>
  <si>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</si>
  <si>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</si>
  <si>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</si>
  <si>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</si>
  <si>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</si>
  <si>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</si>
  <si>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</si>
  <si>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</si>
  <si>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</si>
  <si>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</si>
  <si>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</si>
  <si>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</si>
  <si>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</si>
  <si>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</si>
  <si>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</si>
  <si>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</si>
  <si>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</si>
  <si>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</si>
  <si>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</si>
  <si>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</si>
  <si>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</si>
  <si>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</si>
  <si>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</si>
  <si>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</si>
  <si>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</si>
  <si>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</si>
  <si>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</si>
  <si>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</si>
  <si>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</si>
  <si>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</si>
  <si>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</si>
  <si>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</si>
  <si>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</si>
  <si>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</si>
  <si>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</si>
  <si>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</si>
  <si>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</si>
  <si>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</si>
  <si>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</si>
  <si>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</si>
  <si>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</si>
  <si>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</si>
  <si>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</si>
  <si>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</si>
  <si>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</si>
  <si>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</si>
  <si>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</si>
  <si>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</si>
  <si>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</si>
  <si>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</si>
  <si>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</si>
  <si>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</si>
  <si>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</si>
  <si>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</si>
  <si>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</si>
  <si>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</si>
  <si>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</si>
  <si>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</si>
  <si>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</si>
  <si>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</si>
  <si>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</si>
  <si>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</si>
  <si>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</si>
  <si>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</si>
  <si>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</si>
  <si>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</si>
  <si>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</si>
  <si>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</si>
  <si>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</si>
  <si>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</si>
  <si>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</si>
  <si>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</si>
  <si>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</si>
  <si>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</si>
  <si>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</si>
  <si>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</si>
  <si>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</si>
  <si>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</si>
  <si>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</si>
  <si>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</si>
  <si>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</si>
  <si>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</si>
  <si>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</si>
  <si>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</si>
  <si>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</si>
  <si>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</si>
  <si>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</si>
  <si>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</si>
  <si>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</si>
  <si>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</si>
  <si>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</si>
  <si>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</si>
  <si>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</si>
  <si>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</si>
  <si>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</si>
  <si>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</si>
  <si>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</si>
  <si>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</si>
  <si>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</si>
  <si>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</si>
  <si>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</si>
  <si>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</si>
  <si>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</si>
  <si>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</si>
  <si>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</si>
  <si>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</si>
  <si>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</si>
  <si>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</si>
  <si>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</si>
  <si>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</si>
  <si>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</si>
  <si>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</si>
  <si>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</si>
  <si>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</si>
  <si>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</si>
  <si>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</si>
  <si>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</si>
  <si>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</si>
  <si>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</si>
  <si>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</si>
  <si>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</si>
  <si>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</si>
  <si>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</si>
  <si>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</si>
  <si>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</si>
  <si>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</si>
  <si>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</si>
  <si>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</si>
  <si>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</si>
  <si>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</si>
  <si>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</si>
  <si>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</si>
  <si>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</si>
  <si>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</si>
  <si>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</si>
  <si>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</si>
  <si>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</si>
  <si>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</si>
  <si>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</si>
  <si>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</si>
  <si>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</si>
  <si>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</si>
  <si>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</si>
  <si>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</si>
  <si>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</si>
  <si>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</si>
  <si>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</si>
  <si>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</si>
  <si>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</si>
  <si>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</si>
  <si>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</si>
  <si>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</si>
  <si>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</si>
  <si>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</si>
  <si>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</si>
  <si>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</si>
  <si>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</si>
  <si>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</si>
  <si>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</si>
  <si>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</si>
  <si>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</si>
  <si>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</si>
  <si>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</si>
  <si>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</si>
  <si>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</si>
  <si>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</si>
  <si>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</si>
  <si>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</si>
  <si>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</si>
  <si>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</si>
  <si>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</si>
  <si>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</si>
  <si>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</si>
  <si>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</si>
  <si>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</si>
  <si>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</si>
  <si>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</si>
  <si>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</si>
  <si>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</si>
  <si>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</si>
  <si>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</si>
  <si>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</si>
  <si>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</si>
  <si>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</si>
  <si>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</si>
  <si>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</si>
  <si>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</si>
  <si>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</si>
  <si>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</si>
  <si>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</si>
  <si>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</si>
  <si>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</si>
  <si>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</si>
  <si>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</si>
  <si>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</si>
  <si>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</si>
  <si>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</si>
  <si>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</si>
  <si>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</si>
  <si>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</si>
  <si>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</si>
  <si>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</si>
  <si>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</si>
  <si>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</si>
  <si>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</si>
  <si>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</si>
  <si>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</si>
  <si>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</si>
  <si>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</si>
  <si>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</si>
  <si>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</si>
  <si>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</si>
  <si>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</si>
  <si>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</si>
  <si>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</si>
  <si>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</si>
  <si>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</si>
  <si>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</si>
  <si>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</si>
  <si>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</si>
  <si>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</si>
  <si>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</si>
  <si>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</si>
  <si>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</si>
  <si>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</si>
  <si>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</si>
  <si>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</si>
  <si>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</si>
  <si>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</si>
  <si>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</si>
  <si>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</si>
  <si>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</si>
  <si>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</si>
  <si>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</si>
  <si>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</si>
  <si>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</si>
  <si>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</si>
  <si>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</si>
  <si>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</si>
  <si>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</si>
  <si>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</si>
  <si>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</si>
  <si>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</si>
  <si>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</si>
  <si>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</si>
  <si>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</si>
  <si>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</si>
  <si>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</si>
  <si>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</si>
  <si>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</si>
  <si>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</si>
  <si>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</si>
  <si>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</si>
  <si>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</si>
  <si>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</si>
  <si>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</si>
  <si>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</si>
  <si>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</si>
  <si>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</si>
  <si>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</si>
  <si>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</si>
  <si>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</si>
  <si>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</si>
  <si>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</si>
  <si>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</si>
  <si>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</si>
  <si>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</si>
  <si>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</si>
  <si>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</si>
  <si>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</si>
  <si>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</si>
  <si>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</si>
  <si>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</si>
  <si>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</si>
  <si>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</si>
  <si>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</si>
  <si>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</si>
  <si>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</si>
  <si>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</si>
  <si>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</si>
  <si>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</si>
  <si>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</si>
  <si>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</si>
  <si>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</si>
  <si>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</si>
  <si>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</si>
  <si>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</si>
  <si>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</si>
  <si>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</si>
  <si>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</si>
  <si>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</si>
  <si>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</si>
  <si>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</si>
  <si>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</si>
  <si>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</si>
  <si>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</si>
  <si>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</si>
  <si>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</si>
  <si>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</si>
  <si>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</si>
  <si>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</si>
  <si>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</si>
  <si>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</si>
  <si>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</si>
  <si>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</si>
  <si>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</si>
  <si>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</si>
  <si>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</si>
  <si>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</si>
  <si>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</si>
  <si>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</si>
  <si>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</si>
  <si>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</si>
  <si>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</si>
  <si>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</si>
  <si>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</si>
  <si>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</si>
  <si>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</si>
  <si>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</si>
  <si>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</si>
  <si>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</si>
  <si>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</si>
  <si>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</si>
  <si>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</si>
  <si>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</si>
  <si>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</si>
  <si>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</si>
  <si>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</si>
  <si>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</si>
  <si>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</si>
  <si>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</si>
  <si>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</si>
  <si>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</si>
  <si>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</si>
  <si>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</si>
  <si>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</si>
  <si>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</si>
  <si>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</si>
  <si>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</si>
  <si>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</si>
  <si>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</si>
  <si>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</si>
  <si>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</si>
  <si>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</si>
  <si>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</si>
  <si>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</si>
  <si>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</si>
  <si>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</si>
  <si>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</si>
  <si>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</si>
  <si>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</si>
  <si>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</si>
  <si>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</si>
  <si>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</si>
  <si>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</si>
  <si>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</si>
  <si>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</si>
  <si>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</si>
  <si>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</si>
  <si>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</si>
  <si>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</si>
  <si>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</si>
  <si>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</si>
  <si>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</si>
  <si>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</si>
  <si>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</si>
  <si>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</si>
  <si>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</si>
  <si>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</si>
  <si>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</si>
  <si>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</si>
  <si>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</si>
  <si>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</si>
  <si>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</si>
  <si>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</si>
  <si>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</si>
  <si>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</si>
  <si>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</si>
  <si>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</si>
  <si>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</si>
  <si>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</si>
  <si>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</si>
  <si>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</si>
  <si>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</si>
  <si>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</si>
  <si>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</si>
  <si>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</si>
  <si>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</si>
  <si>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</si>
  <si>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</si>
  <si>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</si>
  <si>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</si>
  <si>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</si>
  <si>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</si>
  <si>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</si>
  <si>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</si>
  <si>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</si>
  <si>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</si>
  <si>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</si>
  <si>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</si>
  <si>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</si>
  <si>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</si>
  <si>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</si>
  <si>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</si>
  <si>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</si>
  <si>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</si>
  <si>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</si>
  <si>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</si>
  <si>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</si>
  <si>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</si>
  <si>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</si>
  <si>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</si>
  <si>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</si>
  <si>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</si>
  <si>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</si>
  <si>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</si>
  <si>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</si>
  <si>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</si>
  <si>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</si>
  <si>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</si>
  <si>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</si>
  <si>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</si>
  <si>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</si>
  <si>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</si>
  <si>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</si>
  <si>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</si>
  <si>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</si>
  <si>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</si>
  <si>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</si>
  <si>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</si>
  <si>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</si>
  <si>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</si>
  <si>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</si>
  <si>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</si>
  <si>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</si>
  <si>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</si>
  <si>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</si>
  <si>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</si>
  <si>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</si>
  <si>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</si>
  <si>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</si>
  <si>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</si>
  <si>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</si>
  <si>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</si>
  <si>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</si>
  <si>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</si>
  <si>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</si>
  <si>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</si>
  <si>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</si>
  <si>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</si>
  <si>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</si>
  <si>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</si>
  <si>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</si>
  <si>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</si>
  <si>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</si>
  <si>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</si>
  <si>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</si>
  <si>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</si>
  <si>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</si>
  <si>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</si>
  <si>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</si>
  <si>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</si>
  <si>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</si>
  <si>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</si>
  <si>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</si>
  <si>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</si>
  <si>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</si>
  <si>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</si>
  <si>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</si>
  <si>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</si>
  <si>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</si>
  <si>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</si>
  <si>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</si>
  <si>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</si>
  <si>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</si>
  <si>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</si>
  <si>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</si>
  <si>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</si>
  <si>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</si>
  <si>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</si>
  <si>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</si>
  <si>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</si>
  <si>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</si>
  <si>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</si>
  <si>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</si>
  <si>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</si>
  <si>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</si>
  <si>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</si>
  <si>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</si>
  <si>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</si>
  <si>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</si>
  <si>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</si>
  <si>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</si>
  <si>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</si>
  <si>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</si>
  <si>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</si>
  <si>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</si>
  <si>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</si>
  <si>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</si>
  <si>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</si>
  <si>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</si>
  <si>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</si>
  <si>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</si>
  <si>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</si>
  <si>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</si>
  <si>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</si>
  <si>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</si>
  <si>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</si>
  <si>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</si>
  <si>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</si>
  <si>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</si>
  <si>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</si>
  <si>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</si>
  <si>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</si>
  <si>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</si>
  <si>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</si>
  <si>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</si>
  <si>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</si>
  <si>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</si>
  <si>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</si>
  <si>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</si>
  <si>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</si>
  <si>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</si>
  <si>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</si>
  <si>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</si>
  <si>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</si>
  <si>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</si>
  <si>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</si>
  <si>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</si>
  <si>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</si>
  <si>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</si>
  <si>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</si>
  <si>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</si>
  <si>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</si>
  <si>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</si>
  <si>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</si>
  <si>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</si>
  <si>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</si>
  <si>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</si>
  <si>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</si>
  <si>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</si>
  <si>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</si>
  <si>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</si>
  <si>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</si>
  <si>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</si>
  <si>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</si>
  <si>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</si>
  <si>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</si>
  <si>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</si>
  <si>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</si>
  <si>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</si>
  <si>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</si>
  <si>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</si>
  <si>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</si>
  <si>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</si>
  <si>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</si>
  <si>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</si>
  <si>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</si>
  <si>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</si>
  <si>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</si>
  <si>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</si>
  <si>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</si>
  <si>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</si>
  <si>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</si>
  <si>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</si>
  <si>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</si>
  <si>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</si>
  <si>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</si>
  <si>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</si>
  <si>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</si>
  <si>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</si>
  <si>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</si>
  <si>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</si>
  <si>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</si>
  <si>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</si>
  <si>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</si>
  <si>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</si>
  <si>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</si>
  <si>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</si>
  <si>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</si>
  <si>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</si>
  <si>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</si>
  <si>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</si>
  <si>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</si>
  <si>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</si>
  <si>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</si>
  <si>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</si>
  <si>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</si>
  <si>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</si>
  <si>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</si>
  <si>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</si>
  <si>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</si>
  <si>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</si>
  <si>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</si>
  <si>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</si>
  <si>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</si>
  <si>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</si>
  <si>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</si>
  <si>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</si>
  <si>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</si>
  <si>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</si>
  <si>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</si>
  <si>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</si>
  <si>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</si>
  <si>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</si>
  <si>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</si>
  <si>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</si>
  <si>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</si>
  <si>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</si>
  <si>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</si>
  <si>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</si>
  <si>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</si>
  <si>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</si>
  <si>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</si>
  <si>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</si>
  <si>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</si>
  <si>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</si>
  <si>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</si>
  <si>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</si>
  <si>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</si>
  <si>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</si>
  <si>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</si>
  <si>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</si>
  <si>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</si>
  <si>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</si>
  <si>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</si>
  <si>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</si>
  <si>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</si>
  <si>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</si>
  <si>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</si>
  <si>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</si>
  <si>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</si>
  <si>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</si>
  <si>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</si>
  <si>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</si>
  <si>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</si>
  <si>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</si>
  <si>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</si>
  <si>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</si>
  <si>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</si>
  <si>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</si>
  <si>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</si>
  <si>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</si>
  <si>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</si>
  <si>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</si>
  <si>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</si>
  <si>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</si>
  <si>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</si>
  <si>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</si>
  <si>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</si>
  <si>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</si>
  <si>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</si>
  <si>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</si>
  <si>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</si>
  <si>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</si>
  <si>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</si>
  <si>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</si>
  <si>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</si>
  <si>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</si>
  <si>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</si>
  <si>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</si>
  <si>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</si>
  <si>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</si>
  <si>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</si>
  <si>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</si>
  <si>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</si>
  <si>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</si>
  <si>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</si>
  <si>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</si>
  <si>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</si>
  <si>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</si>
  <si>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</si>
  <si>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</si>
  <si>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</si>
  <si>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</si>
  <si>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</si>
  <si>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</si>
  <si>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</si>
  <si>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</si>
  <si>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</si>
  <si>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</si>
  <si>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</si>
  <si>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</si>
  <si>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</si>
  <si>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</si>
  <si>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</si>
  <si>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</si>
  <si>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</si>
  <si>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</si>
  <si>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</si>
  <si>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</si>
  <si>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</si>
  <si>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</si>
  <si>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</si>
  <si>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</si>
  <si>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</si>
  <si>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</si>
  <si>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</si>
  <si>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</si>
  <si>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</si>
  <si>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</si>
  <si>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</si>
  <si>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</si>
  <si>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</si>
  <si>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</si>
  <si>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</si>
  <si>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</si>
  <si>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</si>
  <si>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</si>
  <si>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</si>
  <si>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</si>
  <si>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</si>
  <si>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</si>
  <si>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</si>
  <si>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</si>
  <si>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</si>
  <si>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</si>
  <si>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</si>
  <si>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</si>
  <si>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</si>
  <si>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</si>
  <si>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</si>
  <si>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</si>
  <si>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</si>
  <si>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</si>
  <si>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</si>
  <si>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</si>
  <si>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</si>
  <si>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</si>
  <si>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</si>
  <si>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</si>
  <si>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</si>
  <si>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</si>
  <si>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</si>
  <si>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</si>
  <si>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</si>
  <si>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</si>
  <si>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</si>
  <si>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</si>
  <si>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</si>
  <si>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</si>
  <si>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</si>
  <si>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</si>
  <si>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</si>
  <si>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</si>
  <si>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</si>
  <si>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</si>
  <si>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</si>
  <si>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</si>
  <si>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</si>
  <si>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</si>
  <si>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</si>
  <si>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</si>
  <si>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</si>
  <si>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</si>
  <si>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</si>
  <si>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</si>
  <si>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</si>
  <si>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</si>
  <si>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</si>
  <si>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</si>
  <si>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</si>
  <si>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</si>
  <si>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</si>
  <si>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</si>
  <si>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</si>
  <si>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</si>
  <si>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</si>
  <si>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</si>
  <si>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</si>
  <si>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</si>
  <si>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</si>
  <si>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</si>
  <si>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</si>
  <si>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</si>
  <si>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</si>
  <si>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</si>
  <si>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</si>
  <si>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2016PA-006</t>
  </si>
  <si>
    <t>Jay Ronca</t>
  </si>
  <si>
    <t>Vice President of GP &amp; Developer</t>
  </si>
  <si>
    <t>1544 S. Main Street</t>
  </si>
  <si>
    <t>Fyffe</t>
  </si>
  <si>
    <t>jronca@thevantagegroup.biz</t>
  </si>
  <si>
    <t>The Preserve at Newport</t>
  </si>
  <si>
    <t>Parcel# 107-017</t>
  </si>
  <si>
    <t>1491 GA Hwy 40 E</t>
  </si>
  <si>
    <t>104.01</t>
  </si>
  <si>
    <t>Within City Limits</t>
  </si>
  <si>
    <t>City of Kingsland</t>
  </si>
  <si>
    <t>www.kingslandgeorgia.com</t>
  </si>
  <si>
    <t>Kenneth E. Smith, Sr.</t>
  </si>
  <si>
    <t>Mayor</t>
  </si>
  <si>
    <t>107 S. Lee Street</t>
  </si>
  <si>
    <t>mayor@kingslandgeorgia.com</t>
  </si>
  <si>
    <t>1 The Preserve at Newport, LP</t>
  </si>
  <si>
    <t>2 Vantage Partners 2016 GA, LLC</t>
  </si>
  <si>
    <t>3 The Vantage Group, LLC</t>
  </si>
  <si>
    <t>4 Barron Group, Inc</t>
  </si>
  <si>
    <t>5 Vantage Development, LLC</t>
  </si>
  <si>
    <t>6 Lowell R. Barron II</t>
  </si>
  <si>
    <t>Direct</t>
  </si>
  <si>
    <t>Indirect</t>
  </si>
  <si>
    <t>Both</t>
  </si>
  <si>
    <t>The Preserve at Newport, LP</t>
  </si>
  <si>
    <t>Lowell R. Barron II</t>
  </si>
  <si>
    <t>President of GP</t>
  </si>
  <si>
    <t>To Be Applied For</t>
  </si>
  <si>
    <t>For Profit</t>
  </si>
  <si>
    <t>lbarron@thevantagegroup.biz</t>
  </si>
  <si>
    <t>Vantage Partners 2016 GA, LLC</t>
  </si>
  <si>
    <t>President</t>
  </si>
  <si>
    <t>To Be Determined - 42 Equity Partners</t>
  </si>
  <si>
    <t>Michael Haynes</t>
  </si>
  <si>
    <t>2660 EastChase Lane, Suite 100</t>
  </si>
  <si>
    <t>Managing Director</t>
  </si>
  <si>
    <t>www.42equity.com</t>
  </si>
  <si>
    <t>m.haynes@42equity.com</t>
  </si>
  <si>
    <t>Vantage Development, LLC</t>
  </si>
  <si>
    <t>www.thevantagegroup.biz</t>
  </si>
  <si>
    <t>Fyffe Construction Company, Inc.</t>
  </si>
  <si>
    <t xml:space="preserve">Fyffe  </t>
  </si>
  <si>
    <t>www.fyffeconstruction.com</t>
  </si>
  <si>
    <t>Vantage Management, LLC</t>
  </si>
  <si>
    <t>Balch &amp; Bingham, LLP</t>
  </si>
  <si>
    <t>Matt Aiken</t>
  </si>
  <si>
    <t>1901 Sixth Avenue North</t>
  </si>
  <si>
    <t>Partner</t>
  </si>
  <si>
    <t>Birmingham</t>
  </si>
  <si>
    <t>www.balch.com</t>
  </si>
  <si>
    <t>maiken@balch.com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</si>
  <si>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</si>
  <si>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</si>
  <si>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</si>
  <si>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</si>
  <si>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</si>
  <si>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</si>
  <si>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</si>
  <si>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</si>
  <si>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</si>
  <si>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</si>
  <si>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</si>
  <si>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www.wallacearchitects.com</t>
  </si>
  <si>
    <t>mikek@wallacearchitects.com</t>
  </si>
  <si>
    <t>Olin Wooten</t>
  </si>
  <si>
    <t>Vantage Development, LLC and Fyffe Construction Company, Inc. are both owned by Lowell R. Barron II</t>
  </si>
  <si>
    <t>Lowell R. Barron II is the President of the Managing GP and the Principal of Fyffe Construction Company, Inc.</t>
  </si>
  <si>
    <t>Vantage Management, LLC is also owned by Lowell R. Barron II</t>
  </si>
  <si>
    <t>DCA HOME Loan</t>
  </si>
  <si>
    <t>Perm Insurance</t>
  </si>
  <si>
    <t>2015 HUD Utility Model</t>
  </si>
  <si>
    <t>2-Story Walkup</t>
  </si>
  <si>
    <t>Electric Heat Pump</t>
  </si>
  <si>
    <t>The owner has agreed to pay trash; therefore, it is not listed in the allowance schedule above. As this development is requesting HOME funds, we have used the HUD utility model per the QAP requirements for HOME Applications. The HUD model, including all backup documentation is included in Tab 01: Feasibility.</t>
  </si>
  <si>
    <t>Floating</t>
  </si>
  <si>
    <t>Other (Business License)</t>
  </si>
  <si>
    <t>Other (DCA Compliance Fee)</t>
  </si>
  <si>
    <t>Other-Unit/CB Cleaning</t>
  </si>
  <si>
    <t>Please Note: Taxes and Insurance methodology is located in Tab 1: Feasibility.</t>
  </si>
  <si>
    <t>There are no commitments that are "Under Consideration." All Commitments are firm.</t>
  </si>
  <si>
    <t>The project is a 2-story walkup.</t>
  </si>
  <si>
    <t>The proposed development consists of 72 units targeting families.</t>
  </si>
  <si>
    <t>Movie Night</t>
  </si>
  <si>
    <t>Household Safety Classes</t>
  </si>
  <si>
    <t>Agree</t>
  </si>
  <si>
    <t>The managing agent will provide one onsite Social/Recreational program in the way of movie night and one Enrichment Class in the way of household safety classes on a monthly basis.  All activities to be overseen by the property manager.</t>
  </si>
  <si>
    <t>John Wall and Associates</t>
  </si>
  <si>
    <t>United Consulting</t>
  </si>
  <si>
    <t>Harry Walls Environmental Consulting</t>
  </si>
  <si>
    <t>Non-minority</t>
  </si>
  <si>
    <t>104.02, 105, 106.01, 104.03, 103.01, 103.02</t>
  </si>
  <si>
    <t>Contract/Option</t>
  </si>
  <si>
    <t>The project property is zoned C-2, which allows for Multi-Family housing as evidenced by the zoning letter in Tab 10.</t>
  </si>
  <si>
    <t>Georgia Power</t>
  </si>
  <si>
    <t>The project will not be using gas as a utility; everything is electric.</t>
  </si>
  <si>
    <t>Tribune &amp; Georgian</t>
  </si>
  <si>
    <t>Covered Porch</t>
  </si>
  <si>
    <t>On-site laundry</t>
  </si>
  <si>
    <t>Playground</t>
  </si>
  <si>
    <t>Site Plan is in accordance with all DCA instructions in the Architectural Manual, including all site related amenities being shown on the Conceptual Site Development Plan.</t>
  </si>
  <si>
    <t>The project will meet or exceed the energy efficiency and sustainable building practices set forth by DCA.  In addition, all construction documentation will be clear and complete to ensure that it meets DCA requirements.</t>
  </si>
  <si>
    <t>The project will meet or exceed all Fair Housing accessibility requirements as set forth.  In addition, an approved qualified consultant(s) will be used throughout the entire project from start through final inspection, per DCA requirements.</t>
  </si>
  <si>
    <t>19 A. above is blank because the project is New Construction.</t>
  </si>
  <si>
    <t>The proposed project is a New Construction on vacant land; therefore, there will not be displacement of tenants.  The required Relocation Survey has been completed and is located in Tab 25.</t>
  </si>
  <si>
    <t>If selected the applicant agrees to adhere to the AFFH Marketing plan that meets all of the above criteria and strategies.  See Plan in Tab 7 - Other</t>
  </si>
  <si>
    <t>Camden County Public Library</t>
  </si>
  <si>
    <t>N/a</t>
  </si>
  <si>
    <t>Coastal Regional Coaches</t>
  </si>
  <si>
    <t>www.coastalregionalcoaches.com</t>
  </si>
  <si>
    <t>Earth Craft House Multifamily</t>
  </si>
  <si>
    <t>Ben Moore</t>
  </si>
  <si>
    <t>Jordan Whiteside</t>
  </si>
  <si>
    <t>Upper</t>
  </si>
  <si>
    <t>A3</t>
  </si>
  <si>
    <t>This development is in a stable community and not in a revitalization/redevelopment area.</t>
  </si>
  <si>
    <t>This project is New Construction so this section does not apply.</t>
  </si>
  <si>
    <t>Disagree</t>
  </si>
  <si>
    <t>Camden County - 620</t>
  </si>
  <si>
    <t>Sugarmill Elementary-0197</t>
  </si>
  <si>
    <t>PK thru 5</t>
  </si>
  <si>
    <t>St. Marys Middle School-0105</t>
  </si>
  <si>
    <t>6 thru 8</t>
  </si>
  <si>
    <t>Camden County High School-0295</t>
  </si>
  <si>
    <t>9 thru 12</t>
  </si>
  <si>
    <t xml:space="preserve">       The Preserve at Newport will be located on a +/-18-acre site inside the city limits of Kingsland, Georgia.  The site is convenient to numerous desirable amenities and activities. The site is surrounded by vacant land and various commercial businesses.  The Preserve at Newport will maintain the community's character and provide much needed affordable housing to the rural community.  The proposal is for 72 multi-family units comprised of 12 one-bedroom units, 40 two-bedroom units and 20 three-bedroom units.  The Preserve will provide safe, attractive, and affordable housing for low to moderate income families in the Kingsland area.
        The Preserve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mini-blinds, washer/dryer connections, patios and full kitchens with an energy efficient refrigerator, dishwasher, and stove.  Site amenities will include a covered picnic area with BBQ grills and an outdoor playground.  The Preserve plans also feature a community building that will include a management and leasing office along with a fully equipped community laundry facility.  The community building, with all of its resources, will make a great venue for the social and recreational programs hosted by the management team and staff.
        The Preserve at Newport will engage South Face of Atlanta to provide guidance and certification for the EarthCraft Multifamily Program.  The development has been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bulbs, energy heel trusses, R-13 Fiberglass insulation at exterior walls and 30-year architectural shingles.
        The development, construction and management of The Preserve at Newport will be performed by Vantage Development, LLC, Fyffe Construction Company, Inc. and Vantage Management, LLC, respectively, and all companies are owned by Lowell R. Barron, II.  By offering amiable amenities, engaging activities, and affordable rents, The Preserve at Newport will meet a critical need for the Kingsland and Camden County locale.
</t>
  </si>
  <si>
    <t xml:space="preserve">     Owner commits to the extension of the cancellation option for 5 years. We expect the placed in service date to be on or before 12/31/2018. Regardless of the actual placed in service date, the owner will extend for the 5 year period.  
     The project team for The Preserve at Newport received a pre-determination from DCA as "Qualified," there have not been changes to the project team since the pre-application was submitted.</t>
  </si>
  <si>
    <t>340 McEachin Landing Road</t>
  </si>
  <si>
    <t>ow@owacc.com</t>
  </si>
  <si>
    <t>Other-Training/Dues/Subscr</t>
  </si>
  <si>
    <t>Other (Cable/Internet)</t>
  </si>
  <si>
    <t>The site is bordered by 3 paved roads. Photos of paved roads are located in Tab 9: Site Access.</t>
  </si>
  <si>
    <t>The project is for families; therefore, Section D above is all N/A.</t>
  </si>
  <si>
    <t>This is a New Construction project; therefore, this section for Rehabilitation Does Not Apply</t>
  </si>
  <si>
    <t>No legal opinions were necessary for this proposed project.</t>
  </si>
  <si>
    <t>This development will participate in the EarthCraft Sustainable Building program.</t>
  </si>
  <si>
    <t>The last development to receive funding in the Kingsland area was in 2010.</t>
  </si>
  <si>
    <t>Vantage is submitting 2 developments, both in rural areas, but only claiming points on this application.</t>
  </si>
  <si>
    <t>This is not a designated military zone.</t>
  </si>
  <si>
    <t>Applicant agrees to use the HOME award per the required criteria.  A copy of the HOME award is included in both Tab 1 and Tab 37.</t>
  </si>
  <si>
    <t>DCA TCAP to match DCA HOME during construction</t>
  </si>
  <si>
    <t>DCA TCAP Loan</t>
  </si>
  <si>
    <t>Amortizing</t>
  </si>
  <si>
    <t>6 months</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</si>
  <si>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</si>
  <si>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</si>
  <si>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</si>
  <si>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</si>
  <si>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</si>
  <si>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Administrator is Georgia DCA</t>
  </si>
  <si>
    <t>1st year premium must be paid up-front and the development will not have funds from operations to cover the cost at that time thus it is included in the development budget.</t>
  </si>
  <si>
    <t xml:space="preserve">As evidenced in Tab 13, a public meeting was held at the local hotel. Please note that item E. above has been marked "Yes" as we have included a support letter from Jason Spencer, State Representative of District 180. </t>
  </si>
  <si>
    <t>Covered pavilion with BBQ Grills</t>
  </si>
  <si>
    <t>Funding of this development will not result in a waste of DCA resources.</t>
  </si>
  <si>
    <t>Camden Co. Fire and Rescue</t>
  </si>
  <si>
    <t>Camden Middle School</t>
  </si>
  <si>
    <t>There are no undesirable amenities near the proposed site and there are nine (9) desirable amenities within 1 mile of the proposed site.  Please note:  The conceptual site development plan in Tab 16 includes a sidewalk that will connect to existing sidewalks on Gross Road. All sidewalk construction will occur onsite therefore, no "off-site" cost or building permits were neccesary. Photos of the existing sidewalks on Gross Road have been included in Tab 27.</t>
  </si>
  <si>
    <t>Public Transportation is a call and ride. The bus will come to the community building of the development to pick up residents. All residential buildings will be accessible to the paved pedestrian walkway. All sidewalk construction will occur onsite therefore, no "off-site" cost or building permits were neccesary for item 4 above was answered "N/A". Item 5 was also answered "N/A" since the service is a call and ride there are not routes to mark.</t>
  </si>
  <si>
    <t>Per the market study included in Tab 5, the site appears to be suitable for the development. The population and household growth in the market area is significant and the demand for the development is reasonable. The average LIHTC vacancy rate is 2.5% and it is noted that the proposal would have no long term impact on existing LIHTC developments. The market analyst states that the development, as proposed, should be successful.</t>
  </si>
  <si>
    <t xml:space="preserve">According to the market study included in Tab 5, the proposed development should be successful as proposed. The overall capture rate is 10.1%. The market analyst states that the proposed bedroom mix, unit sizes, and rents are reasonable for the market. It is also noted that the subject's affordability is good from a programmatic gross rent standpoint. </t>
  </si>
  <si>
    <t>Latitude:</t>
  </si>
  <si>
    <t>Longitude:</t>
  </si>
  <si>
    <t>30.471478</t>
  </si>
  <si>
    <t>-81.382907</t>
  </si>
  <si>
    <t>Application (family or senior) meets criteria for at least one (1) pt under Sect 20 QEA?</t>
  </si>
  <si>
    <t>Property serves mixed-income tenant base (min 15% unrestricted units)?  Percent:</t>
  </si>
  <si>
    <t>Appl:</t>
  </si>
  <si>
    <t>DCA:</t>
  </si>
  <si>
    <t>May 2016 Revision v6</t>
  </si>
  <si>
    <t>Phoenix Landing</t>
  </si>
  <si>
    <t>2 The Vantage Group, LLC</t>
  </si>
  <si>
    <t>3 Barron Group, Inc.</t>
  </si>
  <si>
    <t>4 Vantage Development, LLC</t>
  </si>
  <si>
    <t>5 Lowell R. Barron, II</t>
  </si>
  <si>
    <t>1 Vantage Partners 2016 Phoenix, LLC</t>
  </si>
  <si>
    <t>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t>
  </si>
  <si>
    <t>(Part III)  Georgia DCA HOME Loan is structured as a amortizing loan with hard payments based on a 1.50 DCR, and fully amortizes out the repayment of the HOME loan in year 15.</t>
  </si>
  <si>
    <t>All commitments for the above listed financing are located in Tab 01: Feasibility.
III. Perm Financing, Georgia DCA HOME Loan is structured as a level amortizing loan with hard payments based on a 1.50 DCR, and fully amortizes out the repayment of the HOME loan in year 15.</t>
  </si>
  <si>
    <t>An appraisal is not required as there is not an identity of interest between the buyer and seller of the property; therefore, one has not been done at this time.</t>
  </si>
  <si>
    <t>SR 40 (East Kings Avenue), Saint Mary's Railroad.</t>
  </si>
  <si>
    <t>Please note that a noise assessment along with 10 year projections for the major roadway have been included within the Phase I report. Item F., Part 1) is answered no because though there are wetlands on the site, the proposed development will not disturb any of the wetlands. All required census tract documentation as it pertains to items H &amp; I above is included in Tab 7 behind the Site and Neighborhood Standards Certification.</t>
  </si>
  <si>
    <t xml:space="preserve">No identity of interest exists between Seller and Purchaser. In reference to item D. above, please note that the entity with site control, via assignment, is the applicant. </t>
  </si>
  <si>
    <t>No Waiver was requested because no waiver is needed. Water and sewer service is available to the site and the provider has capacity to serve both to the proposed development as evidenced by the letter in Tab 12.</t>
  </si>
  <si>
    <t xml:space="preserve">The project team was qualified without conditions per the qualification determination letter dated 5/11/2016. Please note that there have no been changes to the team since initial submission. We have included the requested LPA/operating agreements in Tab 20. </t>
  </si>
  <si>
    <t xml:space="preserve">All information was submitted for the pre-application qualification determination. There has not been any change since the pre-application submission. </t>
  </si>
  <si>
    <t>The Managing General Partner is not a non-profit and the development is not applying for credit under the non-profit set-aside.</t>
  </si>
  <si>
    <t>The applicant is not a CHDO nor competing under the CHDO set-aside.</t>
  </si>
  <si>
    <t>All schools in this area meet or exceed the state average.</t>
  </si>
  <si>
    <t>To Be Determined - State Tax Credit Exchange, LLC</t>
  </si>
  <si>
    <t>3414 Peachtree Road Suite 825</t>
  </si>
  <si>
    <t>www.gettaxcredits.com</t>
  </si>
  <si>
    <t>Robin Delmer</t>
  </si>
  <si>
    <t>Executive Director</t>
  </si>
  <si>
    <t>rdelmer@gettaxcredits.com</t>
  </si>
  <si>
    <t>Vantage Partners 2016 GA, LLC (General Partner), Vantage Development, LLC (Developer), Fyffe Construction Company, Inc. (General Contractor) and Vantage Management, LLC (Management Company) are all owned by Lowell R. Barron II.
There is not an extension number needed for State Tax Credit Exchange.</t>
  </si>
  <si>
    <t>TBD - 42 Equity</t>
  </si>
  <si>
    <t>TBD - State Tax Credit Ex. (Incl. 1% Fed.)</t>
  </si>
  <si>
    <t>TBD - C&amp;S Bank</t>
  </si>
  <si>
    <t>This does not meet the minimum jobs threshold.</t>
  </si>
  <si>
    <t>2016-010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</si>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</sst>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18">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4" fillId="0" borderId="0" applyNumberFormat="0" applyFill="0" applyBorder="0" applyAlignment="0" applyProtection="0"/>
    <xf numFmtId="43" fontId="135" fillId="0" borderId="0" applyFont="0" applyFill="0" applyBorder="0" applyAlignment="0" applyProtection="0"/>
    <xf numFmtId="44" fontId="31"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3" fillId="0" borderId="0"/>
    <xf numFmtId="0" fontId="3"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1" fillId="0" borderId="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1" fillId="0" borderId="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1" fillId="0" borderId="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1" fillId="0" borderId="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1" fillId="0" borderId="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1" fillId="0" borderId="0"/>
    <xf numFmtId="10" fontId="4" fillId="3" borderId="89" applyNumberFormat="0" applyBorder="0" applyAlignment="0" applyProtection="0"/>
    <xf numFmtId="10" fontId="4" fillId="3" borderId="89" applyNumberFormat="0" applyBorder="0" applyAlignment="0" applyProtection="0"/>
    <xf numFmtId="0" fontId="1" fillId="0" borderId="0"/>
    <xf numFmtId="0" fontId="1" fillId="0" borderId="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10" fontId="4" fillId="3" borderId="89" applyNumberFormat="0" applyBorder="0" applyAlignment="0" applyProtection="0"/>
    <xf numFmtId="0" fontId="5" fillId="0" borderId="85">
      <alignment horizontal="left" vertical="center"/>
    </xf>
    <xf numFmtId="0" fontId="5" fillId="0" borderId="85">
      <alignment horizontal="left" vertical="center"/>
    </xf>
    <xf numFmtId="0" fontId="5" fillId="0" borderId="85">
      <alignment horizontal="left" vertical="center"/>
    </xf>
  </cellStyleXfs>
  <cellXfs count="336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0" fontId="50" fillId="0" borderId="0" xfId="0" applyFont="1" applyAlignment="1" applyProtection="1">
      <alignment vertical="center" wrapText="1"/>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4"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19"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2" fillId="0" borderId="0" xfId="0" applyFont="1" applyFill="1" applyAlignment="1" applyProtection="1">
      <alignment vertical="center"/>
    </xf>
    <xf numFmtId="0" fontId="100"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18"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4"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50"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3"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5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7"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5"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4"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7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28" fillId="0" borderId="0" xfId="0" applyFont="1" applyProtection="1"/>
    <xf numFmtId="182" fontId="8"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1" fillId="0" borderId="0" xfId="0" applyFont="1" applyFill="1" applyBorder="1" applyProtection="1"/>
    <xf numFmtId="0" fontId="53"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5"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5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5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56" fillId="0" borderId="0" xfId="13" applyFont="1" applyAlignment="1" applyProtection="1">
      <alignment vertical="center"/>
    </xf>
    <xf numFmtId="0" fontId="9"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9"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5"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5"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5"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5"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8"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4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84" fillId="0" borderId="0" xfId="13" applyFont="1" applyProtection="1"/>
    <xf numFmtId="0" fontId="20" fillId="0" borderId="0" xfId="13" applyFont="1" applyProtection="1"/>
    <xf numFmtId="0" fontId="17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63" fillId="0" borderId="0" xfId="13" applyFont="1" applyProtection="1"/>
    <xf numFmtId="3" fontId="16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6"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11"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91" fillId="0" borderId="0" xfId="0" applyFont="1" applyProtection="1"/>
    <xf numFmtId="0" fontId="191"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38" fontId="8" fillId="0" borderId="89" xfId="0" applyNumberFormat="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38" fontId="8" fillId="0" borderId="16" xfId="0" applyNumberFormat="1" applyFont="1" applyFill="1" applyBorder="1" applyAlignment="1" applyProtection="1">
      <alignment horizontal="center" vertical="center"/>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94" fillId="0" borderId="0" xfId="0" applyFont="1" applyProtection="1"/>
    <xf numFmtId="0" fontId="105" fillId="0" borderId="0" xfId="0" applyFont="1" applyAlignment="1" applyProtection="1">
      <alignment horizontal="left"/>
    </xf>
    <xf numFmtId="0" fontId="195"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95"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96"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99" fillId="0" borderId="0" xfId="0" applyFont="1" applyFill="1" applyProtection="1"/>
    <xf numFmtId="10" fontId="118"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8"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9" fillId="0" borderId="0" xfId="0" applyFont="1" applyBorder="1" applyAlignment="1" applyProtection="1">
      <alignment vertical="top"/>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3" fillId="0" borderId="0" xfId="13" applyFont="1" applyFill="1" applyAlignment="1" applyProtection="1">
      <alignment horizontal="center" vertical="center"/>
    </xf>
    <xf numFmtId="0" fontId="50" fillId="0" borderId="0" xfId="13" applyFont="1" applyFill="1" applyAlignment="1" applyProtection="1">
      <alignment vertical="center"/>
    </xf>
    <xf numFmtId="0" fontId="50" fillId="0" borderId="0" xfId="13" applyFont="1" applyFill="1" applyBorder="1" applyAlignment="1" applyProtection="1">
      <alignment horizontal="left" vertical="center"/>
    </xf>
    <xf numFmtId="6" fontId="50" fillId="0" borderId="0" xfId="13" applyNumberFormat="1" applyFont="1" applyFill="1" applyBorder="1" applyAlignment="1" applyProtection="1">
      <alignment horizontal="center" vertical="center"/>
    </xf>
    <xf numFmtId="0" fontId="50" fillId="0" borderId="0" xfId="13" applyFont="1" applyFill="1" applyBorder="1" applyAlignment="1" applyProtection="1">
      <alignment horizontal="right" vertical="center" wrapText="1"/>
    </xf>
    <xf numFmtId="164" fontId="50" fillId="0" borderId="0" xfId="1" applyNumberFormat="1" applyFont="1" applyFill="1" applyAlignment="1" applyProtection="1">
      <alignment vertical="center"/>
    </xf>
    <xf numFmtId="0" fontId="50" fillId="0" borderId="8" xfId="13" applyFont="1" applyFill="1" applyBorder="1" applyAlignment="1" applyProtection="1">
      <alignment vertical="center"/>
    </xf>
    <xf numFmtId="164" fontId="50" fillId="0" borderId="38" xfId="1" applyNumberFormat="1" applyFont="1" applyFill="1" applyBorder="1" applyAlignment="1" applyProtection="1">
      <alignment horizontal="right" vertical="center"/>
    </xf>
    <xf numFmtId="0" fontId="59"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50" fillId="0" borderId="0" xfId="0" applyFont="1" applyFill="1" applyAlignment="1" applyProtection="1">
      <alignment horizontal="left" vertical="top" wrapText="1"/>
    </xf>
    <xf numFmtId="0" fontId="94" fillId="20" borderId="0" xfId="0" applyFont="1" applyFill="1" applyAlignment="1" applyProtection="1">
      <alignment horizontal="left" vertical="center"/>
    </xf>
    <xf numFmtId="0" fontId="11" fillId="0" borderId="40" xfId="0" applyFont="1" applyFill="1" applyBorder="1" applyProtection="1"/>
    <xf numFmtId="10" fontId="185" fillId="0" borderId="41" xfId="0" applyNumberFormat="1" applyFont="1" applyFill="1" applyBorder="1" applyAlignment="1" applyProtection="1">
      <alignment vertical="center"/>
    </xf>
    <xf numFmtId="0" fontId="11" fillId="0" borderId="42" xfId="0" applyFont="1" applyFill="1" applyBorder="1" applyProtection="1"/>
    <xf numFmtId="10" fontId="185" fillId="0" borderId="60" xfId="0" applyNumberFormat="1" applyFont="1" applyFill="1" applyBorder="1" applyAlignment="1" applyProtection="1">
      <alignment vertical="center"/>
    </xf>
    <xf numFmtId="0" fontId="53" fillId="20" borderId="0" xfId="0" applyFont="1" applyFill="1" applyProtection="1"/>
    <xf numFmtId="0" fontId="50" fillId="0" borderId="0" xfId="0" applyFont="1" applyFill="1" applyAlignment="1" applyProtection="1">
      <alignment horizontal="right" vertical="center" wrapText="1"/>
    </xf>
    <xf numFmtId="0" fontId="204" fillId="0" borderId="0" xfId="0" applyFont="1" applyFill="1" applyAlignment="1" applyProtection="1">
      <alignment horizontal="center" vertical="center" wrapText="1"/>
    </xf>
    <xf numFmtId="10" fontId="4" fillId="13" borderId="89" xfId="0" applyNumberFormat="1" applyFont="1" applyFill="1" applyBorder="1" applyAlignment="1" applyProtection="1">
      <alignment horizontal="center" vertical="top"/>
    </xf>
    <xf numFmtId="0" fontId="3" fillId="0" borderId="0" xfId="0" applyFont="1" applyAlignment="1" applyProtection="1">
      <alignment horizontal="center" vertical="center"/>
    </xf>
    <xf numFmtId="0" fontId="8" fillId="0" borderId="89" xfId="0" applyFont="1" applyFill="1" applyBorder="1" applyAlignment="1" applyProtection="1">
      <alignment horizontal="center" vertical="center"/>
    </xf>
    <xf numFmtId="0" fontId="53" fillId="0" borderId="0" xfId="0" applyFont="1" applyFill="1" applyBorder="1" applyAlignment="1" applyProtection="1">
      <alignment vertical="top" wrapText="1"/>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0" fillId="0" borderId="0" xfId="13" applyFont="1" applyFill="1" applyBorder="1" applyAlignment="1" applyProtection="1">
      <alignment vertical="center"/>
    </xf>
    <xf numFmtId="0" fontId="49"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118"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4" fillId="0" borderId="0" xfId="0" applyFont="1" applyFill="1" applyAlignment="1" applyProtection="1">
      <alignment horizontal="left" wrapText="1"/>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20" xfId="0" applyFont="1" applyFill="1" applyBorder="1" applyAlignment="1" applyProtection="1">
      <alignment horizontal="left" vertical="top" wrapText="1"/>
    </xf>
    <xf numFmtId="0" fontId="191" fillId="0" borderId="0" xfId="0" applyFont="1" applyAlignment="1" applyProtection="1">
      <alignment horizontal="center"/>
    </xf>
    <xf numFmtId="0" fontId="4" fillId="0" borderId="0" xfId="0" applyFont="1" applyFill="1" applyBorder="1" applyAlignment="1" applyProtection="1">
      <alignment horizontal="center" vertical="center" wrapText="1"/>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50" fillId="0" borderId="0" xfId="0" applyFont="1" applyAlignment="1" applyProtection="1">
      <alignment horizontal="center"/>
    </xf>
    <xf numFmtId="0" fontId="4" fillId="0" borderId="0" xfId="0" applyFont="1" applyFill="1" applyBorder="1" applyAlignment="1" applyProtection="1">
      <alignment horizontal="justify" wrapText="1"/>
    </xf>
    <xf numFmtId="0" fontId="100" fillId="0" borderId="0" xfId="0" applyFont="1" applyFill="1" applyAlignment="1" applyProtection="1">
      <alignment horizontal="left" vertical="center"/>
    </xf>
    <xf numFmtId="38" fontId="8" fillId="13" borderId="11" xfId="0" applyNumberFormat="1" applyFont="1" applyFill="1" applyBorder="1" applyAlignment="1" applyProtection="1">
      <alignment horizontal="center" vertical="top"/>
    </xf>
    <xf numFmtId="9" fontId="50" fillId="0" borderId="3" xfId="10" applyFont="1" applyBorder="1" applyAlignment="1" applyProtection="1">
      <alignment horizontal="center" vertical="center"/>
    </xf>
    <xf numFmtId="3" fontId="50" fillId="0" borderId="3" xfId="10" applyNumberFormat="1" applyFont="1" applyBorder="1" applyAlignment="1" applyProtection="1">
      <alignment horizontal="center" vertical="center"/>
    </xf>
    <xf numFmtId="0" fontId="4"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94" fillId="20" borderId="57" xfId="0" applyFont="1" applyFill="1" applyBorder="1" applyAlignment="1" applyProtection="1">
      <alignment horizontal="center" vertical="center"/>
    </xf>
    <xf numFmtId="0" fontId="94" fillId="20" borderId="1" xfId="0" applyFont="1" applyFill="1" applyBorder="1" applyAlignment="1" applyProtection="1">
      <alignment horizontal="center" vertical="center"/>
    </xf>
    <xf numFmtId="0" fontId="94" fillId="20" borderId="35"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49" fillId="0" borderId="0" xfId="0" applyFont="1" applyFill="1" applyBorder="1" applyAlignment="1" applyProtection="1">
      <alignment horizontal="left" vertical="center"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98" xfId="0" applyFont="1" applyFill="1" applyBorder="1" applyAlignment="1" applyProtection="1">
      <alignment horizont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96" fillId="12" borderId="0" xfId="0" applyFont="1" applyFill="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71" fontId="61" fillId="0" borderId="0" xfId="0" applyNumberFormat="1" applyFont="1" applyFill="1" applyBorder="1" applyAlignment="1" applyProtection="1">
      <alignment horizontal="center" vertical="center"/>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164" fontId="53" fillId="0" borderId="68" xfId="1" applyNumberFormat="1" applyFont="1" applyFill="1" applyBorder="1" applyAlignment="1" applyProtection="1">
      <alignment horizontal="righ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49" fillId="0" borderId="44" xfId="1" applyNumberFormat="1" applyFont="1" applyFill="1" applyBorder="1" applyAlignment="1" applyProtection="1">
      <alignment horizontal="left" vertical="top" wrapText="1"/>
    </xf>
    <xf numFmtId="0" fontId="49" fillId="0" borderId="19" xfId="1" applyNumberFormat="1" applyFont="1" applyFill="1" applyBorder="1" applyAlignment="1" applyProtection="1">
      <alignment horizontal="left" vertical="top" wrapText="1"/>
    </xf>
    <xf numFmtId="0" fontId="49" fillId="0" borderId="39" xfId="1" applyNumberFormat="1" applyFont="1" applyFill="1" applyBorder="1" applyAlignment="1" applyProtection="1">
      <alignment horizontal="left" vertical="top" wrapText="1"/>
    </xf>
    <xf numFmtId="0" fontId="49" fillId="0" borderId="42" xfId="1" applyNumberFormat="1" applyFont="1" applyFill="1" applyBorder="1" applyAlignment="1" applyProtection="1">
      <alignment horizontal="left" vertical="top" wrapText="1"/>
    </xf>
    <xf numFmtId="0" fontId="49" fillId="0" borderId="20" xfId="1" applyNumberFormat="1" applyFont="1" applyFill="1" applyBorder="1" applyAlignment="1" applyProtection="1">
      <alignment horizontal="left" vertical="top" wrapText="1"/>
    </xf>
    <xf numFmtId="0" fontId="49" fillId="0" borderId="60" xfId="1" applyNumberFormat="1" applyFont="1" applyFill="1" applyBorder="1" applyAlignment="1" applyProtection="1">
      <alignment horizontal="left" vertical="top" wrapText="1"/>
    </xf>
    <xf numFmtId="0" fontId="49" fillId="0" borderId="96" xfId="1" applyNumberFormat="1" applyFont="1" applyFill="1" applyBorder="1" applyAlignment="1" applyProtection="1">
      <alignment horizontal="left" vertical="top" wrapText="1"/>
    </xf>
    <xf numFmtId="0" fontId="49" fillId="0" borderId="59" xfId="1" applyNumberFormat="1" applyFont="1" applyFill="1" applyBorder="1" applyAlignment="1" applyProtection="1">
      <alignment horizontal="left" vertical="top" wrapText="1"/>
    </xf>
    <xf numFmtId="0" fontId="49" fillId="0" borderId="79" xfId="1" applyNumberFormat="1" applyFont="1" applyFill="1" applyBorder="1" applyAlignment="1" applyProtection="1">
      <alignment horizontal="left" vertical="top" wrapText="1"/>
    </xf>
    <xf numFmtId="0" fontId="200" fillId="8" borderId="7" xfId="13" applyFont="1" applyFill="1" applyBorder="1" applyAlignment="1" applyProtection="1">
      <alignment horizontal="center" vertical="center"/>
    </xf>
    <xf numFmtId="0" fontId="200"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62" fillId="0" borderId="0" xfId="0" applyFont="1" applyFill="1" applyAlignment="1" applyProtection="1">
      <alignment horizontal="center" vertical="center" wrapText="1"/>
    </xf>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8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101"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13" fillId="0" borderId="0" xfId="0" applyFont="1" applyFill="1" applyAlignment="1" applyProtection="1">
      <alignment horizontal="center" wrapText="1"/>
    </xf>
    <xf numFmtId="0" fontId="92" fillId="15" borderId="0" xfId="0" applyFont="1" applyFill="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wrapText="1"/>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92" fillId="0" borderId="44" xfId="0" applyNumberFormat="1" applyFont="1" applyFill="1" applyBorder="1" applyAlignment="1" applyProtection="1">
      <alignment horizontal="center" vertical="center" wrapText="1"/>
    </xf>
    <xf numFmtId="3" fontId="192" fillId="0" borderId="39" xfId="0" applyNumberFormat="1" applyFont="1" applyFill="1" applyBorder="1" applyAlignment="1" applyProtection="1">
      <alignment horizontal="center" vertical="center" wrapText="1"/>
    </xf>
    <xf numFmtId="3" fontId="192" fillId="0" borderId="42" xfId="0" applyNumberFormat="1" applyFont="1" applyFill="1" applyBorder="1" applyAlignment="1" applyProtection="1">
      <alignment horizontal="center" vertical="center" wrapText="1"/>
    </xf>
    <xf numFmtId="3" fontId="192" fillId="0" borderId="60" xfId="0" applyNumberFormat="1"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2" fillId="0" borderId="0" xfId="0" applyFont="1" applyFill="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23"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0" fillId="13" borderId="6"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8" fillId="0" borderId="0" xfId="0" applyFont="1" applyFill="1" applyBorder="1" applyAlignment="1" applyProtection="1">
      <alignment horizontal="center" vertical="center" wrapText="1"/>
    </xf>
    <xf numFmtId="0" fontId="4"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50" fillId="0" borderId="0" xfId="0" applyFont="1" applyFill="1" applyBorder="1" applyAlignment="1" applyProtection="1">
      <alignment horizontal="center" vertical="center" wrapText="1"/>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198" fillId="0" borderId="83" xfId="0" applyNumberFormat="1" applyFont="1" applyFill="1" applyBorder="1" applyAlignment="1" applyProtection="1">
      <alignment horizontal="center" vertical="center" wrapText="1"/>
    </xf>
    <xf numFmtId="3" fontId="198" fillId="0" borderId="84" xfId="0" applyNumberFormat="1" applyFont="1" applyFill="1" applyBorder="1" applyAlignment="1" applyProtection="1">
      <alignment horizontal="center" vertical="center" wrapText="1"/>
    </xf>
    <xf numFmtId="3" fontId="198" fillId="0" borderId="9" xfId="0" applyNumberFormat="1" applyFont="1" applyFill="1" applyBorder="1" applyAlignment="1" applyProtection="1">
      <alignment horizontal="center" vertical="center" wrapText="1"/>
    </xf>
    <xf numFmtId="3" fontId="198" fillId="0" borderId="14" xfId="0" applyNumberFormat="1" applyFont="1" applyFill="1" applyBorder="1" applyAlignment="1" applyProtection="1">
      <alignment horizontal="center" vertical="center" wrapText="1"/>
    </xf>
    <xf numFmtId="0" fontId="4" fillId="0" borderId="13" xfId="0" applyFont="1" applyBorder="1" applyAlignment="1" applyProtection="1">
      <alignment horizontal="right" wrapText="1"/>
    </xf>
    <xf numFmtId="0" fontId="4" fillId="0" borderId="8" xfId="0" applyFont="1" applyFill="1" applyBorder="1" applyAlignment="1" applyProtection="1">
      <alignment horizontal="left" vertical="center" wrapText="1"/>
    </xf>
    <xf numFmtId="0" fontId="29" fillId="0" borderId="13" xfId="0" applyFont="1" applyFill="1" applyBorder="1" applyAlignment="1" applyProtection="1">
      <alignment horizontal="left" vertical="center" wrapText="1"/>
    </xf>
    <xf numFmtId="49" fontId="99" fillId="0" borderId="0" xfId="0" applyNumberFormat="1" applyFont="1" applyAlignment="1" applyProtection="1">
      <alignment horizontal="left" vertical="center"/>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1"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191" fillId="0" borderId="0" xfId="0" applyFont="1" applyAlignment="1" applyProtection="1">
      <alignment horizontal="center"/>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100" fillId="0" borderId="0" xfId="0" applyFont="1" applyFill="1" applyAlignment="1" applyProtection="1">
      <alignment horizontal="left" vertical="center"/>
    </xf>
    <xf numFmtId="0" fontId="11" fillId="0" borderId="0" xfId="0" applyFont="1" applyAlignment="1" applyProtection="1">
      <alignment horizontal="left" vertical="center"/>
    </xf>
    <xf numFmtId="0" fontId="11" fillId="0" borderId="0" xfId="0" applyFont="1" applyFill="1" applyAlignment="1" applyProtection="1">
      <alignment horizontal="left" vertical="center"/>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187" fillId="0" borderId="0" xfId="0" applyFont="1" applyFill="1" applyBorder="1" applyAlignment="1" applyProtection="1">
      <alignment horizontal="center" vertical="top" wrapText="1"/>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50" fillId="0" borderId="0" xfId="0" applyFont="1" applyFill="1" applyAlignment="1" applyProtection="1">
      <alignment horizontal="center" vertical="center" wrapText="1"/>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4"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50" fillId="0" borderId="0" xfId="0" applyFont="1" applyAlignment="1" applyProtection="1">
      <alignment horizontal="center"/>
    </xf>
    <xf numFmtId="0" fontId="205" fillId="0" borderId="7" xfId="0" applyFont="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4" fillId="0" borderId="21" xfId="0" applyFont="1" applyFill="1" applyBorder="1" applyAlignment="1" applyProtection="1">
      <alignment horizontal="left" vertical="top"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left" vertical="top" wrapText="1"/>
    </xf>
    <xf numFmtId="0" fontId="4" fillId="0" borderId="20" xfId="0" applyFont="1" applyFill="1" applyBorder="1" applyAlignment="1" applyProtection="1">
      <alignment horizontal="left" vertical="top"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4" fillId="0" borderId="0" xfId="0" applyFont="1" applyFill="1" applyAlignment="1" applyProtection="1">
      <alignment horizontal="left"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 fillId="0" borderId="0" xfId="0" applyFont="1" applyBorder="1" applyAlignment="1" applyProtection="1">
      <alignment horizontal="left" wrapText="1"/>
    </xf>
    <xf numFmtId="0" fontId="10" fillId="0" borderId="0" xfId="0" quotePrefix="1" applyFont="1" applyFill="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6" fillId="0" borderId="0" xfId="0" applyFont="1" applyAlignment="1" applyProtection="1">
      <alignment horizontal="center"/>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190" fillId="0" borderId="0" xfId="0" applyFont="1" applyAlignment="1" applyProtection="1">
      <alignment horizontal="center" vertical="center" wrapText="1"/>
    </xf>
    <xf numFmtId="0" fontId="88"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0" xfId="0" applyFont="1" applyFill="1" applyBorder="1" applyAlignment="1" applyProtection="1">
      <alignment horizontal="center" vertical="center" wrapText="1"/>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129" fillId="0" borderId="0" xfId="0" applyFont="1" applyFill="1" applyBorder="1" applyAlignment="1" applyProtection="1">
      <alignment horizontal="center" vertical="center"/>
    </xf>
    <xf numFmtId="0" fontId="88" fillId="0" borderId="0" xfId="0" applyFont="1" applyFill="1" applyAlignment="1" applyProtection="1">
      <alignment horizontal="center" wrapText="1"/>
    </xf>
    <xf numFmtId="0" fontId="57" fillId="0" borderId="44" xfId="0" applyFont="1" applyFill="1" applyBorder="1" applyAlignment="1" applyProtection="1">
      <alignment horizontal="center" vertical="center"/>
    </xf>
    <xf numFmtId="0" fontId="57" fillId="0" borderId="39" xfId="0" applyFont="1" applyFill="1" applyBorder="1" applyAlignment="1" applyProtection="1">
      <alignment horizontal="center" vertical="center"/>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4" fillId="0" borderId="0" xfId="0" applyFont="1" applyAlignment="1" applyProtection="1">
      <alignment horizontal="left" wrapText="1"/>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186" fillId="0" borderId="0" xfId="0" applyFont="1" applyFill="1" applyBorder="1" applyAlignment="1" applyProtection="1">
      <alignment horizontal="center" vertical="top" wrapText="1"/>
    </xf>
    <xf numFmtId="0" fontId="132"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56" fillId="0" borderId="0" xfId="13" applyFont="1" applyAlignment="1" applyProtection="1">
      <alignment horizontal="justify" vertical="top" wrapText="1"/>
    </xf>
    <xf numFmtId="0" fontId="131"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32" fillId="0" borderId="0" xfId="13" applyFont="1" applyFill="1" applyAlignment="1" applyProtection="1">
      <alignment horizontal="left"/>
    </xf>
    <xf numFmtId="0" fontId="132" fillId="5" borderId="0" xfId="0" applyFont="1" applyFill="1" applyBorder="1" applyAlignment="1" applyProtection="1">
      <alignment horizontal="left" vertical="center"/>
    </xf>
    <xf numFmtId="0" fontId="143" fillId="0" borderId="40" xfId="13" applyFont="1" applyBorder="1" applyAlignment="1" applyProtection="1">
      <alignment horizontal="right"/>
    </xf>
    <xf numFmtId="0" fontId="143" fillId="0" borderId="0" xfId="13" applyFont="1" applyAlignment="1" applyProtection="1">
      <alignment horizontal="righ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3" fontId="132" fillId="0" borderId="0" xfId="13" applyNumberFormat="1" applyFont="1" applyFill="1" applyAlignment="1" applyProtection="1">
      <alignment horizontal="left"/>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1" xfId="13" applyFont="1" applyBorder="1" applyAlignment="1">
      <alignment horizontal="center"/>
    </xf>
    <xf numFmtId="0" fontId="3" fillId="0" borderId="22" xfId="13" applyFont="1" applyBorder="1" applyAlignment="1">
      <alignment horizontal="center"/>
    </xf>
    <xf numFmtId="0" fontId="3" fillId="0" borderId="102"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99"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3" fontId="50" fillId="0" borderId="3" xfId="10" applyNumberFormat="1" applyFont="1" applyBorder="1" applyAlignment="1" applyProtection="1">
      <alignment horizontal="center" vertical="center"/>
    </xf>
    <xf numFmtId="0" fontId="207" fillId="0" borderId="0" xfId="0" applyFont="1" applyFill="1" applyBorder="1" applyAlignment="1" applyProtection="1">
      <alignment horizontal="center"/>
    </xf>
    <xf numFmtId="0" fontId="208"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2" fillId="0" borderId="0" xfId="0" applyFont="1" applyFill="1" applyBorder="1" applyAlignment="1" applyProtection="1">
      <alignment vertic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42" fontId="101"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6"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0" fontId="114" fillId="0" borderId="0" xfId="0" applyFont="1" applyFill="1" applyAlignment="1" applyProtection="1">
      <alignment vertical="center"/>
    </xf>
    <xf numFmtId="184" fontId="206" fillId="0" borderId="0" xfId="0" applyNumberFormat="1" applyFont="1" applyFill="1" applyBorder="1" applyAlignment="1" applyProtection="1">
      <alignment vertical="center"/>
      <protection locked="0"/>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6"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0"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11"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1" fillId="0" borderId="0" xfId="0" applyFont="1" applyFill="1" applyBorder="1" applyProtection="1"/>
    <xf numFmtId="0" fontId="211"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5" fillId="0" borderId="0" xfId="0" applyFont="1" applyFill="1" applyBorder="1" applyProtection="1"/>
    <xf numFmtId="3" fontId="114"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06"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06" fillId="0" borderId="0" xfId="0" applyFont="1" applyFill="1" applyBorder="1" applyAlignment="1" applyProtection="1"/>
    <xf numFmtId="0" fontId="96"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6"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13"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6"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06"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center"/>
    </xf>
    <xf numFmtId="0" fontId="215"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09"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07" fillId="0" borderId="0" xfId="0"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1"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4" fillId="0" borderId="0" xfId="1" applyNumberFormat="1" applyFont="1" applyFill="1" applyBorder="1" applyAlignment="1" applyProtection="1">
      <alignment vertical="center"/>
    </xf>
    <xf numFmtId="3" fontId="114" fillId="0" borderId="0" xfId="0" applyNumberFormat="1" applyFont="1" applyFill="1" applyBorder="1" applyProtection="1"/>
    <xf numFmtId="0" fontId="104"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09" fillId="0" borderId="0" xfId="0" applyFont="1" applyFill="1" applyBorder="1" applyAlignment="1" applyProtection="1">
      <alignment horizontal="left" vertical="top"/>
    </xf>
    <xf numFmtId="0" fontId="217"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4" fontId="206"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20"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101" fillId="0" borderId="0" xfId="13" applyFont="1" applyFill="1" applyBorder="1"/>
    <xf numFmtId="0" fontId="221" fillId="0" borderId="0" xfId="13" applyFont="1" applyFill="1" applyBorder="1" applyAlignment="1">
      <alignment vertical="top" wrapText="1"/>
    </xf>
    <xf numFmtId="0" fontId="92" fillId="0" borderId="0" xfId="13" applyFont="1" applyFill="1" applyBorder="1" applyAlignment="1" applyProtection="1">
      <alignment vertical="top" wrapText="1"/>
    </xf>
    <xf numFmtId="0" fontId="222" fillId="0" borderId="0" xfId="13" applyFont="1" applyFill="1" applyBorder="1" applyAlignment="1" applyProtection="1">
      <alignment horizontal="center" vertical="center" wrapText="1"/>
    </xf>
    <xf numFmtId="0" fontId="101"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4" fillId="0" borderId="0" xfId="13" applyFont="1" applyFill="1" applyBorder="1"/>
    <xf numFmtId="0" fontId="104"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206" fillId="0" borderId="0" xfId="1" applyNumberFormat="1" applyFont="1" applyFill="1" applyBorder="1" applyAlignment="1" applyProtection="1">
      <alignment vertical="top" wrapText="1"/>
      <protection locked="0"/>
    </xf>
    <xf numFmtId="0" fontId="104" fillId="0" borderId="0" xfId="13" applyFont="1" applyBorder="1"/>
    <xf numFmtId="0" fontId="211" fillId="0" borderId="0" xfId="13" applyFont="1" applyFill="1" applyBorder="1" applyAlignment="1" applyProtection="1">
      <alignment horizontal="right" vertical="center" wrapText="1"/>
    </xf>
    <xf numFmtId="164" fontId="104" fillId="0" borderId="0" xfId="1" applyNumberFormat="1" applyFont="1" applyFill="1" applyBorder="1" applyAlignment="1" applyProtection="1">
      <alignment horizontal="right" vertical="center"/>
    </xf>
    <xf numFmtId="0" fontId="104" fillId="0" borderId="0" xfId="13" applyFont="1" applyFill="1" applyBorder="1" applyAlignment="1" applyProtection="1">
      <alignment horizontal="left" vertical="center"/>
    </xf>
    <xf numFmtId="6" fontId="104" fillId="0" borderId="0" xfId="13"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0" fontId="104" fillId="0" borderId="0" xfId="13" applyFont="1" applyFill="1" applyBorder="1" applyAlignment="1" applyProtection="1">
      <alignment horizontal="right" vertical="center" wrapText="1"/>
    </xf>
    <xf numFmtId="0" fontId="104" fillId="0" borderId="0" xfId="13" applyFont="1" applyFill="1" applyBorder="1" applyAlignment="1" applyProtection="1">
      <alignment vertical="center"/>
      <protection locked="0"/>
    </xf>
    <xf numFmtId="164" fontId="104" fillId="0" borderId="0" xfId="1" applyNumberFormat="1" applyFont="1" applyFill="1" applyBorder="1" applyAlignment="1" applyProtection="1">
      <alignment horizontal="right" vertical="center"/>
      <protection locked="0"/>
    </xf>
    <xf numFmtId="0" fontId="92" fillId="0" borderId="0" xfId="0" applyFont="1" applyFill="1" applyBorder="1" applyAlignment="1" applyProtection="1">
      <alignment horizontal="left" vertical="center"/>
    </xf>
    <xf numFmtId="0" fontId="92" fillId="0" borderId="0" xfId="0" applyFont="1" applyFill="1" applyBorder="1" applyProtection="1"/>
    <xf numFmtId="0" fontId="101" fillId="0" borderId="0" xfId="0" applyFont="1" applyFill="1" applyBorder="1" applyAlignment="1" applyProtection="1"/>
    <xf numFmtId="175" fontId="101" fillId="0" borderId="0" xfId="0" applyNumberFormat="1" applyFont="1" applyFill="1" applyBorder="1" applyAlignment="1" applyProtection="1"/>
    <xf numFmtId="0" fontId="101" fillId="0" borderId="0" xfId="0" applyFont="1" applyFill="1" applyBorder="1" applyAlignment="1" applyProtection="1">
      <alignment horizontal="center"/>
    </xf>
    <xf numFmtId="0" fontId="92" fillId="0" borderId="0" xfId="0"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23" fillId="0" borderId="0" xfId="0" applyFont="1" applyFill="1" applyBorder="1" applyProtection="1"/>
    <xf numFmtId="0" fontId="92"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224" fillId="0" borderId="0" xfId="0" applyFont="1" applyFill="1" applyBorder="1" applyAlignment="1" applyProtection="1">
      <alignment wrapText="1"/>
    </xf>
    <xf numFmtId="0" fontId="224"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wrapText="1"/>
    </xf>
    <xf numFmtId="0" fontId="224" fillId="0" borderId="0" xfId="0" applyFont="1" applyFill="1" applyBorder="1" applyAlignment="1" applyProtection="1">
      <alignment textRotation="90" wrapText="1"/>
    </xf>
    <xf numFmtId="0" fontId="224"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24"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24" fillId="0" borderId="0" xfId="0" applyFont="1" applyFill="1" applyBorder="1" applyAlignment="1" applyProtection="1">
      <alignment horizontal="center" vertical="center" wrapText="1"/>
    </xf>
    <xf numFmtId="0" fontId="224" fillId="0" borderId="0" xfId="0" applyFont="1" applyFill="1" applyBorder="1" applyAlignment="1" applyProtection="1">
      <alignment vertical="center"/>
    </xf>
    <xf numFmtId="0" fontId="195"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06"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xf>
    <xf numFmtId="0" fontId="224"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24"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24" fillId="0" borderId="0" xfId="0" applyFont="1" applyFill="1" applyBorder="1" applyAlignment="1" applyProtection="1"/>
    <xf numFmtId="0" fontId="224"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28"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24"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30" fillId="0" borderId="0" xfId="0" applyFont="1" applyFill="1" applyBorder="1" applyProtection="1"/>
    <xf numFmtId="0" fontId="224"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3" fillId="0" borderId="0" xfId="0" applyFont="1" applyFill="1" applyBorder="1" applyAlignment="1" applyProtection="1"/>
    <xf numFmtId="0" fontId="227"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28"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10" fillId="0" borderId="0" xfId="0" applyFont="1" applyFill="1" applyBorder="1" applyAlignment="1" applyProtection="1"/>
    <xf numFmtId="0" fontId="210" fillId="0" borderId="0" xfId="0" applyFont="1" applyFill="1" applyBorder="1" applyAlignment="1" applyProtection="1">
      <alignment horizontal="center"/>
    </xf>
    <xf numFmtId="0" fontId="115"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06"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0" fontId="101" fillId="0" borderId="7" xfId="0"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0" fillId="0" borderId="0" xfId="0" applyFont="1" applyFill="1" applyBorder="1" applyAlignment="1" applyProtection="1">
      <alignment vertical="center"/>
    </xf>
    <xf numFmtId="0" fontId="230" fillId="0" borderId="0" xfId="0" applyFont="1" applyFill="1" applyBorder="1" applyAlignment="1" applyProtection="1">
      <alignment vertical="center"/>
    </xf>
    <xf numFmtId="0" fontId="220" fillId="0" borderId="0" xfId="0" applyFont="1" applyFill="1" applyBorder="1" applyProtection="1"/>
    <xf numFmtId="0" fontId="222" fillId="0" borderId="0" xfId="0" applyFont="1" applyFill="1" applyBorder="1" applyAlignment="1" applyProtection="1">
      <alignment vertical="center"/>
    </xf>
    <xf numFmtId="0" fontId="223"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24" fillId="0" borderId="0" xfId="0" applyNumberFormat="1" applyFont="1" applyFill="1" applyBorder="1" applyAlignment="1" applyProtection="1">
      <alignment vertical="center" wrapText="1"/>
    </xf>
    <xf numFmtId="0" fontId="195"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2" fillId="0" borderId="0" xfId="0" applyFont="1" applyFill="1" applyBorder="1" applyAlignment="1" applyProtection="1">
      <alignment horizontal="right" vertical="top"/>
    </xf>
    <xf numFmtId="3" fontId="228"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28" fillId="0" borderId="0" xfId="0" applyFont="1" applyFill="1" applyBorder="1" applyAlignment="1" applyProtection="1">
      <alignment horizontal="center"/>
    </xf>
    <xf numFmtId="3" fontId="211" fillId="0" borderId="0" xfId="0" applyNumberFormat="1" applyFont="1" applyFill="1" applyBorder="1" applyAlignment="1" applyProtection="1">
      <alignment horizontal="center"/>
    </xf>
    <xf numFmtId="0" fontId="229" fillId="0" borderId="0" xfId="0" applyFont="1" applyFill="1" applyBorder="1" applyProtection="1"/>
    <xf numFmtId="0" fontId="233"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20"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20" fillId="0" borderId="0" xfId="0" applyNumberFormat="1" applyFont="1" applyFill="1" applyBorder="1" applyAlignment="1" applyProtection="1">
      <alignment vertical="center"/>
    </xf>
    <xf numFmtId="0" fontId="220" fillId="0" borderId="0" xfId="0" applyFont="1" applyFill="1" applyBorder="1" applyAlignment="1" applyProtection="1">
      <alignment wrapText="1"/>
    </xf>
    <xf numFmtId="3" fontId="222"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4" fillId="0" borderId="0" xfId="0" applyFont="1" applyFill="1" applyBorder="1" applyAlignment="1" applyProtection="1">
      <alignment vertical="top"/>
    </xf>
    <xf numFmtId="0" fontId="224"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3"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1" fillId="0" borderId="0" xfId="0" applyFont="1" applyFill="1" applyBorder="1" applyAlignment="1" applyProtection="1">
      <alignment vertical="center"/>
    </xf>
    <xf numFmtId="0" fontId="220"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vertical="center"/>
    </xf>
    <xf numFmtId="0" fontId="227" fillId="0" borderId="0" xfId="0" applyFont="1" applyFill="1" applyBorder="1" applyAlignment="1" applyProtection="1">
      <alignment vertical="center"/>
    </xf>
    <xf numFmtId="0" fontId="236" fillId="0" borderId="0" xfId="0" applyFont="1" applyFill="1" applyBorder="1" applyAlignment="1" applyProtection="1">
      <alignment horizontal="center" vertical="center"/>
    </xf>
    <xf numFmtId="0" fontId="237" fillId="0" borderId="0" xfId="0" applyFont="1" applyFill="1" applyBorder="1" applyProtection="1"/>
    <xf numFmtId="0" fontId="238"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0"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27" fillId="0" borderId="0" xfId="0" quotePrefix="1" applyFont="1" applyFill="1" applyBorder="1" applyAlignment="1" applyProtection="1"/>
    <xf numFmtId="0" fontId="227" fillId="0" borderId="0" xfId="0" applyFont="1" applyFill="1" applyBorder="1" applyAlignment="1" applyProtection="1"/>
    <xf numFmtId="0" fontId="112" fillId="0" borderId="0" xfId="0" applyFont="1" applyFill="1" applyBorder="1" applyAlignment="1" applyProtection="1">
      <alignment vertical="center"/>
    </xf>
    <xf numFmtId="0" fontId="230"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4"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1" fillId="0" borderId="0" xfId="0" applyFont="1" applyFill="1" applyBorder="1" applyAlignment="1" applyProtection="1">
      <alignment horizontal="center" vertical="center"/>
    </xf>
    <xf numFmtId="0" fontId="237"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37"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20"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1"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08"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43"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30" fillId="0" borderId="0" xfId="0" applyFont="1" applyFill="1" applyBorder="1" applyAlignment="1" applyProtection="1">
      <alignment horizontal="center" vertical="top"/>
    </xf>
    <xf numFmtId="0" fontId="237"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44" fillId="0" borderId="0" xfId="0" applyFont="1" applyFill="1" applyBorder="1" applyAlignment="1" applyProtection="1">
      <alignment horizontal="right"/>
    </xf>
    <xf numFmtId="0" fontId="227" fillId="0" borderId="0" xfId="0" applyFont="1" applyFill="1" applyBorder="1" applyAlignment="1" applyProtection="1">
      <alignment horizontal="center" vertical="center"/>
    </xf>
    <xf numFmtId="0" fontId="227" fillId="0" borderId="0" xfId="0" quotePrefix="1" applyFont="1" applyFill="1" applyAlignment="1" applyProtection="1">
      <alignment vertical="center"/>
    </xf>
    <xf numFmtId="0" fontId="237" fillId="0" borderId="0" xfId="0" applyFont="1" applyFill="1" applyProtection="1"/>
    <xf numFmtId="0" fontId="102" fillId="0" borderId="0" xfId="0" applyFont="1" applyFill="1" applyAlignment="1" applyProtection="1">
      <alignment vertical="center"/>
    </xf>
    <xf numFmtId="0" fontId="92" fillId="0" borderId="0" xfId="0" applyFont="1" applyFill="1" applyAlignment="1" applyProtection="1">
      <alignment horizontal="center" vertical="center"/>
    </xf>
    <xf numFmtId="0" fontId="206" fillId="0" borderId="0" xfId="0" applyFont="1" applyFill="1" applyBorder="1" applyAlignment="1" applyProtection="1">
      <alignment horizontal="center" vertical="center"/>
      <protection locked="0"/>
    </xf>
    <xf numFmtId="0" fontId="113" fillId="0" borderId="0" xfId="0" applyFont="1" applyFill="1" applyAlignment="1" applyProtection="1">
      <alignment vertical="center"/>
    </xf>
    <xf numFmtId="0" fontId="241" fillId="0" borderId="0" xfId="0" applyFont="1" applyFill="1" applyProtection="1"/>
    <xf numFmtId="0" fontId="102" fillId="0" borderId="44" xfId="0" applyFont="1" applyFill="1" applyBorder="1" applyAlignment="1" applyProtection="1">
      <alignment horizontal="left" wrapText="1"/>
    </xf>
    <xf numFmtId="0" fontId="102" fillId="0" borderId="19" xfId="0" applyFont="1" applyFill="1" applyBorder="1" applyAlignment="1" applyProtection="1">
      <alignment horizontal="left" wrapText="1"/>
    </xf>
    <xf numFmtId="0" fontId="102" fillId="0" borderId="39" xfId="0" applyFont="1" applyFill="1" applyBorder="1" applyAlignment="1" applyProtection="1">
      <alignment horizontal="left" wrapText="1"/>
    </xf>
    <xf numFmtId="176" fontId="237"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42" xfId="0" applyFont="1" applyFill="1" applyBorder="1" applyAlignment="1" applyProtection="1">
      <alignment horizontal="left" wrapText="1"/>
    </xf>
    <xf numFmtId="0" fontId="102" fillId="0" borderId="20" xfId="0" applyFont="1" applyFill="1" applyBorder="1" applyAlignment="1" applyProtection="1">
      <alignment horizontal="left" wrapText="1"/>
    </xf>
    <xf numFmtId="0" fontId="102" fillId="0" borderId="60" xfId="0" applyFont="1" applyFill="1" applyBorder="1" applyAlignment="1" applyProtection="1">
      <alignment horizontal="left" wrapText="1"/>
    </xf>
    <xf numFmtId="0" fontId="102" fillId="0" borderId="0" xfId="0" applyFont="1"/>
    <xf numFmtId="176" fontId="113" fillId="0" borderId="0" xfId="0" applyNumberFormat="1" applyFont="1" applyFill="1" applyBorder="1" applyAlignment="1" applyProtection="1">
      <alignment horizontal="center" vertical="center"/>
      <protection locked="0"/>
    </xf>
    <xf numFmtId="0" fontId="224" fillId="0" borderId="0" xfId="0" applyFont="1" applyFill="1" applyAlignment="1" applyProtection="1">
      <alignment horizontal="right" vertical="center"/>
    </xf>
    <xf numFmtId="0" fontId="224" fillId="0" borderId="0" xfId="0" applyFont="1" applyAlignment="1" applyProtection="1">
      <alignment vertical="center"/>
    </xf>
    <xf numFmtId="0" fontId="101" fillId="0" borderId="0" xfId="0" applyFont="1" applyAlignment="1" applyProtection="1">
      <alignment vertical="center"/>
    </xf>
    <xf numFmtId="0" fontId="102"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2" fillId="0" borderId="0" xfId="0" applyFont="1" applyAlignment="1" applyProtection="1">
      <alignment horizontal="center" vertical="top"/>
    </xf>
    <xf numFmtId="0" fontId="102" fillId="0" borderId="0" xfId="0" applyFont="1" applyAlignment="1" applyProtection="1">
      <alignment horizontal="right" vertical="top"/>
    </xf>
    <xf numFmtId="0" fontId="102" fillId="0" borderId="0" xfId="0" applyFont="1" applyBorder="1" applyAlignment="1" applyProtection="1">
      <alignment vertical="top"/>
    </xf>
    <xf numFmtId="0" fontId="102"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4"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5" fillId="0" borderId="0" xfId="0" applyFont="1" applyFill="1" applyBorder="1" applyAlignment="1" applyProtection="1">
      <alignment vertical="center" wrapText="1"/>
    </xf>
    <xf numFmtId="9" fontId="224"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4"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06"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102" fillId="0" borderId="0" xfId="0" applyFont="1" applyAlignment="1" applyProtection="1">
      <alignment horizontal="center"/>
    </xf>
    <xf numFmtId="0" fontId="210" fillId="0" borderId="0" xfId="0" applyFont="1" applyAlignment="1" applyProtection="1">
      <alignment horizontal="center"/>
    </xf>
    <xf numFmtId="0" fontId="210" fillId="0" borderId="0" xfId="0" applyFont="1" applyAlignment="1" applyProtection="1">
      <alignment horizontal="center" vertical="top"/>
    </xf>
    <xf numFmtId="0" fontId="127" fillId="0" borderId="0" xfId="0" applyFont="1" applyFill="1" applyBorder="1" applyAlignment="1" applyProtection="1"/>
    <xf numFmtId="38" fontId="102" fillId="0" borderId="0" xfId="0" applyNumberFormat="1" applyFont="1" applyFill="1" applyBorder="1" applyAlignment="1" applyProtection="1">
      <alignment horizontal="center" vertical="top"/>
    </xf>
    <xf numFmtId="0" fontId="247" fillId="0" borderId="0" xfId="0" applyFont="1" applyBorder="1" applyAlignment="1" applyProtection="1">
      <alignment vertical="center" wrapText="1"/>
    </xf>
    <xf numFmtId="0" fontId="102" fillId="0" borderId="0" xfId="0" quotePrefix="1" applyFont="1" applyFill="1" applyBorder="1" applyAlignment="1" applyProtection="1">
      <alignment horizontal="center" vertical="center"/>
    </xf>
    <xf numFmtId="0" fontId="102" fillId="0" borderId="0" xfId="0" applyFont="1" applyAlignment="1" applyProtection="1">
      <alignment horizontal="left" vertical="top"/>
    </xf>
    <xf numFmtId="10" fontId="102"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27" fillId="0" borderId="0" xfId="0" quotePrefix="1" applyFont="1" applyFill="1" applyBorder="1" applyAlignment="1" applyProtection="1">
      <alignment horizontal="left" vertical="center"/>
    </xf>
    <xf numFmtId="0" fontId="244" fillId="0" borderId="0" xfId="0" applyFont="1" applyFill="1" applyBorder="1" applyProtection="1"/>
    <xf numFmtId="0" fontId="248" fillId="0" borderId="0" xfId="0" applyFont="1" applyFill="1" applyBorder="1" applyAlignment="1" applyProtection="1">
      <alignment horizontal="left" vertical="center"/>
    </xf>
    <xf numFmtId="0" fontId="239" fillId="0" borderId="0" xfId="0" applyFont="1" applyFill="1" applyBorder="1" applyAlignment="1" applyProtection="1">
      <alignment vertical="center"/>
    </xf>
    <xf numFmtId="174" fontId="239" fillId="0" borderId="0" xfId="10" applyNumberFormat="1" applyFont="1" applyFill="1" applyBorder="1" applyAlignment="1" applyProtection="1">
      <alignment horizontal="center" vertical="center"/>
    </xf>
    <xf numFmtId="0" fontId="239" fillId="0" borderId="0" xfId="0" applyFont="1" applyFill="1" applyBorder="1" applyAlignment="1" applyProtection="1">
      <alignment horizontal="left" vertical="center"/>
    </xf>
    <xf numFmtId="38" fontId="239" fillId="0" borderId="0" xfId="0" applyNumberFormat="1" applyFont="1" applyFill="1" applyBorder="1" applyAlignment="1" applyProtection="1">
      <alignment horizontal="left" vertical="center"/>
    </xf>
    <xf numFmtId="0" fontId="239" fillId="0" borderId="40" xfId="0" applyFont="1" applyFill="1" applyBorder="1" applyAlignment="1" applyProtection="1">
      <alignment horizontal="center" vertical="center" wrapText="1"/>
    </xf>
    <xf numFmtId="0" fontId="239" fillId="0" borderId="0" xfId="0" applyFont="1" applyFill="1" applyBorder="1" applyAlignment="1" applyProtection="1">
      <alignment horizontal="center" vertical="center" wrapText="1"/>
    </xf>
    <xf numFmtId="0" fontId="244" fillId="0" borderId="0" xfId="0" applyFont="1" applyFill="1" applyProtection="1"/>
    <xf numFmtId="0" fontId="195" fillId="0" borderId="0" xfId="0" applyFont="1" applyFill="1" applyBorder="1" applyAlignment="1" applyProtection="1">
      <alignment vertical="center"/>
    </xf>
    <xf numFmtId="0" fontId="102" fillId="0" borderId="0" xfId="0" applyFont="1" applyFill="1" applyBorder="1" applyAlignment="1" applyProtection="1">
      <protection locked="0"/>
    </xf>
    <xf numFmtId="0" fontId="239" fillId="0" borderId="0" xfId="0" applyFont="1" applyFill="1" applyBorder="1" applyProtection="1"/>
    <xf numFmtId="10" fontId="239"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xf>
    <xf numFmtId="0" fontId="127" fillId="0" borderId="0" xfId="6" applyFont="1" applyFill="1" applyBorder="1" applyAlignment="1" applyProtection="1"/>
    <xf numFmtId="0" fontId="239" fillId="0" borderId="0" xfId="0" applyFont="1" applyFill="1" applyBorder="1" applyAlignment="1" applyProtection="1">
      <alignment horizontal="right"/>
    </xf>
    <xf numFmtId="0" fontId="228"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37" fillId="0" borderId="0" xfId="0" applyFont="1" applyFill="1" applyBorder="1" applyAlignment="1" applyProtection="1">
      <alignment horizontal="center"/>
    </xf>
    <xf numFmtId="0" fontId="228"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0" fontId="104" fillId="0" borderId="0" xfId="0" applyFont="1" applyFill="1" applyAlignment="1" applyProtection="1">
      <alignment horizontal="right" vertical="center"/>
    </xf>
    <xf numFmtId="10" fontId="102" fillId="0" borderId="0" xfId="0" applyNumberFormat="1" applyFont="1" applyFill="1" applyBorder="1" applyAlignment="1" applyProtection="1">
      <alignment horizontal="center" vertical="center"/>
    </xf>
    <xf numFmtId="0" fontId="104" fillId="0" borderId="0" xfId="0" applyFont="1" applyFill="1" applyAlignment="1" applyProtection="1">
      <alignment horizontal="right" vertical="center" wrapText="1"/>
    </xf>
    <xf numFmtId="38" fontId="105"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top"/>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24"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horizontal="right" vertical="top"/>
    </xf>
    <xf numFmtId="10" fontId="224"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horizontal="center"/>
    </xf>
    <xf numFmtId="38" fontId="224" fillId="0" borderId="0" xfId="0" applyNumberFormat="1" applyFont="1" applyFill="1" applyBorder="1" applyAlignment="1" applyProtection="1">
      <alignment vertical="center"/>
    </xf>
    <xf numFmtId="0" fontId="251" fillId="0" borderId="0" xfId="0" applyFont="1" applyFill="1" applyBorder="1" applyProtection="1"/>
    <xf numFmtId="10" fontId="224"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1"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vertical="center"/>
    </xf>
    <xf numFmtId="38" fontId="226" fillId="0" borderId="0" xfId="0" applyNumberFormat="1" applyFont="1" applyFill="1" applyBorder="1" applyAlignment="1" applyProtection="1">
      <alignment horizontal="center" vertical="center"/>
    </xf>
    <xf numFmtId="38" fontId="221"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07" fillId="0" borderId="0" xfId="0" applyFont="1" applyAlignment="1" applyProtection="1">
      <alignment horizontal="center" vertical="center"/>
    </xf>
    <xf numFmtId="0" fontId="208" fillId="0" borderId="0" xfId="0" applyFont="1" applyAlignment="1" applyProtection="1">
      <alignment horizontal="center" vertical="center"/>
    </xf>
    <xf numFmtId="0" fontId="114" fillId="0" borderId="0" xfId="0" applyFont="1" applyBorder="1" applyAlignment="1" applyProtection="1">
      <alignment vertical="top" wrapText="1"/>
      <protection locked="0"/>
    </xf>
    <xf numFmtId="0" fontId="220" fillId="0" borderId="0" xfId="0" applyFont="1" applyFill="1" applyBorder="1" applyAlignment="1" applyProtection="1">
      <alignment horizontal="center" vertical="center" wrapText="1"/>
    </xf>
    <xf numFmtId="0" fontId="220" fillId="0" borderId="0" xfId="0" applyFont="1" applyFill="1" applyAlignment="1" applyProtection="1">
      <alignment horizontal="center" vertical="center" wrapText="1"/>
    </xf>
    <xf numFmtId="0" fontId="114" fillId="0" borderId="0" xfId="0" applyFont="1" applyBorder="1" applyAlignment="1" applyProtection="1">
      <alignment horizontal="justify" vertical="top" wrapText="1"/>
    </xf>
    <xf numFmtId="0" fontId="208"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61" fillId="0" borderId="0" xfId="0" quotePrefix="1" applyFont="1" applyAlignment="1" applyProtection="1">
      <alignment horizont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9" xfId="0" applyFont="1" applyFill="1" applyBorder="1" applyAlignment="1" applyProtection="1">
      <alignment vertical="center"/>
    </xf>
    <xf numFmtId="49" fontId="53" fillId="5" borderId="81" xfId="0" applyNumberFormat="1"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28" applyFont="1" applyFill="1" applyBorder="1" applyAlignment="1" applyProtection="1">
      <alignment horizontal="left" vertical="center"/>
    </xf>
    <xf numFmtId="0" fontId="49" fillId="5" borderId="53" xfId="28" applyFont="1" applyFill="1" applyBorder="1" applyAlignment="1" applyProtection="1">
      <alignment horizontal="left" vertical="center"/>
    </xf>
    <xf numFmtId="0" fontId="49" fillId="5" borderId="99" xfId="28" applyFont="1" applyFill="1" applyBorder="1" applyAlignment="1" applyProtection="1">
      <alignment horizontal="left" vertical="center"/>
    </xf>
    <xf numFmtId="0" fontId="49" fillId="5" borderId="58" xfId="28" applyFont="1" applyFill="1" applyBorder="1" applyAlignment="1" applyProtection="1">
      <alignment horizontal="left" vertical="center"/>
    </xf>
    <xf numFmtId="0" fontId="49" fillId="5" borderId="78" xfId="28"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99"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51" xfId="28" applyFont="1" applyFill="1" applyBorder="1" applyAlignment="1" applyProtection="1">
      <alignment horizontal="left" vertical="center"/>
    </xf>
    <xf numFmtId="0" fontId="49" fillId="5" borderId="38" xfId="28" applyFont="1" applyFill="1" applyBorder="1" applyAlignment="1" applyProtection="1">
      <alignment horizontal="left" vertical="center"/>
    </xf>
    <xf numFmtId="0" fontId="49" fillId="5" borderId="80" xfId="28" applyFont="1" applyFill="1" applyBorder="1" applyAlignment="1" applyProtection="1">
      <alignment horizontal="left" vertical="center"/>
    </xf>
    <xf numFmtId="0" fontId="49" fillId="5" borderId="21" xfId="28" applyFont="1" applyFill="1" applyBorder="1" applyAlignment="1" applyProtection="1">
      <alignment horizontal="left" vertical="center"/>
    </xf>
    <xf numFmtId="0" fontId="49" fillId="5" borderId="77" xfId="28" applyFont="1" applyFill="1" applyBorder="1" applyAlignment="1" applyProtection="1">
      <alignment horizontal="left" vertical="center"/>
    </xf>
    <xf numFmtId="0" fontId="49" fillId="5" borderId="25" xfId="0" applyFont="1" applyFill="1" applyBorder="1" applyAlignment="1" applyProtection="1">
      <alignmen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49" xfId="28" applyFont="1" applyFill="1" applyBorder="1" applyAlignment="1" applyProtection="1">
      <alignment horizontal="left" vertical="center"/>
    </xf>
    <xf numFmtId="0" fontId="49" fillId="5" borderId="50" xfId="28" applyFont="1" applyFill="1" applyBorder="1" applyAlignment="1" applyProtection="1">
      <alignment horizontal="left" vertical="center"/>
    </xf>
    <xf numFmtId="0" fontId="49" fillId="5" borderId="96" xfId="28" applyFont="1" applyFill="1" applyBorder="1" applyAlignment="1" applyProtection="1">
      <alignment horizontal="left" vertical="center"/>
    </xf>
    <xf numFmtId="0" fontId="49" fillId="5" borderId="59" xfId="28" applyFont="1" applyFill="1" applyBorder="1" applyAlignment="1" applyProtection="1">
      <alignment horizontal="left" vertical="center"/>
    </xf>
    <xf numFmtId="0" fontId="49" fillId="5" borderId="79" xfId="28" applyFont="1" applyFill="1" applyBorder="1" applyAlignment="1" applyProtection="1">
      <alignment horizontal="left" vertical="center"/>
    </xf>
    <xf numFmtId="0" fontId="49" fillId="5" borderId="24" xfId="0" applyFont="1" applyFill="1" applyBorder="1" applyAlignment="1" applyProtection="1">
      <alignmen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96"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0" fontId="49" fillId="5" borderId="29"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5" fillId="0" borderId="0" xfId="0" applyFont="1" applyProtection="1"/>
    <xf numFmtId="0" fontId="104" fillId="0" borderId="0" xfId="0" applyNumberFormat="1" applyFont="1" applyProtection="1"/>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121"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99" xfId="0" applyFont="1" applyFill="1" applyBorder="1" applyAlignment="1" applyProtection="1">
      <alignment horizontal="left" vertical="top" wrapText="1"/>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6"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0" fontId="53" fillId="0" borderId="0" xfId="0" applyFont="1" applyBorder="1" applyAlignment="1" applyProtection="1">
      <alignment horizontal="justify" vertical="top" wrapText="1"/>
    </xf>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5"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5"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3" fontId="53" fillId="13" borderId="80" xfId="0" applyNumberFormat="1" applyFont="1" applyFill="1" applyBorder="1" applyAlignment="1" applyProtection="1">
      <alignmen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3" fontId="53" fillId="13" borderId="99" xfId="0" applyNumberFormat="1" applyFont="1" applyFill="1" applyBorder="1" applyAlignment="1" applyProtection="1">
      <alignment vertical="center"/>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3"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0" borderId="0" xfId="13" applyProtection="1"/>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50" fillId="0" borderId="0" xfId="13" applyFont="1" applyProtection="1"/>
    <xf numFmtId="0" fontId="50" fillId="5" borderId="16" xfId="1" applyNumberFormat="1" applyFont="1" applyFill="1" applyBorder="1" applyAlignment="1" applyProtection="1">
      <alignment horizontal="left" vertical="top" wrapText="1"/>
    </xf>
    <xf numFmtId="0" fontId="50" fillId="5" borderId="17" xfId="1" applyNumberFormat="1" applyFont="1" applyFill="1" applyBorder="1" applyAlignment="1" applyProtection="1">
      <alignment horizontal="left" vertical="top" wrapText="1"/>
    </xf>
    <xf numFmtId="0" fontId="50" fillId="5" borderId="18" xfId="1" applyNumberFormat="1" applyFont="1" applyFill="1" applyBorder="1" applyAlignment="1" applyProtection="1">
      <alignment horizontal="left" vertical="top" wrapText="1"/>
    </xf>
    <xf numFmtId="0" fontId="50" fillId="5" borderId="87" xfId="1" applyNumberFormat="1" applyFont="1" applyFill="1" applyBorder="1" applyAlignment="1" applyProtection="1">
      <alignment horizontal="left" vertical="top" wrapText="1"/>
    </xf>
    <xf numFmtId="0" fontId="50" fillId="5" borderId="11" xfId="1" applyNumberFormat="1" applyFont="1" applyFill="1" applyBorder="1" applyAlignment="1" applyProtection="1">
      <alignment horizontal="left" vertical="top" wrapText="1"/>
    </xf>
    <xf numFmtId="0" fontId="50" fillId="5" borderId="12" xfId="1" applyNumberFormat="1" applyFont="1" applyFill="1" applyBorder="1" applyAlignment="1" applyProtection="1">
      <alignment horizontal="left" vertical="top" wrapText="1"/>
    </xf>
    <xf numFmtId="164" fontId="50"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03"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5"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4"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58" xfId="0" applyFont="1" applyFill="1" applyBorder="1" applyAlignment="1" applyProtection="1">
      <alignment horizontal="left"/>
    </xf>
    <xf numFmtId="176" fontId="18" fillId="10" borderId="18"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50" fillId="10" borderId="59" xfId="0" applyFont="1" applyFill="1" applyBorder="1" applyAlignment="1" applyProtection="1">
      <alignment horizontal="left"/>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85"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0" fontId="50" fillId="10" borderId="27" xfId="0" applyFont="1" applyFill="1" applyBorder="1" applyAlignment="1" applyProtection="1">
      <alignment horizontal="left" vertical="center"/>
    </xf>
    <xf numFmtId="0" fontId="50" fillId="10" borderId="9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10" borderId="2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8" fillId="10" borderId="3" xfId="0" applyFont="1" applyFill="1" applyBorder="1" applyAlignment="1" applyProtection="1">
      <alignment horizontal="center" vertical="center"/>
    </xf>
    <xf numFmtId="0" fontId="24" fillId="10" borderId="38" xfId="0" applyFont="1" applyFill="1" applyBorder="1" applyAlignment="1" applyProtection="1"/>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38" fontId="8" fillId="10" borderId="16" xfId="0" applyNumberFormat="1" applyFont="1" applyFill="1" applyBorder="1" applyAlignment="1" applyProtection="1">
      <alignment horizontal="center" vertical="top"/>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76" fontId="4" fillId="10" borderId="93"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176" fontId="4" fillId="10" borderId="38" xfId="0" applyNumberFormat="1" applyFont="1" applyFill="1" applyBorder="1" applyAlignment="1" applyProtection="1">
      <alignment horizontal="left" vertical="top" wrapText="1"/>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cellXfs>
  <cellStyles count="11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10" xfId="78"/>
    <cellStyle name="Header2 10 2" xfId="57"/>
    <cellStyle name="Header2 10 2 2" xfId="115"/>
    <cellStyle name="Header2 10 3" xfId="43"/>
    <cellStyle name="Header2 11" xfId="51"/>
    <cellStyle name="Header2 11 2" xfId="41"/>
    <cellStyle name="Header2 12" xfId="34"/>
    <cellStyle name="Header2 13" xfId="29"/>
    <cellStyle name="Header2 2" xfId="62"/>
    <cellStyle name="Header2 2 2" xfId="90"/>
    <cellStyle name="Header2 2 2 2" xfId="98"/>
    <cellStyle name="Header2 2 3" xfId="113"/>
    <cellStyle name="Header2 3" xfId="69"/>
    <cellStyle name="Header2 3 2" xfId="88"/>
    <cellStyle name="Header2 3 2 2" xfId="101"/>
    <cellStyle name="Header2 3 3" xfId="46"/>
    <cellStyle name="Header2 4" xfId="65"/>
    <cellStyle name="Header2 4 2" xfId="58"/>
    <cellStyle name="Header2 4 2 2" xfId="102"/>
    <cellStyle name="Header2 4 3" xfId="116"/>
    <cellStyle name="Header2 5" xfId="68"/>
    <cellStyle name="Header2 5 2" xfId="54"/>
    <cellStyle name="Header2 5 2 2" xfId="32"/>
    <cellStyle name="Header2 5 3" xfId="93"/>
    <cellStyle name="Header2 6" xfId="74"/>
    <cellStyle name="Header2 6 2" xfId="47"/>
    <cellStyle name="Header2 6 2 2" xfId="104"/>
    <cellStyle name="Header2 6 3" xfId="96"/>
    <cellStyle name="Header2 7" xfId="71"/>
    <cellStyle name="Header2 7 2" xfId="86"/>
    <cellStyle name="Header2 7 2 2" xfId="117"/>
    <cellStyle name="Header2 7 3" xfId="105"/>
    <cellStyle name="Header2 8" xfId="75"/>
    <cellStyle name="Header2 8 2" xfId="85"/>
    <cellStyle name="Header2 8 2 2" xfId="97"/>
    <cellStyle name="Header2 8 3" xfId="38"/>
    <cellStyle name="Header2 9" xfId="77"/>
    <cellStyle name="Header2 9 2" xfId="49"/>
    <cellStyle name="Header2 9 2 2" xfId="111"/>
    <cellStyle name="Header2 9 3" xfId="40"/>
    <cellStyle name="HIDE" xfId="20"/>
    <cellStyle name="Hyperlink" xfId="6" builtinId="8"/>
    <cellStyle name="Input [yellow]" xfId="7"/>
    <cellStyle name="Input [yellow] 10" xfId="82"/>
    <cellStyle name="Input [yellow] 10 2" xfId="53"/>
    <cellStyle name="Input [yellow] 10 2 2" xfId="33"/>
    <cellStyle name="Input [yellow] 10 3" xfId="114"/>
    <cellStyle name="Input [yellow] 11" xfId="52"/>
    <cellStyle name="Input [yellow] 11 2" xfId="103"/>
    <cellStyle name="Input [yellow] 12" xfId="35"/>
    <cellStyle name="Input [yellow] 13" xfId="30"/>
    <cellStyle name="Input [yellow] 2" xfId="63"/>
    <cellStyle name="Input [yellow] 2 2" xfId="91"/>
    <cellStyle name="Input [yellow] 2 2 2" xfId="36"/>
    <cellStyle name="Input [yellow] 2 3" xfId="99"/>
    <cellStyle name="Input [yellow] 3" xfId="61"/>
    <cellStyle name="Input [yellow] 3 2" xfId="50"/>
    <cellStyle name="Input [yellow] 3 2 2" xfId="109"/>
    <cellStyle name="Input [yellow] 3 3" xfId="45"/>
    <cellStyle name="Input [yellow] 4" xfId="64"/>
    <cellStyle name="Input [yellow] 4 2" xfId="89"/>
    <cellStyle name="Input [yellow] 4 2 2" xfId="106"/>
    <cellStyle name="Input [yellow] 4 3" xfId="112"/>
    <cellStyle name="Input [yellow] 5" xfId="72"/>
    <cellStyle name="Input [yellow] 5 2" xfId="56"/>
    <cellStyle name="Input [yellow] 5 2 2" xfId="108"/>
    <cellStyle name="Input [yellow] 5 3" xfId="95"/>
    <cellStyle name="Input [yellow] 6" xfId="67"/>
    <cellStyle name="Input [yellow] 6 2" xfId="87"/>
    <cellStyle name="Input [yellow] 6 2 2" xfId="44"/>
    <cellStyle name="Input [yellow] 6 3" xfId="107"/>
    <cellStyle name="Input [yellow] 7" xfId="73"/>
    <cellStyle name="Input [yellow] 7 2" xfId="59"/>
    <cellStyle name="Input [yellow] 7 2 2" xfId="100"/>
    <cellStyle name="Input [yellow] 7 3" xfId="110"/>
    <cellStyle name="Input [yellow] 8" xfId="81"/>
    <cellStyle name="Input [yellow] 8 2" xfId="60"/>
    <cellStyle name="Input [yellow] 8 2 2" xfId="42"/>
    <cellStyle name="Input [yellow] 8 3" xfId="37"/>
    <cellStyle name="Input [yellow] 9" xfId="79"/>
    <cellStyle name="Input [yellow] 9 2" xfId="48"/>
    <cellStyle name="Input [yellow] 9 2 2" xfId="92"/>
    <cellStyle name="Input [yellow] 9 3" xfId="94"/>
    <cellStyle name="LINK" xfId="21"/>
    <cellStyle name="no dec" xfId="22"/>
    <cellStyle name="Nor@„l_IRRSENS" xfId="23"/>
    <cellStyle name="Normal" xfId="0" builtinId="0"/>
    <cellStyle name="Normal - Style1" xfId="8"/>
    <cellStyle name="Normal 2" xfId="12"/>
    <cellStyle name="Normal 2 2" xfId="66"/>
    <cellStyle name="Normal 2 3" xfId="76"/>
    <cellStyle name="Normal 2 4" xfId="83"/>
    <cellStyle name="Normal 2 5" xfId="55"/>
    <cellStyle name="Normal 2 6" xfId="39"/>
    <cellStyle name="Normal 2 7" xfId="31"/>
    <cellStyle name="Normal 3" xfId="13"/>
    <cellStyle name="Normal 4" xfId="24"/>
    <cellStyle name="Normal 5" xfId="70"/>
    <cellStyle name="Normal 5 2" xfId="80"/>
    <cellStyle name="Normal 5 3" xfId="84"/>
    <cellStyle name="Normal 6" xfId="28"/>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RowHeight="12.75"/>
  <cols>
    <col min="1" max="1" width="144.85546875" style="28" customWidth="1"/>
    <col min="2" max="16384" width="9.140625" style="28"/>
  </cols>
  <sheetData>
    <row r="1" spans="1:6" ht="15" customHeight="1">
      <c r="A1" s="1146" t="s">
        <v>1015</v>
      </c>
    </row>
    <row r="2" spans="1:6" ht="15" customHeight="1">
      <c r="A2" s="1147" t="str">
        <f>'Part I-Project Information'!F24</f>
        <v>The Preserve at Newport</v>
      </c>
    </row>
    <row r="3" spans="1:6" ht="15" customHeight="1">
      <c r="A3" s="1147" t="str">
        <f>CONCATENATE('Part I-Project Information'!F28,", ", 'Part I-Project Information'!J29," County")</f>
        <v>Kingsland, Camden County</v>
      </c>
    </row>
    <row r="4" spans="1:6" ht="12" customHeight="1"/>
    <row r="5" spans="1:6" ht="111" customHeight="1">
      <c r="A5" s="2807" t="s">
        <v>4328</v>
      </c>
      <c r="B5" s="1444" t="s">
        <v>3066</v>
      </c>
      <c r="C5" s="1444"/>
      <c r="D5" s="1444"/>
      <c r="E5" s="1444"/>
      <c r="F5" s="1444"/>
    </row>
    <row r="6" spans="1:6" ht="6.6" customHeight="1">
      <c r="A6" s="2807"/>
      <c r="B6" s="1444"/>
      <c r="C6" s="1444"/>
      <c r="D6" s="1444"/>
      <c r="E6" s="1444"/>
      <c r="F6" s="1444"/>
    </row>
    <row r="7" spans="1:6" ht="93" customHeight="1">
      <c r="A7" s="2807"/>
      <c r="B7" s="1444"/>
      <c r="C7" s="1444"/>
      <c r="D7" s="1444"/>
      <c r="E7" s="1444"/>
      <c r="F7" s="1444"/>
    </row>
    <row r="8" spans="1:6" ht="6.6" customHeight="1">
      <c r="A8" s="2807"/>
    </row>
    <row r="9" spans="1:6" ht="93" customHeight="1">
      <c r="A9" s="2807"/>
    </row>
    <row r="10" spans="1:6" ht="6.6" customHeight="1">
      <c r="A10" s="2807"/>
    </row>
    <row r="11" spans="1:6" ht="93" customHeight="1">
      <c r="A11" s="2807"/>
    </row>
    <row r="12" spans="1:6" ht="6.6" customHeight="1">
      <c r="A12" s="2807"/>
    </row>
    <row r="13" spans="1:6" ht="93" customHeight="1">
      <c r="A13" s="2807"/>
    </row>
    <row r="14" spans="1:6" ht="6.6" customHeight="1">
      <c r="A14" s="2807"/>
    </row>
    <row r="15" spans="1:6" ht="93" customHeight="1">
      <c r="A15" s="2807"/>
    </row>
    <row r="16" spans="1:6" ht="6.6" customHeight="1">
      <c r="A16" s="2807"/>
    </row>
    <row r="17" spans="1:1" ht="93" customHeight="1">
      <c r="A17" s="2807"/>
    </row>
    <row r="18" spans="1:1" ht="6.6" customHeight="1">
      <c r="A18" s="2807"/>
    </row>
    <row r="19" spans="1:1" ht="93" customHeight="1">
      <c r="A19" s="2807"/>
    </row>
    <row r="20" spans="1:1" ht="6.6" customHeight="1">
      <c r="A20" s="2807"/>
    </row>
    <row r="21" spans="1:1" ht="93" customHeight="1">
      <c r="A21" s="2807"/>
    </row>
    <row r="22" spans="1:1" ht="6.6" customHeight="1">
      <c r="A22" s="2807"/>
    </row>
    <row r="23" spans="1:1" ht="93" customHeight="1">
      <c r="A23" s="2807"/>
    </row>
  </sheetData>
  <sheetProtection algorithmName="SHA-512" hashValue="7BcOPb5idj+YN7ahfmieqT93HsDx+Bbq5c3bmfa1avE9LPdiNaH6OTRBB0ESOLCOgimw9eMm+h4TGdeDUJ1LuQ==" saltValue="odPdzO5IlJlxZMCtNCu6Zw=="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130" zoomScaleNormal="13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2016-010 The Preserve at Newport, Kingsland, Camden County</v>
      </c>
      <c r="B1" s="1561"/>
      <c r="C1" s="1561"/>
      <c r="D1" s="1561"/>
      <c r="E1" s="1561"/>
      <c r="F1" s="1561"/>
      <c r="G1" s="1561"/>
      <c r="H1" s="1561"/>
      <c r="I1" s="1561"/>
      <c r="J1" s="1561"/>
      <c r="K1" s="1561"/>
      <c r="L1" s="1561"/>
      <c r="M1" s="1561"/>
      <c r="N1" s="1561"/>
      <c r="O1" s="1561"/>
      <c r="P1" s="1562"/>
      <c r="U1" s="1687" t="str">
        <f>A1</f>
        <v>PART SIX - PROJECTED REVENUES &amp; EXPENSES  -  2016-010 The Preserve at Newport, Kingsland, Camden County</v>
      </c>
      <c r="V1" s="168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21" t="s">
        <v>3855</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80" t="s">
        <v>3663</v>
      </c>
      <c r="JD3" s="1680" t="s">
        <v>3664</v>
      </c>
      <c r="JE3" s="1680" t="s">
        <v>3665</v>
      </c>
      <c r="JF3" s="1680" t="s">
        <v>3666</v>
      </c>
      <c r="JG3" s="1680" t="s">
        <v>3667</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88" t="s">
        <v>4150</v>
      </c>
      <c r="Q4" s="1410"/>
      <c r="R4" s="463"/>
      <c r="S4" s="463"/>
      <c r="T4" s="463"/>
      <c r="U4" s="463"/>
      <c r="V4" s="464"/>
      <c r="W4" s="1686" t="s">
        <v>952</v>
      </c>
      <c r="X4" s="1686" t="s">
        <v>786</v>
      </c>
      <c r="Y4" s="1686" t="s">
        <v>787</v>
      </c>
      <c r="Z4" s="1686" t="s">
        <v>788</v>
      </c>
      <c r="AA4" s="1686" t="s">
        <v>789</v>
      </c>
      <c r="AB4" s="1686" t="s">
        <v>953</v>
      </c>
      <c r="AC4" s="1686" t="s">
        <v>2390</v>
      </c>
      <c r="AD4" s="1686" t="s">
        <v>2391</v>
      </c>
      <c r="AE4" s="1686" t="s">
        <v>2392</v>
      </c>
      <c r="AF4" s="1686" t="s">
        <v>2393</v>
      </c>
      <c r="AG4" s="1686" t="s">
        <v>954</v>
      </c>
      <c r="AH4" s="1686" t="s">
        <v>2394</v>
      </c>
      <c r="AI4" s="1686" t="s">
        <v>2395</v>
      </c>
      <c r="AJ4" s="1686" t="s">
        <v>2396</v>
      </c>
      <c r="AK4" s="1686" t="s">
        <v>2397</v>
      </c>
      <c r="AL4" s="1686" t="s">
        <v>131</v>
      </c>
      <c r="AM4" s="1686" t="s">
        <v>2398</v>
      </c>
      <c r="AN4" s="1686" t="s">
        <v>2399</v>
      </c>
      <c r="AO4" s="1686" t="s">
        <v>2400</v>
      </c>
      <c r="AP4" s="1686" t="s">
        <v>1190</v>
      </c>
      <c r="AQ4" s="1686" t="s">
        <v>575</v>
      </c>
      <c r="AR4" s="1686" t="s">
        <v>576</v>
      </c>
      <c r="AS4" s="1686" t="s">
        <v>598</v>
      </c>
      <c r="AT4" s="1686" t="s">
        <v>599</v>
      </c>
      <c r="AU4" s="1686" t="s">
        <v>600</v>
      </c>
      <c r="AV4" s="1686" t="s">
        <v>601</v>
      </c>
      <c r="AW4" s="1686" t="s">
        <v>602</v>
      </c>
      <c r="AX4" s="1686" t="s">
        <v>603</v>
      </c>
      <c r="AY4" s="1686" t="s">
        <v>604</v>
      </c>
      <c r="AZ4" s="1686" t="s">
        <v>605</v>
      </c>
      <c r="BA4" s="1686" t="s">
        <v>606</v>
      </c>
      <c r="BB4" s="1686" t="s">
        <v>607</v>
      </c>
      <c r="BC4" s="1686" t="s">
        <v>964</v>
      </c>
      <c r="BD4" s="1686" t="s">
        <v>965</v>
      </c>
      <c r="BE4" s="1686" t="s">
        <v>966</v>
      </c>
      <c r="BF4" s="1686" t="s">
        <v>514</v>
      </c>
      <c r="BG4" s="1686" t="s">
        <v>515</v>
      </c>
      <c r="BH4" s="1686" t="s">
        <v>516</v>
      </c>
      <c r="BI4" s="1686" t="s">
        <v>517</v>
      </c>
      <c r="BJ4" s="1686" t="s">
        <v>518</v>
      </c>
      <c r="BK4" s="1686" t="s">
        <v>913</v>
      </c>
      <c r="BL4" s="1686" t="s">
        <v>914</v>
      </c>
      <c r="BM4" s="1686" t="s">
        <v>915</v>
      </c>
      <c r="BN4" s="1686" t="s">
        <v>916</v>
      </c>
      <c r="BO4" s="1686" t="s">
        <v>917</v>
      </c>
      <c r="BP4" s="1686" t="s">
        <v>918</v>
      </c>
      <c r="BQ4" s="1686" t="s">
        <v>919</v>
      </c>
      <c r="BR4" s="1686" t="s">
        <v>920</v>
      </c>
      <c r="BS4" s="1686" t="s">
        <v>921</v>
      </c>
      <c r="BT4" s="1686" t="s">
        <v>922</v>
      </c>
      <c r="BU4" s="1686" t="s">
        <v>2515</v>
      </c>
      <c r="BV4" s="1686" t="s">
        <v>2516</v>
      </c>
      <c r="BW4" s="1686" t="s">
        <v>2517</v>
      </c>
      <c r="BX4" s="1686" t="s">
        <v>2518</v>
      </c>
      <c r="BY4" s="1686" t="s">
        <v>2519</v>
      </c>
      <c r="BZ4" s="1686" t="s">
        <v>119</v>
      </c>
      <c r="CA4" s="1686" t="s">
        <v>1193</v>
      </c>
      <c r="CB4" s="1686" t="s">
        <v>1194</v>
      </c>
      <c r="CC4" s="1686" t="s">
        <v>1259</v>
      </c>
      <c r="CD4" s="1686" t="s">
        <v>1260</v>
      </c>
      <c r="CE4" s="1681" t="s">
        <v>134</v>
      </c>
      <c r="CF4" s="1681" t="s">
        <v>1261</v>
      </c>
      <c r="CG4" s="1681" t="s">
        <v>1262</v>
      </c>
      <c r="CH4" s="1681" t="s">
        <v>1263</v>
      </c>
      <c r="CI4" s="1681" t="s">
        <v>1264</v>
      </c>
      <c r="CJ4" s="1681" t="s">
        <v>133</v>
      </c>
      <c r="CK4" s="1681" t="s">
        <v>944</v>
      </c>
      <c r="CL4" s="1681" t="s">
        <v>945</v>
      </c>
      <c r="CM4" s="1681" t="s">
        <v>946</v>
      </c>
      <c r="CN4" s="1681" t="s">
        <v>947</v>
      </c>
      <c r="CO4" s="1681" t="s">
        <v>132</v>
      </c>
      <c r="CP4" s="1681" t="s">
        <v>948</v>
      </c>
      <c r="CQ4" s="1681" t="s">
        <v>949</v>
      </c>
      <c r="CR4" s="1681" t="s">
        <v>950</v>
      </c>
      <c r="CS4" s="1681" t="s">
        <v>951</v>
      </c>
      <c r="CT4" s="1681" t="s">
        <v>841</v>
      </c>
      <c r="CU4" s="1681" t="s">
        <v>842</v>
      </c>
      <c r="CV4" s="1681" t="s">
        <v>843</v>
      </c>
      <c r="CW4" s="1681" t="s">
        <v>844</v>
      </c>
      <c r="CX4" s="1681" t="s">
        <v>845</v>
      </c>
      <c r="CY4" s="1681" t="s">
        <v>991</v>
      </c>
      <c r="CZ4" s="1681" t="s">
        <v>992</v>
      </c>
      <c r="DA4" s="1681" t="s">
        <v>993</v>
      </c>
      <c r="DB4" s="1681" t="s">
        <v>994</v>
      </c>
      <c r="DC4" s="1681" t="s">
        <v>2514</v>
      </c>
      <c r="DD4" s="1681" t="s">
        <v>1487</v>
      </c>
      <c r="DE4" s="1681" t="s">
        <v>1488</v>
      </c>
      <c r="DF4" s="1681" t="s">
        <v>1489</v>
      </c>
      <c r="DG4" s="1681" t="s">
        <v>1490</v>
      </c>
      <c r="DH4" s="1681" t="s">
        <v>1491</v>
      </c>
      <c r="DI4" s="1681" t="s">
        <v>451</v>
      </c>
      <c r="DJ4" s="1681" t="s">
        <v>452</v>
      </c>
      <c r="DK4" s="1681" t="s">
        <v>453</v>
      </c>
      <c r="DL4" s="1681" t="s">
        <v>454</v>
      </c>
      <c r="DM4" s="1681" t="s">
        <v>455</v>
      </c>
      <c r="DN4" s="1681" t="s">
        <v>18</v>
      </c>
      <c r="DO4" s="1681" t="s">
        <v>19</v>
      </c>
      <c r="DP4" s="1681" t="s">
        <v>20</v>
      </c>
      <c r="DQ4" s="1681" t="s">
        <v>21</v>
      </c>
      <c r="DR4" s="1681" t="s">
        <v>22</v>
      </c>
      <c r="DS4" s="1681" t="s">
        <v>231</v>
      </c>
      <c r="DT4" s="1681" t="s">
        <v>232</v>
      </c>
      <c r="DU4" s="1681" t="s">
        <v>233</v>
      </c>
      <c r="DV4" s="1681" t="s">
        <v>1879</v>
      </c>
      <c r="DW4" s="1681" t="s">
        <v>1880</v>
      </c>
      <c r="DX4" s="1681" t="s">
        <v>1881</v>
      </c>
      <c r="DY4" s="1681" t="s">
        <v>614</v>
      </c>
      <c r="DZ4" s="1681" t="s">
        <v>615</v>
      </c>
      <c r="EA4" s="1681" t="s">
        <v>616</v>
      </c>
      <c r="EB4" s="1681" t="s">
        <v>617</v>
      </c>
      <c r="EC4" s="1681" t="s">
        <v>23</v>
      </c>
      <c r="ED4" s="1681" t="s">
        <v>24</v>
      </c>
      <c r="EE4" s="1681" t="s">
        <v>25</v>
      </c>
      <c r="EF4" s="1681" t="s">
        <v>26</v>
      </c>
      <c r="EG4" s="1681" t="s">
        <v>27</v>
      </c>
      <c r="EH4" s="1681" t="s">
        <v>513</v>
      </c>
      <c r="EI4" s="1681" t="s">
        <v>447</v>
      </c>
      <c r="EJ4" s="1681" t="s">
        <v>448</v>
      </c>
      <c r="EK4" s="1681" t="s">
        <v>449</v>
      </c>
      <c r="EL4" s="1681" t="s">
        <v>450</v>
      </c>
      <c r="EM4" s="1681" t="s">
        <v>2287</v>
      </c>
      <c r="EN4" s="1681" t="s">
        <v>2288</v>
      </c>
      <c r="EO4" s="1681" t="s">
        <v>2289</v>
      </c>
      <c r="EP4" s="1681" t="s">
        <v>1536</v>
      </c>
      <c r="EQ4" s="1681" t="s">
        <v>1537</v>
      </c>
      <c r="ER4" s="1681" t="s">
        <v>28</v>
      </c>
      <c r="ES4" s="1681" t="s">
        <v>29</v>
      </c>
      <c r="ET4" s="1681" t="s">
        <v>30</v>
      </c>
      <c r="EU4" s="1681" t="s">
        <v>31</v>
      </c>
      <c r="EV4" s="1681"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80" t="s">
        <v>1683</v>
      </c>
      <c r="IE4" s="1680" t="s">
        <v>2611</v>
      </c>
      <c r="IF4" s="1680" t="s">
        <v>2612</v>
      </c>
      <c r="IG4" s="1680" t="s">
        <v>400</v>
      </c>
      <c r="IH4" s="1680" t="s">
        <v>401</v>
      </c>
      <c r="II4" s="1680" t="s">
        <v>402</v>
      </c>
      <c r="IJ4" s="1680" t="s">
        <v>403</v>
      </c>
      <c r="IK4" s="1680" t="s">
        <v>404</v>
      </c>
      <c r="IL4" s="1680" t="s">
        <v>405</v>
      </c>
      <c r="IM4" s="1680" t="s">
        <v>406</v>
      </c>
      <c r="IN4" s="1680" t="s">
        <v>208</v>
      </c>
      <c r="IO4" s="1680" t="s">
        <v>209</v>
      </c>
      <c r="IP4" s="1680" t="s">
        <v>210</v>
      </c>
      <c r="IQ4" s="1680" t="s">
        <v>211</v>
      </c>
      <c r="IR4" s="1680" t="s">
        <v>212</v>
      </c>
      <c r="IS4" s="1680" t="s">
        <v>213</v>
      </c>
      <c r="IT4" s="1680" t="s">
        <v>214</v>
      </c>
      <c r="IU4" s="1680" t="s">
        <v>215</v>
      </c>
      <c r="IV4" s="1680" t="s">
        <v>216</v>
      </c>
      <c r="IW4" s="1680" t="s">
        <v>217</v>
      </c>
      <c r="IX4" s="1680" t="s">
        <v>218</v>
      </c>
      <c r="IY4" s="1680" t="s">
        <v>219</v>
      </c>
      <c r="IZ4" s="1680" t="s">
        <v>220</v>
      </c>
      <c r="JA4" s="1680" t="s">
        <v>221</v>
      </c>
      <c r="JB4" s="1680" t="s">
        <v>222</v>
      </c>
      <c r="JC4" s="1680"/>
      <c r="JD4" s="1680"/>
      <c r="JE4" s="1680"/>
      <c r="JF4" s="1680"/>
      <c r="JG4" s="1680"/>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690" t="str">
        <f>IF(A48&gt;0,"Finish Row!","")</f>
        <v/>
      </c>
      <c r="B5" s="4" t="s">
        <v>1916</v>
      </c>
      <c r="D5" s="1"/>
      <c r="E5" s="4"/>
      <c r="F5" s="1"/>
      <c r="G5" s="2983" t="s">
        <v>4278</v>
      </c>
      <c r="J5" s="1411" t="s">
        <v>3849</v>
      </c>
      <c r="M5" s="1425" t="s">
        <v>597</v>
      </c>
      <c r="O5" s="1413" t="s">
        <v>1072</v>
      </c>
      <c r="P5" s="1688"/>
      <c r="Q5" s="1410"/>
      <c r="R5" s="100"/>
      <c r="S5" s="100"/>
      <c r="T5" s="100"/>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c r="BD5" s="1686"/>
      <c r="BE5" s="1686"/>
      <c r="BF5" s="1686"/>
      <c r="BG5" s="1686"/>
      <c r="BH5" s="1686"/>
      <c r="BI5" s="1686"/>
      <c r="BJ5" s="1686"/>
      <c r="BK5" s="1686"/>
      <c r="BL5" s="1686"/>
      <c r="BM5" s="1686"/>
      <c r="BN5" s="1686"/>
      <c r="BO5" s="1686"/>
      <c r="BP5" s="1686"/>
      <c r="BQ5" s="1686"/>
      <c r="BR5" s="1686"/>
      <c r="BS5" s="1686"/>
      <c r="BT5" s="1686"/>
      <c r="BU5" s="1686"/>
      <c r="BV5" s="1686"/>
      <c r="BW5" s="1686"/>
      <c r="BX5" s="1686"/>
      <c r="BY5" s="1686"/>
      <c r="BZ5" s="1686"/>
      <c r="CA5" s="1686"/>
      <c r="CB5" s="1686"/>
      <c r="CC5" s="1686"/>
      <c r="CD5" s="1686"/>
      <c r="CE5" s="1681"/>
      <c r="CF5" s="1681"/>
      <c r="CG5" s="1681"/>
      <c r="CH5" s="1681"/>
      <c r="CI5" s="1681"/>
      <c r="CJ5" s="1681"/>
      <c r="CK5" s="1681"/>
      <c r="CL5" s="1681"/>
      <c r="CM5" s="1681"/>
      <c r="CN5" s="1681"/>
      <c r="CO5" s="1681"/>
      <c r="CP5" s="1681"/>
      <c r="CQ5" s="1681"/>
      <c r="CR5" s="1681"/>
      <c r="CS5" s="1681"/>
      <c r="CT5" s="1681"/>
      <c r="CU5" s="1681"/>
      <c r="CV5" s="1681"/>
      <c r="CW5" s="1681"/>
      <c r="CX5" s="1681"/>
      <c r="CY5" s="1681"/>
      <c r="CZ5" s="1681"/>
      <c r="DA5" s="1681"/>
      <c r="DB5" s="1681"/>
      <c r="DC5" s="1681"/>
      <c r="DD5" s="1681"/>
      <c r="DE5" s="1681"/>
      <c r="DF5" s="1681"/>
      <c r="DG5" s="1681"/>
      <c r="DH5" s="1681"/>
      <c r="DI5" s="1681"/>
      <c r="DJ5" s="1681"/>
      <c r="DK5" s="1681"/>
      <c r="DL5" s="1681"/>
      <c r="DM5" s="1681"/>
      <c r="DN5" s="1681"/>
      <c r="DO5" s="1681"/>
      <c r="DP5" s="1681"/>
      <c r="DQ5" s="1681"/>
      <c r="DR5" s="1681"/>
      <c r="DS5" s="1681"/>
      <c r="DT5" s="1681"/>
      <c r="DU5" s="1681"/>
      <c r="DV5" s="1681"/>
      <c r="DW5" s="1681"/>
      <c r="DX5" s="1681"/>
      <c r="DY5" s="1681"/>
      <c r="DZ5" s="1681"/>
      <c r="EA5" s="1681"/>
      <c r="EB5" s="1681"/>
      <c r="EC5" s="1681"/>
      <c r="ED5" s="1681"/>
      <c r="EE5" s="1681"/>
      <c r="EF5" s="1681"/>
      <c r="EG5" s="1681"/>
      <c r="EH5" s="1681"/>
      <c r="EI5" s="1681"/>
      <c r="EJ5" s="1681"/>
      <c r="EK5" s="1681"/>
      <c r="EL5" s="1681"/>
      <c r="EM5" s="1681"/>
      <c r="EN5" s="1681"/>
      <c r="EO5" s="1681"/>
      <c r="EP5" s="1681"/>
      <c r="EQ5" s="1681"/>
      <c r="ER5" s="1681"/>
      <c r="ES5" s="1681"/>
      <c r="ET5" s="1681"/>
      <c r="EU5" s="1681"/>
      <c r="EV5" s="1681"/>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80"/>
      <c r="IE5" s="1680"/>
      <c r="IF5" s="1680"/>
      <c r="IG5" s="1680"/>
      <c r="IH5" s="1680"/>
      <c r="II5" s="1680"/>
      <c r="IJ5" s="1680"/>
      <c r="IK5" s="1680"/>
      <c r="IL5" s="1680"/>
      <c r="IM5" s="1680"/>
      <c r="IN5" s="1680"/>
      <c r="IO5" s="1680"/>
      <c r="IP5" s="1680"/>
      <c r="IQ5" s="1680"/>
      <c r="IR5" s="1680"/>
      <c r="IS5" s="1680"/>
      <c r="IT5" s="1680"/>
      <c r="IU5" s="1680"/>
      <c r="IV5" s="1680"/>
      <c r="IW5" s="1680"/>
      <c r="IX5" s="1680"/>
      <c r="IY5" s="1680"/>
      <c r="IZ5" s="1680"/>
      <c r="JA5" s="1680"/>
      <c r="JB5" s="1680"/>
      <c r="JC5" s="1680"/>
      <c r="JD5" s="1680"/>
      <c r="JE5" s="1680"/>
      <c r="JF5" s="1680"/>
      <c r="JG5" s="1680"/>
      <c r="JH5" s="1685" t="s">
        <v>3658</v>
      </c>
      <c r="JI5" s="1685" t="s">
        <v>3659</v>
      </c>
      <c r="JJ5" s="1685" t="s">
        <v>3660</v>
      </c>
      <c r="JK5" s="1685" t="s">
        <v>3661</v>
      </c>
      <c r="JL5" s="1685" t="s">
        <v>3662</v>
      </c>
      <c r="JM5" s="1680" t="s">
        <v>3672</v>
      </c>
      <c r="JN5" s="1680" t="s">
        <v>3674</v>
      </c>
      <c r="JO5" s="1680" t="s">
        <v>3675</v>
      </c>
      <c r="JP5" s="1680" t="s">
        <v>3676</v>
      </c>
      <c r="JQ5" s="1680" t="s">
        <v>3677</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90"/>
      <c r="B6" s="30" t="s">
        <v>1872</v>
      </c>
      <c r="D6" s="1"/>
      <c r="E6" s="4"/>
      <c r="F6" s="2984" t="s">
        <v>3156</v>
      </c>
      <c r="G6" s="1411" t="s">
        <v>4099</v>
      </c>
      <c r="H6" s="1691" t="s">
        <v>4102</v>
      </c>
      <c r="J6" s="1411" t="s">
        <v>4104</v>
      </c>
      <c r="M6" s="1682" t="str">
        <f>'Part I-Project Information'!$O$30</f>
        <v>Camden Co.</v>
      </c>
      <c r="N6" s="1682"/>
      <c r="O6" s="1164">
        <f>VLOOKUP('Part I-Project Information'!$O$30,'DCA Underwriting Assumptions'!$C$141:$D$251,2)</f>
        <v>65400</v>
      </c>
      <c r="P6" s="1688"/>
      <c r="Q6" s="1410"/>
      <c r="R6" s="100"/>
      <c r="S6" s="1683" t="s">
        <v>2801</v>
      </c>
      <c r="T6" s="1683"/>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c r="BD6" s="1686"/>
      <c r="BE6" s="1686"/>
      <c r="BF6" s="1686"/>
      <c r="BG6" s="1686"/>
      <c r="BH6" s="1686"/>
      <c r="BI6" s="1686"/>
      <c r="BJ6" s="1686"/>
      <c r="BK6" s="1686"/>
      <c r="BL6" s="1686"/>
      <c r="BM6" s="1686"/>
      <c r="BN6" s="1686"/>
      <c r="BO6" s="1686"/>
      <c r="BP6" s="1686"/>
      <c r="BQ6" s="1686"/>
      <c r="BR6" s="1686"/>
      <c r="BS6" s="1686"/>
      <c r="BT6" s="1686"/>
      <c r="BU6" s="1686"/>
      <c r="BV6" s="1686"/>
      <c r="BW6" s="1686"/>
      <c r="BX6" s="1686"/>
      <c r="BY6" s="1686"/>
      <c r="BZ6" s="1686"/>
      <c r="CA6" s="1686"/>
      <c r="CB6" s="1686"/>
      <c r="CC6" s="1686"/>
      <c r="CD6" s="1686"/>
      <c r="CE6" s="1681"/>
      <c r="CF6" s="1681"/>
      <c r="CG6" s="1681"/>
      <c r="CH6" s="1681"/>
      <c r="CI6" s="1681"/>
      <c r="CJ6" s="1681"/>
      <c r="CK6" s="1681"/>
      <c r="CL6" s="1681"/>
      <c r="CM6" s="1681"/>
      <c r="CN6" s="1681"/>
      <c r="CO6" s="1681"/>
      <c r="CP6" s="1681"/>
      <c r="CQ6" s="1681"/>
      <c r="CR6" s="1681"/>
      <c r="CS6" s="1681"/>
      <c r="CT6" s="1681"/>
      <c r="CU6" s="1681"/>
      <c r="CV6" s="1681"/>
      <c r="CW6" s="1681"/>
      <c r="CX6" s="1681"/>
      <c r="CY6" s="1681"/>
      <c r="CZ6" s="1681"/>
      <c r="DA6" s="1681"/>
      <c r="DB6" s="1681"/>
      <c r="DC6" s="1681"/>
      <c r="DD6" s="1681"/>
      <c r="DE6" s="1681"/>
      <c r="DF6" s="1681"/>
      <c r="DG6" s="1681"/>
      <c r="DH6" s="1681"/>
      <c r="DI6" s="1681"/>
      <c r="DJ6" s="1681"/>
      <c r="DK6" s="1681"/>
      <c r="DL6" s="1681"/>
      <c r="DM6" s="1681"/>
      <c r="DN6" s="1681"/>
      <c r="DO6" s="1681"/>
      <c r="DP6" s="1681"/>
      <c r="DQ6" s="1681"/>
      <c r="DR6" s="1681"/>
      <c r="DS6" s="1681"/>
      <c r="DT6" s="1681"/>
      <c r="DU6" s="1681"/>
      <c r="DV6" s="1681"/>
      <c r="DW6" s="1681"/>
      <c r="DX6" s="1681"/>
      <c r="DY6" s="1681"/>
      <c r="DZ6" s="1681"/>
      <c r="EA6" s="1681"/>
      <c r="EB6" s="1681"/>
      <c r="EC6" s="1681"/>
      <c r="ED6" s="1681"/>
      <c r="EE6" s="1681"/>
      <c r="EF6" s="1681"/>
      <c r="EG6" s="1681"/>
      <c r="EH6" s="1681"/>
      <c r="EI6" s="1681"/>
      <c r="EJ6" s="1681"/>
      <c r="EK6" s="1681"/>
      <c r="EL6" s="1681"/>
      <c r="EM6" s="1681"/>
      <c r="EN6" s="1681"/>
      <c r="EO6" s="1681"/>
      <c r="EP6" s="1681"/>
      <c r="EQ6" s="1681"/>
      <c r="ER6" s="1681"/>
      <c r="ES6" s="1681"/>
      <c r="ET6" s="1681"/>
      <c r="EU6" s="1681"/>
      <c r="EV6" s="1681"/>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80"/>
      <c r="IE6" s="1680"/>
      <c r="IF6" s="1680"/>
      <c r="IG6" s="1680"/>
      <c r="IH6" s="1680"/>
      <c r="II6" s="1680"/>
      <c r="IJ6" s="1680"/>
      <c r="IK6" s="1680"/>
      <c r="IL6" s="1680"/>
      <c r="IM6" s="1680"/>
      <c r="IN6" s="1680"/>
      <c r="IO6" s="1680"/>
      <c r="IP6" s="1680"/>
      <c r="IQ6" s="1680"/>
      <c r="IR6" s="1680"/>
      <c r="IS6" s="1680"/>
      <c r="IT6" s="1680"/>
      <c r="IU6" s="1680"/>
      <c r="IV6" s="1680"/>
      <c r="IW6" s="1680"/>
      <c r="IX6" s="1680"/>
      <c r="IY6" s="1680"/>
      <c r="IZ6" s="1680"/>
      <c r="JA6" s="1680"/>
      <c r="JB6" s="1680"/>
      <c r="JC6" s="1680"/>
      <c r="JD6" s="1680"/>
      <c r="JE6" s="1680"/>
      <c r="JF6" s="1680"/>
      <c r="JG6" s="1680"/>
      <c r="JH6" s="1685"/>
      <c r="JI6" s="1685"/>
      <c r="JJ6" s="1685"/>
      <c r="JK6" s="1685"/>
      <c r="JL6" s="1685"/>
      <c r="JM6" s="1680"/>
      <c r="JN6" s="1680"/>
      <c r="JO6" s="1680"/>
      <c r="JP6" s="1680"/>
      <c r="JQ6" s="1680"/>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90"/>
      <c r="B7" s="4"/>
      <c r="C7" s="1"/>
      <c r="D7" s="4"/>
      <c r="E7" s="1"/>
      <c r="F7" s="1"/>
      <c r="G7" s="1411" t="s">
        <v>4100</v>
      </c>
      <c r="H7" s="1691"/>
      <c r="J7" s="1411" t="s">
        <v>4105</v>
      </c>
      <c r="M7" s="1"/>
      <c r="P7" s="1688"/>
      <c r="Q7" s="1410"/>
      <c r="R7" s="1155"/>
      <c r="S7" s="1156"/>
      <c r="T7" s="1161" t="s">
        <v>2798</v>
      </c>
      <c r="U7" s="463"/>
      <c r="V7" s="464"/>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686"/>
      <c r="CE7" s="1681"/>
      <c r="CF7" s="1681"/>
      <c r="CG7" s="1681"/>
      <c r="CH7" s="1681"/>
      <c r="CI7" s="1681"/>
      <c r="CJ7" s="1681"/>
      <c r="CK7" s="1681"/>
      <c r="CL7" s="1681"/>
      <c r="CM7" s="1681"/>
      <c r="CN7" s="1681"/>
      <c r="CO7" s="1681"/>
      <c r="CP7" s="1681"/>
      <c r="CQ7" s="1681"/>
      <c r="CR7" s="1681"/>
      <c r="CS7" s="1681"/>
      <c r="CT7" s="1681"/>
      <c r="CU7" s="1681"/>
      <c r="CV7" s="1681"/>
      <c r="CW7" s="1681"/>
      <c r="CX7" s="1681"/>
      <c r="CY7" s="1681"/>
      <c r="CZ7" s="1681"/>
      <c r="DA7" s="1681"/>
      <c r="DB7" s="1681"/>
      <c r="DC7" s="1681"/>
      <c r="DD7" s="1681"/>
      <c r="DE7" s="1681"/>
      <c r="DF7" s="1681"/>
      <c r="DG7" s="1681"/>
      <c r="DH7" s="1681"/>
      <c r="DI7" s="1681"/>
      <c r="DJ7" s="1681"/>
      <c r="DK7" s="1681"/>
      <c r="DL7" s="1681"/>
      <c r="DM7" s="1681"/>
      <c r="DN7" s="1681"/>
      <c r="DO7" s="1681"/>
      <c r="DP7" s="1681"/>
      <c r="DQ7" s="1681"/>
      <c r="DR7" s="1681"/>
      <c r="DS7" s="1681"/>
      <c r="DT7" s="1681"/>
      <c r="DU7" s="1681"/>
      <c r="DV7" s="1681"/>
      <c r="DW7" s="1681"/>
      <c r="DX7" s="1681"/>
      <c r="DY7" s="1681"/>
      <c r="DZ7" s="1681"/>
      <c r="EA7" s="1681"/>
      <c r="EB7" s="1681"/>
      <c r="EC7" s="1681"/>
      <c r="ED7" s="1681"/>
      <c r="EE7" s="1681"/>
      <c r="EF7" s="1681"/>
      <c r="EG7" s="1681"/>
      <c r="EH7" s="1681"/>
      <c r="EI7" s="1681"/>
      <c r="EJ7" s="1681"/>
      <c r="EK7" s="1681"/>
      <c r="EL7" s="1681"/>
      <c r="EM7" s="1681"/>
      <c r="EN7" s="1681"/>
      <c r="EO7" s="1681"/>
      <c r="EP7" s="1681"/>
      <c r="EQ7" s="1681"/>
      <c r="ER7" s="1681"/>
      <c r="ES7" s="1681"/>
      <c r="ET7" s="1681"/>
      <c r="EU7" s="1681"/>
      <c r="EV7" s="1681"/>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80"/>
      <c r="IE7" s="1680"/>
      <c r="IF7" s="1680"/>
      <c r="IG7" s="1680"/>
      <c r="IH7" s="1680"/>
      <c r="II7" s="1680"/>
      <c r="IJ7" s="1680"/>
      <c r="IK7" s="1680"/>
      <c r="IL7" s="1680"/>
      <c r="IM7" s="1680"/>
      <c r="IN7" s="1680"/>
      <c r="IO7" s="1680"/>
      <c r="IP7" s="1680"/>
      <c r="IQ7" s="1680"/>
      <c r="IR7" s="1680"/>
      <c r="IS7" s="1680"/>
      <c r="IT7" s="1680"/>
      <c r="IU7" s="1680"/>
      <c r="IV7" s="1680"/>
      <c r="IW7" s="1680"/>
      <c r="IX7" s="1680"/>
      <c r="IY7" s="1680"/>
      <c r="IZ7" s="1680"/>
      <c r="JA7" s="1680"/>
      <c r="JB7" s="1680"/>
      <c r="JC7" s="1680"/>
      <c r="JD7" s="1680"/>
      <c r="JE7" s="1680"/>
      <c r="JF7" s="1680"/>
      <c r="JG7" s="1680"/>
      <c r="JH7" s="1685"/>
      <c r="JI7" s="1685"/>
      <c r="JJ7" s="1685"/>
      <c r="JK7" s="1685"/>
      <c r="JL7" s="1685"/>
      <c r="JM7" s="1680"/>
      <c r="JN7" s="1680"/>
      <c r="JO7" s="1680"/>
      <c r="JP7" s="1680"/>
      <c r="JQ7" s="1680"/>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90"/>
      <c r="B8" s="1412" t="s">
        <v>1535</v>
      </c>
      <c r="C8" s="1411" t="s">
        <v>177</v>
      </c>
      <c r="D8" s="1411" t="s">
        <v>564</v>
      </c>
      <c r="E8" s="1411" t="s">
        <v>1533</v>
      </c>
      <c r="F8" s="1411" t="s">
        <v>1533</v>
      </c>
      <c r="G8" s="1411" t="s">
        <v>1535</v>
      </c>
      <c r="H8" s="1411" t="s">
        <v>4100</v>
      </c>
      <c r="I8" s="1411" t="s">
        <v>830</v>
      </c>
      <c r="J8" s="1411" t="s">
        <v>2491</v>
      </c>
      <c r="K8" s="1684" t="s">
        <v>147</v>
      </c>
      <c r="L8" s="1684"/>
      <c r="M8" s="1411" t="s">
        <v>2450</v>
      </c>
      <c r="N8" s="1411" t="s">
        <v>551</v>
      </c>
      <c r="O8" s="1411" t="s">
        <v>397</v>
      </c>
      <c r="P8" s="1688"/>
      <c r="Q8" s="1684" t="s">
        <v>3860</v>
      </c>
      <c r="R8" s="1684"/>
      <c r="S8" s="1411" t="s">
        <v>2797</v>
      </c>
      <c r="T8" s="1411" t="s">
        <v>2799</v>
      </c>
      <c r="U8" s="465"/>
      <c r="V8" s="466"/>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86"/>
      <c r="CE8" s="1681"/>
      <c r="CF8" s="1681"/>
      <c r="CG8" s="1681"/>
      <c r="CH8" s="1681"/>
      <c r="CI8" s="1681"/>
      <c r="CJ8" s="1681"/>
      <c r="CK8" s="1681"/>
      <c r="CL8" s="1681"/>
      <c r="CM8" s="1681"/>
      <c r="CN8" s="1681"/>
      <c r="CO8" s="1681"/>
      <c r="CP8" s="1681"/>
      <c r="CQ8" s="1681"/>
      <c r="CR8" s="1681"/>
      <c r="CS8" s="1681"/>
      <c r="CT8" s="1681"/>
      <c r="CU8" s="1681"/>
      <c r="CV8" s="1681"/>
      <c r="CW8" s="1681"/>
      <c r="CX8" s="1681"/>
      <c r="CY8" s="1681"/>
      <c r="CZ8" s="1681"/>
      <c r="DA8" s="1681"/>
      <c r="DB8" s="1681"/>
      <c r="DC8" s="1681"/>
      <c r="DD8" s="1681"/>
      <c r="DE8" s="1681"/>
      <c r="DF8" s="1681"/>
      <c r="DG8" s="1681"/>
      <c r="DH8" s="1681"/>
      <c r="DI8" s="1681"/>
      <c r="DJ8" s="1681"/>
      <c r="DK8" s="1681"/>
      <c r="DL8" s="1681"/>
      <c r="DM8" s="1681"/>
      <c r="DN8" s="1681"/>
      <c r="DO8" s="1681"/>
      <c r="DP8" s="1681"/>
      <c r="DQ8" s="1681"/>
      <c r="DR8" s="1681"/>
      <c r="DS8" s="1681"/>
      <c r="DT8" s="1681"/>
      <c r="DU8" s="1681"/>
      <c r="DV8" s="1681"/>
      <c r="DW8" s="1681"/>
      <c r="DX8" s="1681"/>
      <c r="DY8" s="1681"/>
      <c r="DZ8" s="1681"/>
      <c r="EA8" s="1681"/>
      <c r="EB8" s="1681"/>
      <c r="EC8" s="1681"/>
      <c r="ED8" s="1681"/>
      <c r="EE8" s="1681"/>
      <c r="EF8" s="1681"/>
      <c r="EG8" s="1681"/>
      <c r="EH8" s="1681"/>
      <c r="EI8" s="1681"/>
      <c r="EJ8" s="1681"/>
      <c r="EK8" s="1681"/>
      <c r="EL8" s="1681"/>
      <c r="EM8" s="1681"/>
      <c r="EN8" s="1681"/>
      <c r="EO8" s="1681"/>
      <c r="EP8" s="1681"/>
      <c r="EQ8" s="1681"/>
      <c r="ER8" s="1681"/>
      <c r="ES8" s="1681"/>
      <c r="ET8" s="1681"/>
      <c r="EU8" s="1681"/>
      <c r="EV8" s="1681"/>
      <c r="EW8" s="1681" t="s">
        <v>1518</v>
      </c>
      <c r="EX8" s="510" t="s">
        <v>2525</v>
      </c>
      <c r="EY8" s="510" t="s">
        <v>2526</v>
      </c>
      <c r="EZ8" s="510" t="s">
        <v>2527</v>
      </c>
      <c r="FA8" s="510" t="s">
        <v>2528</v>
      </c>
      <c r="FB8" s="1680" t="s">
        <v>2583</v>
      </c>
      <c r="FC8" s="1680" t="s">
        <v>2583</v>
      </c>
      <c r="FD8" s="1680" t="s">
        <v>2583</v>
      </c>
      <c r="FE8" s="1680" t="s">
        <v>2583</v>
      </c>
      <c r="FF8" s="1680" t="s">
        <v>2583</v>
      </c>
      <c r="FG8" s="1680" t="s">
        <v>3554</v>
      </c>
      <c r="FH8" s="1680" t="s">
        <v>3554</v>
      </c>
      <c r="FI8" s="1680" t="s">
        <v>3554</v>
      </c>
      <c r="FJ8" s="1680" t="s">
        <v>3554</v>
      </c>
      <c r="FK8" s="1680" t="s">
        <v>3554</v>
      </c>
      <c r="FL8" s="510" t="s">
        <v>587</v>
      </c>
      <c r="FM8" s="510" t="s">
        <v>2525</v>
      </c>
      <c r="FN8" s="510" t="s">
        <v>2526</v>
      </c>
      <c r="FO8" s="510" t="s">
        <v>2527</v>
      </c>
      <c r="FP8" s="510" t="s">
        <v>2528</v>
      </c>
      <c r="FQ8" s="510" t="s">
        <v>587</v>
      </c>
      <c r="FR8" s="510" t="s">
        <v>2525</v>
      </c>
      <c r="FS8" s="510" t="s">
        <v>2526</v>
      </c>
      <c r="FT8" s="510" t="s">
        <v>2527</v>
      </c>
      <c r="FU8" s="510" t="s">
        <v>2528</v>
      </c>
      <c r="FV8" s="1680" t="s">
        <v>2585</v>
      </c>
      <c r="FW8" s="1680" t="s">
        <v>2585</v>
      </c>
      <c r="FX8" s="1680" t="s">
        <v>2585</v>
      </c>
      <c r="FY8" s="1680" t="s">
        <v>2585</v>
      </c>
      <c r="FZ8" s="1680" t="s">
        <v>2585</v>
      </c>
      <c r="GA8" s="1680" t="s">
        <v>3550</v>
      </c>
      <c r="GB8" s="1680" t="s">
        <v>3550</v>
      </c>
      <c r="GC8" s="1680" t="s">
        <v>3550</v>
      </c>
      <c r="GD8" s="1680" t="s">
        <v>3550</v>
      </c>
      <c r="GE8" s="1680" t="s">
        <v>3550</v>
      </c>
      <c r="GF8" s="1680" t="s">
        <v>372</v>
      </c>
      <c r="GG8" s="1680" t="s">
        <v>372</v>
      </c>
      <c r="GH8" s="1680" t="s">
        <v>372</v>
      </c>
      <c r="GI8" s="1680" t="s">
        <v>372</v>
      </c>
      <c r="GJ8" s="1680" t="s">
        <v>372</v>
      </c>
      <c r="GK8" s="1680" t="s">
        <v>3549</v>
      </c>
      <c r="GL8" s="1680" t="s">
        <v>3549</v>
      </c>
      <c r="GM8" s="1680" t="s">
        <v>3549</v>
      </c>
      <c r="GN8" s="1680" t="s">
        <v>3549</v>
      </c>
      <c r="GO8" s="1680" t="s">
        <v>3549</v>
      </c>
      <c r="GP8" s="1680" t="s">
        <v>373</v>
      </c>
      <c r="GQ8" s="1680" t="s">
        <v>373</v>
      </c>
      <c r="GR8" s="1680" t="s">
        <v>373</v>
      </c>
      <c r="GS8" s="1680" t="s">
        <v>373</v>
      </c>
      <c r="GT8" s="1680" t="s">
        <v>373</v>
      </c>
      <c r="GU8" s="1680" t="s">
        <v>3548</v>
      </c>
      <c r="GV8" s="1680" t="s">
        <v>3548</v>
      </c>
      <c r="GW8" s="1680" t="s">
        <v>3548</v>
      </c>
      <c r="GX8" s="1680" t="s">
        <v>3548</v>
      </c>
      <c r="GY8" s="1680" t="s">
        <v>3548</v>
      </c>
      <c r="GZ8" s="1680" t="s">
        <v>374</v>
      </c>
      <c r="HA8" s="1680" t="s">
        <v>374</v>
      </c>
      <c r="HB8" s="1680" t="s">
        <v>374</v>
      </c>
      <c r="HC8" s="1680" t="s">
        <v>374</v>
      </c>
      <c r="HD8" s="1680" t="s">
        <v>374</v>
      </c>
      <c r="HE8" s="1680" t="s">
        <v>3551</v>
      </c>
      <c r="HF8" s="1680" t="s">
        <v>3551</v>
      </c>
      <c r="HG8" s="1680" t="s">
        <v>3551</v>
      </c>
      <c r="HH8" s="1680" t="s">
        <v>3551</v>
      </c>
      <c r="HI8" s="1680" t="s">
        <v>3551</v>
      </c>
      <c r="HJ8" s="1680" t="s">
        <v>375</v>
      </c>
      <c r="HK8" s="1680" t="s">
        <v>375</v>
      </c>
      <c r="HL8" s="1680" t="s">
        <v>375</v>
      </c>
      <c r="HM8" s="1680" t="s">
        <v>375</v>
      </c>
      <c r="HN8" s="1680" t="s">
        <v>375</v>
      </c>
      <c r="HO8" s="1680" t="s">
        <v>3552</v>
      </c>
      <c r="HP8" s="1680" t="s">
        <v>3552</v>
      </c>
      <c r="HQ8" s="1680" t="s">
        <v>3552</v>
      </c>
      <c r="HR8" s="1680" t="s">
        <v>3552</v>
      </c>
      <c r="HS8" s="1680" t="s">
        <v>3552</v>
      </c>
      <c r="HT8" s="1680" t="s">
        <v>1517</v>
      </c>
      <c r="HU8" s="1680" t="s">
        <v>1517</v>
      </c>
      <c r="HV8" s="1680" t="s">
        <v>1517</v>
      </c>
      <c r="HW8" s="1680" t="s">
        <v>1517</v>
      </c>
      <c r="HX8" s="1680" t="s">
        <v>1517</v>
      </c>
      <c r="HY8" s="1680" t="s">
        <v>3553</v>
      </c>
      <c r="HZ8" s="1680" t="s">
        <v>3553</v>
      </c>
      <c r="IA8" s="1680" t="s">
        <v>3553</v>
      </c>
      <c r="IB8" s="1680" t="s">
        <v>3553</v>
      </c>
      <c r="IC8" s="1680" t="s">
        <v>3553</v>
      </c>
      <c r="ID8" s="1680"/>
      <c r="IE8" s="1680"/>
      <c r="IF8" s="1680"/>
      <c r="IG8" s="1680"/>
      <c r="IH8" s="1680"/>
      <c r="II8" s="1680"/>
      <c r="IJ8" s="1680"/>
      <c r="IK8" s="1680"/>
      <c r="IL8" s="1680"/>
      <c r="IM8" s="1680"/>
      <c r="IN8" s="1680"/>
      <c r="IO8" s="1680"/>
      <c r="IP8" s="1680"/>
      <c r="IQ8" s="1680"/>
      <c r="IR8" s="1680"/>
      <c r="IS8" s="1680"/>
      <c r="IT8" s="1680"/>
      <c r="IU8" s="1680"/>
      <c r="IV8" s="1680"/>
      <c r="IW8" s="1680"/>
      <c r="IX8" s="1680"/>
      <c r="IY8" s="1680"/>
      <c r="IZ8" s="1680"/>
      <c r="JA8" s="1680"/>
      <c r="JB8" s="1680"/>
      <c r="JC8" s="1680"/>
      <c r="JD8" s="1680"/>
      <c r="JE8" s="1680"/>
      <c r="JF8" s="1680"/>
      <c r="JG8" s="1680"/>
      <c r="JH8" s="1685"/>
      <c r="JI8" s="1685"/>
      <c r="JJ8" s="1685"/>
      <c r="JK8" s="1685"/>
      <c r="JL8" s="1685"/>
      <c r="JM8" s="1680"/>
      <c r="JN8" s="1680"/>
      <c r="JO8" s="1680"/>
      <c r="JP8" s="1680"/>
      <c r="JQ8" s="1680"/>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90"/>
      <c r="B9" s="1412" t="s">
        <v>1345</v>
      </c>
      <c r="C9" s="1411" t="s">
        <v>176</v>
      </c>
      <c r="D9" s="1411" t="s">
        <v>178</v>
      </c>
      <c r="E9" s="1411" t="s">
        <v>1534</v>
      </c>
      <c r="F9" s="1411" t="s">
        <v>1326</v>
      </c>
      <c r="G9" s="1411" t="s">
        <v>4101</v>
      </c>
      <c r="H9" s="1411" t="s">
        <v>1535</v>
      </c>
      <c r="I9" s="1411" t="s">
        <v>831</v>
      </c>
      <c r="J9" s="502" t="s">
        <v>363</v>
      </c>
      <c r="K9" s="1411" t="s">
        <v>1587</v>
      </c>
      <c r="L9" s="1411" t="s">
        <v>558</v>
      </c>
      <c r="M9" s="1411" t="s">
        <v>1533</v>
      </c>
      <c r="N9" s="1411" t="s">
        <v>3498</v>
      </c>
      <c r="O9" s="1411" t="s">
        <v>398</v>
      </c>
      <c r="P9" s="1689"/>
      <c r="Q9" s="1411" t="s">
        <v>3861</v>
      </c>
      <c r="R9" s="1411" t="s">
        <v>1077</v>
      </c>
      <c r="S9" s="1411" t="s">
        <v>1535</v>
      </c>
      <c r="T9" s="1411" t="s">
        <v>2800</v>
      </c>
      <c r="U9" s="1520" t="s">
        <v>1915</v>
      </c>
      <c r="V9" s="1520"/>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86"/>
      <c r="CE9" s="1681"/>
      <c r="CF9" s="1681"/>
      <c r="CG9" s="1681"/>
      <c r="CH9" s="1681"/>
      <c r="CI9" s="1681"/>
      <c r="CJ9" s="1681"/>
      <c r="CK9" s="1681"/>
      <c r="CL9" s="1681"/>
      <c r="CM9" s="1681"/>
      <c r="CN9" s="1681"/>
      <c r="CO9" s="1681"/>
      <c r="CP9" s="1681"/>
      <c r="CQ9" s="1681"/>
      <c r="CR9" s="1681"/>
      <c r="CS9" s="1681"/>
      <c r="CT9" s="1681"/>
      <c r="CU9" s="1681"/>
      <c r="CV9" s="1681"/>
      <c r="CW9" s="1681"/>
      <c r="CX9" s="1681"/>
      <c r="CY9" s="1681"/>
      <c r="CZ9" s="1681"/>
      <c r="DA9" s="1681"/>
      <c r="DB9" s="1681"/>
      <c r="DC9" s="1681"/>
      <c r="DD9" s="1681"/>
      <c r="DE9" s="1681"/>
      <c r="DF9" s="1681"/>
      <c r="DG9" s="1681"/>
      <c r="DH9" s="1681"/>
      <c r="DI9" s="1681"/>
      <c r="DJ9" s="1681"/>
      <c r="DK9" s="1681"/>
      <c r="DL9" s="1681"/>
      <c r="DM9" s="1681"/>
      <c r="DN9" s="1681"/>
      <c r="DO9" s="1681"/>
      <c r="DP9" s="1681"/>
      <c r="DQ9" s="1681"/>
      <c r="DR9" s="1681"/>
      <c r="DS9" s="1681"/>
      <c r="DT9" s="1681"/>
      <c r="DU9" s="1681"/>
      <c r="DV9" s="1681"/>
      <c r="DW9" s="1681"/>
      <c r="DX9" s="1681"/>
      <c r="DY9" s="1681"/>
      <c r="DZ9" s="1681"/>
      <c r="EA9" s="1681"/>
      <c r="EB9" s="1681"/>
      <c r="EC9" s="1681"/>
      <c r="ED9" s="1681"/>
      <c r="EE9" s="1681"/>
      <c r="EF9" s="1681"/>
      <c r="EG9" s="1681"/>
      <c r="EH9" s="1681"/>
      <c r="EI9" s="1681"/>
      <c r="EJ9" s="1681"/>
      <c r="EK9" s="1681"/>
      <c r="EL9" s="1681"/>
      <c r="EM9" s="1681"/>
      <c r="EN9" s="1681"/>
      <c r="EO9" s="1681"/>
      <c r="EP9" s="1681"/>
      <c r="EQ9" s="1681"/>
      <c r="ER9" s="1681"/>
      <c r="ES9" s="1681"/>
      <c r="ET9" s="1681"/>
      <c r="EU9" s="1681"/>
      <c r="EV9" s="1681"/>
      <c r="EW9" s="1681"/>
      <c r="EX9" s="510" t="s">
        <v>2582</v>
      </c>
      <c r="EY9" s="510" t="s">
        <v>2582</v>
      </c>
      <c r="EZ9" s="510" t="s">
        <v>2582</v>
      </c>
      <c r="FA9" s="510" t="s">
        <v>2582</v>
      </c>
      <c r="FB9" s="1680"/>
      <c r="FC9" s="1680"/>
      <c r="FD9" s="1680"/>
      <c r="FE9" s="1680"/>
      <c r="FF9" s="1680"/>
      <c r="FG9" s="1680"/>
      <c r="FH9" s="1680"/>
      <c r="FI9" s="1680"/>
      <c r="FJ9" s="1680"/>
      <c r="FK9" s="1680"/>
      <c r="FL9" s="510" t="s">
        <v>2584</v>
      </c>
      <c r="FM9" s="510" t="s">
        <v>2584</v>
      </c>
      <c r="FN9" s="510" t="s">
        <v>2584</v>
      </c>
      <c r="FO9" s="510" t="s">
        <v>2584</v>
      </c>
      <c r="FP9" s="510" t="s">
        <v>2584</v>
      </c>
      <c r="FQ9" s="510" t="s">
        <v>3555</v>
      </c>
      <c r="FR9" s="510" t="s">
        <v>3555</v>
      </c>
      <c r="FS9" s="510" t="s">
        <v>3555</v>
      </c>
      <c r="FT9" s="510" t="s">
        <v>3555</v>
      </c>
      <c r="FU9" s="510" t="s">
        <v>3555</v>
      </c>
      <c r="FV9" s="1680"/>
      <c r="FW9" s="1680"/>
      <c r="FX9" s="1680"/>
      <c r="FY9" s="1680"/>
      <c r="FZ9" s="1680"/>
      <c r="GA9" s="1680"/>
      <c r="GB9" s="1680"/>
      <c r="GC9" s="1680"/>
      <c r="GD9" s="1680"/>
      <c r="GE9" s="1680"/>
      <c r="GF9" s="1680"/>
      <c r="GG9" s="1680"/>
      <c r="GH9" s="1680"/>
      <c r="GI9" s="1680"/>
      <c r="GJ9" s="1680"/>
      <c r="GK9" s="1680"/>
      <c r="GL9" s="1680"/>
      <c r="GM9" s="1680"/>
      <c r="GN9" s="1680"/>
      <c r="GO9" s="1680"/>
      <c r="GP9" s="1680"/>
      <c r="GQ9" s="1680"/>
      <c r="GR9" s="1680"/>
      <c r="GS9" s="1680"/>
      <c r="GT9" s="1680"/>
      <c r="GU9" s="1680"/>
      <c r="GV9" s="1680"/>
      <c r="GW9" s="1680"/>
      <c r="GX9" s="1680"/>
      <c r="GY9" s="1680"/>
      <c r="GZ9" s="1680"/>
      <c r="HA9" s="1680"/>
      <c r="HB9" s="1680"/>
      <c r="HC9" s="1680"/>
      <c r="HD9" s="1680"/>
      <c r="HE9" s="1680"/>
      <c r="HF9" s="1680"/>
      <c r="HG9" s="1680"/>
      <c r="HH9" s="1680"/>
      <c r="HI9" s="1680"/>
      <c r="HJ9" s="1680"/>
      <c r="HK9" s="1680"/>
      <c r="HL9" s="1680"/>
      <c r="HM9" s="1680"/>
      <c r="HN9" s="1680"/>
      <c r="HO9" s="1680"/>
      <c r="HP9" s="1680"/>
      <c r="HQ9" s="1680"/>
      <c r="HR9" s="1680"/>
      <c r="HS9" s="1680"/>
      <c r="HT9" s="1680"/>
      <c r="HU9" s="1680"/>
      <c r="HV9" s="1680"/>
      <c r="HW9" s="1680"/>
      <c r="HX9" s="1680"/>
      <c r="HY9" s="1680"/>
      <c r="HZ9" s="1680"/>
      <c r="IA9" s="1680"/>
      <c r="IB9" s="1680"/>
      <c r="IC9" s="1680"/>
      <c r="ID9" s="1680"/>
      <c r="IE9" s="1680"/>
      <c r="IF9" s="1680"/>
      <c r="IG9" s="1680"/>
      <c r="IH9" s="1680"/>
      <c r="II9" s="1680"/>
      <c r="IJ9" s="1680"/>
      <c r="IK9" s="1680"/>
      <c r="IL9" s="1680"/>
      <c r="IM9" s="1680"/>
      <c r="IN9" s="1680"/>
      <c r="IO9" s="1680"/>
      <c r="IP9" s="1680"/>
      <c r="IQ9" s="1680"/>
      <c r="IR9" s="1680"/>
      <c r="IS9" s="1680"/>
      <c r="IT9" s="1680"/>
      <c r="IU9" s="1680"/>
      <c r="IV9" s="1680"/>
      <c r="IW9" s="1680"/>
      <c r="IX9" s="1680"/>
      <c r="IY9" s="1680"/>
      <c r="IZ9" s="1680"/>
      <c r="JA9" s="1680"/>
      <c r="JB9" s="1680"/>
      <c r="JC9" s="1680"/>
      <c r="JD9" s="1680"/>
      <c r="JE9" s="1680"/>
      <c r="JF9" s="1680"/>
      <c r="JG9" s="1680"/>
      <c r="JH9" s="1685"/>
      <c r="JI9" s="1685"/>
      <c r="JJ9" s="1685"/>
      <c r="JK9" s="1685"/>
      <c r="JL9" s="1685"/>
      <c r="JM9" s="1680"/>
      <c r="JN9" s="1680"/>
      <c r="JO9" s="1680"/>
      <c r="JP9" s="1680"/>
      <c r="JQ9" s="1680"/>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85" t="s">
        <v>120</v>
      </c>
      <c r="C10" s="2986">
        <v>1</v>
      </c>
      <c r="D10" s="2987">
        <v>1</v>
      </c>
      <c r="E10" s="2988">
        <v>9</v>
      </c>
      <c r="F10" s="2988">
        <v>830</v>
      </c>
      <c r="G10" s="2988">
        <v>575</v>
      </c>
      <c r="H10" s="2988">
        <v>541</v>
      </c>
      <c r="I10" s="2988">
        <v>119</v>
      </c>
      <c r="J10" s="2989"/>
      <c r="K10" s="788">
        <f t="shared" ref="K10:K47" si="1">MAX(0,H10-I10)</f>
        <v>422</v>
      </c>
      <c r="L10" s="788">
        <f t="shared" ref="L10:L47" si="2">MAX(0,E10*K10)</f>
        <v>3798</v>
      </c>
      <c r="M10" s="2990" t="s">
        <v>3156</v>
      </c>
      <c r="N10" s="2990" t="s">
        <v>4275</v>
      </c>
      <c r="O10" s="2990" t="s">
        <v>2375</v>
      </c>
      <c r="P10" s="2991" t="s">
        <v>3156</v>
      </c>
      <c r="Q10" s="1255">
        <f t="shared" ref="Q10:Q47" si="3">IF(H10="","",H10*12/0.3)</f>
        <v>21640</v>
      </c>
      <c r="R10" s="1256">
        <f>IF(H10="","",IF(C10="Efficiency",Q10/($O$6*VLOOKUP(0,'DCA Underwriting Assumptions'!$J$132:$K$137,2,FALSE)),Q10/($O$6*VLOOKUP(C10,'DCA Underwriting Assumptions'!$J$132:$K$137,2,FALSE))))</f>
        <v>0.44118246687054025</v>
      </c>
      <c r="S10" s="2992"/>
      <c r="T10" s="2993"/>
      <c r="U10" s="2994"/>
      <c r="V10" s="2917"/>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9</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7470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9</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1">
        <f t="shared" ref="EX10:EX47" si="135">IF(AND($C10=1, NOT(OR($N10="SF Detached",$N10="Mfd Home",$N10="Duplex",$N10="Townhome"))),$E10,"")</f>
        <v>9</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f t="shared" ref="HK10:HK47" si="200">IF(AND($C10=1, $N10="2-Story Walkup",NOT($P10="Yes")),$E10,"")</f>
        <v>9</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9</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95" t="s">
        <v>120</v>
      </c>
      <c r="C11" s="2996">
        <v>2</v>
      </c>
      <c r="D11" s="2997">
        <v>2</v>
      </c>
      <c r="E11" s="2998">
        <v>8</v>
      </c>
      <c r="F11" s="2998">
        <v>1083</v>
      </c>
      <c r="G11" s="2998">
        <v>736</v>
      </c>
      <c r="H11" s="2998">
        <v>652</v>
      </c>
      <c r="I11" s="2998">
        <v>157</v>
      </c>
      <c r="J11" s="2999"/>
      <c r="K11" s="789">
        <f t="shared" si="1"/>
        <v>495</v>
      </c>
      <c r="L11" s="789">
        <f t="shared" si="2"/>
        <v>3960</v>
      </c>
      <c r="M11" s="3000" t="s">
        <v>3156</v>
      </c>
      <c r="N11" s="3000" t="s">
        <v>4275</v>
      </c>
      <c r="O11" s="3000" t="s">
        <v>2375</v>
      </c>
      <c r="P11" s="3001" t="s">
        <v>3156</v>
      </c>
      <c r="Q11" s="1257">
        <f t="shared" si="3"/>
        <v>26080</v>
      </c>
      <c r="R11" s="1258">
        <f>IF(H11="","",IF(C11="Efficiency",Q11/($O$6*VLOOKUP(0,'DCA Underwriting Assumptions'!$J$132:$K$137,2,FALSE)),Q11/($O$6*VLOOKUP(C11,'DCA Underwriting Assumptions'!$J$132:$K$137,2,FALSE))))</f>
        <v>0.44308528712198436</v>
      </c>
      <c r="S11" s="3002"/>
      <c r="T11" s="3003"/>
      <c r="U11" s="3004"/>
      <c r="V11" s="2919"/>
      <c r="W11" s="158" t="str">
        <f t="shared" si="4"/>
        <v/>
      </c>
      <c r="X11" s="158" t="str">
        <f t="shared" si="5"/>
        <v/>
      </c>
      <c r="Y11" s="158" t="str">
        <f t="shared" si="6"/>
        <v/>
      </c>
      <c r="Z11" s="158" t="str">
        <f t="shared" si="7"/>
        <v/>
      </c>
      <c r="AA11" s="158" t="str">
        <f t="shared" si="8"/>
        <v/>
      </c>
      <c r="AB11" s="158" t="str">
        <f t="shared" si="9"/>
        <v/>
      </c>
      <c r="AC11" s="158" t="str">
        <f t="shared" si="10"/>
        <v/>
      </c>
      <c r="AD11" s="158">
        <f t="shared" si="11"/>
        <v>8</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8664</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8</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1" t="str">
        <f t="shared" si="135"/>
        <v/>
      </c>
      <c r="EY11" s="511">
        <f t="shared" si="136"/>
        <v>8</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f t="shared" si="201"/>
        <v>8</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8</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95" t="s">
        <v>120</v>
      </c>
      <c r="C12" s="2996">
        <v>3</v>
      </c>
      <c r="D12" s="2997">
        <v>2</v>
      </c>
      <c r="E12" s="2998">
        <v>4</v>
      </c>
      <c r="F12" s="2998">
        <v>1301</v>
      </c>
      <c r="G12" s="2998">
        <v>850</v>
      </c>
      <c r="H12" s="2998">
        <v>775</v>
      </c>
      <c r="I12" s="2998">
        <v>205</v>
      </c>
      <c r="J12" s="2999"/>
      <c r="K12" s="789">
        <f t="shared" si="1"/>
        <v>570</v>
      </c>
      <c r="L12" s="789">
        <f t="shared" si="2"/>
        <v>2280</v>
      </c>
      <c r="M12" s="3000" t="s">
        <v>3156</v>
      </c>
      <c r="N12" s="3000" t="s">
        <v>4275</v>
      </c>
      <c r="O12" s="3000" t="s">
        <v>2375</v>
      </c>
      <c r="P12" s="3001" t="s">
        <v>3156</v>
      </c>
      <c r="Q12" s="1257">
        <f t="shared" si="3"/>
        <v>31000</v>
      </c>
      <c r="R12" s="1258">
        <f>IF(H12="","",IF(C12="Efficiency",Q12/($O$6*VLOOKUP(0,'DCA Underwriting Assumptions'!$J$132:$K$137,2,FALSE)),Q12/($O$6*VLOOKUP(C12,'DCA Underwriting Assumptions'!$J$132:$K$137,2,FALSE))))</f>
        <v>0.45577511173841451</v>
      </c>
      <c r="S12" s="3002"/>
      <c r="T12" s="3003"/>
      <c r="U12" s="3004"/>
      <c r="V12" s="2919"/>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4</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5204</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4</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1" t="str">
        <f t="shared" si="135"/>
        <v/>
      </c>
      <c r="EY12" s="511" t="str">
        <f t="shared" si="136"/>
        <v/>
      </c>
      <c r="EZ12" s="511">
        <f t="shared" si="137"/>
        <v>4</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f t="shared" si="202"/>
        <v>4</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0</v>
      </c>
      <c r="JJ12" s="510">
        <f t="shared" si="251"/>
        <v>0</v>
      </c>
      <c r="JK12" s="510">
        <f t="shared" si="252"/>
        <v>4</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95" t="s">
        <v>1191</v>
      </c>
      <c r="C13" s="2996">
        <v>1</v>
      </c>
      <c r="D13" s="2997">
        <v>1</v>
      </c>
      <c r="E13" s="2998">
        <v>3</v>
      </c>
      <c r="F13" s="2998">
        <v>830</v>
      </c>
      <c r="G13" s="2998">
        <v>575</v>
      </c>
      <c r="H13" s="2998">
        <v>541</v>
      </c>
      <c r="I13" s="2998">
        <v>119</v>
      </c>
      <c r="J13" s="2999"/>
      <c r="K13" s="789">
        <f t="shared" si="1"/>
        <v>422</v>
      </c>
      <c r="L13" s="789">
        <f t="shared" si="2"/>
        <v>1266</v>
      </c>
      <c r="M13" s="3000" t="s">
        <v>3156</v>
      </c>
      <c r="N13" s="3000" t="s">
        <v>4275</v>
      </c>
      <c r="O13" s="3000" t="s">
        <v>2375</v>
      </c>
      <c r="P13" s="3001" t="s">
        <v>3156</v>
      </c>
      <c r="Q13" s="1257">
        <f t="shared" si="3"/>
        <v>21640</v>
      </c>
      <c r="R13" s="1258">
        <f>IF(H13="","",IF(C13="Efficiency",Q13/($O$6*VLOOKUP(0,'DCA Underwriting Assumptions'!$J$132:$K$137,2,FALSE)),Q13/($O$6*VLOOKUP(C13,'DCA Underwriting Assumptions'!$J$132:$K$137,2,FALSE))))</f>
        <v>0.44118246687054025</v>
      </c>
      <c r="S13" s="3002"/>
      <c r="T13" s="3003"/>
      <c r="U13" s="3004"/>
      <c r="V13" s="2919"/>
      <c r="W13" s="158" t="str">
        <f t="shared" si="4"/>
        <v/>
      </c>
      <c r="X13" s="158">
        <f t="shared" si="5"/>
        <v>3</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2490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3</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1">
        <f t="shared" si="135"/>
        <v>3</v>
      </c>
      <c r="EY13" s="511" t="str">
        <f t="shared" si="136"/>
        <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f t="shared" si="200"/>
        <v>3</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3</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95" t="s">
        <v>1191</v>
      </c>
      <c r="C14" s="2996">
        <v>2</v>
      </c>
      <c r="D14" s="2997">
        <v>2</v>
      </c>
      <c r="E14" s="2998">
        <v>32</v>
      </c>
      <c r="F14" s="2998">
        <v>1083</v>
      </c>
      <c r="G14" s="2998">
        <v>778</v>
      </c>
      <c r="H14" s="2998">
        <v>707</v>
      </c>
      <c r="I14" s="2998">
        <v>157</v>
      </c>
      <c r="J14" s="2999"/>
      <c r="K14" s="789">
        <f t="shared" si="1"/>
        <v>550</v>
      </c>
      <c r="L14" s="789">
        <f t="shared" si="2"/>
        <v>17600</v>
      </c>
      <c r="M14" s="3000" t="s">
        <v>3156</v>
      </c>
      <c r="N14" s="3000" t="s">
        <v>4275</v>
      </c>
      <c r="O14" s="3000" t="s">
        <v>2375</v>
      </c>
      <c r="P14" s="3001" t="s">
        <v>3156</v>
      </c>
      <c r="Q14" s="1257">
        <f t="shared" si="3"/>
        <v>28280</v>
      </c>
      <c r="R14" s="1258">
        <f>IF(H14="","",IF(C14="Efficiency",Q14/($O$6*VLOOKUP(0,'DCA Underwriting Assumptions'!$J$132:$K$137,2,FALSE)),Q14/($O$6*VLOOKUP(C14,'DCA Underwriting Assumptions'!$J$132:$K$137,2,FALSE))))</f>
        <v>0.48046211348963641</v>
      </c>
      <c r="S14" s="3002"/>
      <c r="T14" s="3003"/>
      <c r="U14" s="3004"/>
      <c r="V14" s="2919"/>
      <c r="W14" s="158" t="str">
        <f t="shared" si="4"/>
        <v/>
      </c>
      <c r="X14" s="158" t="str">
        <f t="shared" si="5"/>
        <v/>
      </c>
      <c r="Y14" s="158">
        <f t="shared" si="6"/>
        <v>32</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34656</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32</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1" t="str">
        <f t="shared" si="135"/>
        <v/>
      </c>
      <c r="EY14" s="511">
        <f t="shared" si="136"/>
        <v>32</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f t="shared" si="201"/>
        <v>32</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32</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95" t="s">
        <v>1191</v>
      </c>
      <c r="C15" s="2996">
        <v>3</v>
      </c>
      <c r="D15" s="2997">
        <v>2</v>
      </c>
      <c r="E15" s="2998">
        <v>16</v>
      </c>
      <c r="F15" s="2998">
        <v>1301</v>
      </c>
      <c r="G15" s="2998">
        <v>1020</v>
      </c>
      <c r="H15" s="2998">
        <v>830</v>
      </c>
      <c r="I15" s="2998">
        <v>205</v>
      </c>
      <c r="J15" s="2999"/>
      <c r="K15" s="789">
        <f t="shared" si="1"/>
        <v>625</v>
      </c>
      <c r="L15" s="789">
        <f t="shared" si="2"/>
        <v>10000</v>
      </c>
      <c r="M15" s="3000" t="s">
        <v>3156</v>
      </c>
      <c r="N15" s="3000" t="s">
        <v>4275</v>
      </c>
      <c r="O15" s="3000" t="s">
        <v>2375</v>
      </c>
      <c r="P15" s="3001" t="s">
        <v>3156</v>
      </c>
      <c r="Q15" s="1257">
        <f t="shared" si="3"/>
        <v>33200</v>
      </c>
      <c r="R15" s="1258">
        <f>IF(H15="","",IF(C15="Efficiency",Q15/($O$6*VLOOKUP(0,'DCA Underwriting Assumptions'!$J$132:$K$137,2,FALSE)),Q15/($O$6*VLOOKUP(C15,'DCA Underwriting Assumptions'!$J$132:$K$137,2,FALSE))))</f>
        <v>0.48812044224888262</v>
      </c>
      <c r="S15" s="3002"/>
      <c r="T15" s="3003"/>
      <c r="U15" s="3004"/>
      <c r="V15" s="2919"/>
      <c r="W15" s="158" t="str">
        <f t="shared" si="4"/>
        <v/>
      </c>
      <c r="X15" s="158" t="str">
        <f t="shared" si="5"/>
        <v/>
      </c>
      <c r="Y15" s="158" t="str">
        <f t="shared" si="6"/>
        <v/>
      </c>
      <c r="Z15" s="158">
        <f t="shared" si="7"/>
        <v>16</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20816</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16</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1" t="str">
        <f t="shared" si="135"/>
        <v/>
      </c>
      <c r="EY15" s="511" t="str">
        <f t="shared" si="136"/>
        <v/>
      </c>
      <c r="EZ15" s="511">
        <f t="shared" si="137"/>
        <v>16</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f t="shared" si="202"/>
        <v>16</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16</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95" t="s">
        <v>1837</v>
      </c>
      <c r="C16" s="2996"/>
      <c r="D16" s="2997"/>
      <c r="E16" s="2998"/>
      <c r="F16" s="2998"/>
      <c r="G16" s="2998"/>
      <c r="H16" s="2998"/>
      <c r="I16" s="2998"/>
      <c r="J16" s="2999"/>
      <c r="K16" s="789">
        <f t="shared" si="1"/>
        <v>0</v>
      </c>
      <c r="L16" s="789">
        <f t="shared" si="2"/>
        <v>0</v>
      </c>
      <c r="M16" s="3000"/>
      <c r="N16" s="3000"/>
      <c r="O16" s="3000"/>
      <c r="P16" s="3001"/>
      <c r="Q16" s="1257" t="str">
        <f t="shared" si="3"/>
        <v/>
      </c>
      <c r="R16" s="1258" t="str">
        <f>IF(H16="","",IF(C16="Efficiency",Q16/($O$6*VLOOKUP(0,'DCA Underwriting Assumptions'!$J$132:$K$137,2,FALSE)),Q16/($O$6*VLOOKUP(C16,'DCA Underwriting Assumptions'!$J$132:$K$137,2,FALSE))))</f>
        <v/>
      </c>
      <c r="S16" s="3002"/>
      <c r="T16" s="3003"/>
      <c r="U16" s="3004"/>
      <c r="V16" s="291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95" t="s">
        <v>1837</v>
      </c>
      <c r="C17" s="2996"/>
      <c r="D17" s="2997"/>
      <c r="E17" s="2998"/>
      <c r="F17" s="2998"/>
      <c r="G17" s="2998"/>
      <c r="H17" s="2998"/>
      <c r="I17" s="2998"/>
      <c r="J17" s="2999"/>
      <c r="K17" s="789">
        <f t="shared" si="1"/>
        <v>0</v>
      </c>
      <c r="L17" s="789">
        <f t="shared" si="2"/>
        <v>0</v>
      </c>
      <c r="M17" s="3000"/>
      <c r="N17" s="3000"/>
      <c r="O17" s="3000"/>
      <c r="P17" s="3001"/>
      <c r="Q17" s="1257" t="str">
        <f t="shared" si="3"/>
        <v/>
      </c>
      <c r="R17" s="1258" t="str">
        <f>IF(H17="","",IF(C17="Efficiency",Q17/($O$6*VLOOKUP(0,'DCA Underwriting Assumptions'!$J$132:$K$137,2,FALSE)),Q17/($O$6*VLOOKUP(C17,'DCA Underwriting Assumptions'!$J$132:$K$137,2,FALSE))))</f>
        <v/>
      </c>
      <c r="S17" s="3002"/>
      <c r="T17" s="3003"/>
      <c r="U17" s="3004"/>
      <c r="V17" s="2919"/>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95" t="s">
        <v>1837</v>
      </c>
      <c r="C18" s="2996"/>
      <c r="D18" s="2997"/>
      <c r="E18" s="2998"/>
      <c r="F18" s="2998"/>
      <c r="G18" s="2998"/>
      <c r="H18" s="2998"/>
      <c r="I18" s="2998"/>
      <c r="J18" s="2999"/>
      <c r="K18" s="789">
        <f t="shared" si="1"/>
        <v>0</v>
      </c>
      <c r="L18" s="789">
        <f t="shared" si="2"/>
        <v>0</v>
      </c>
      <c r="M18" s="3000"/>
      <c r="N18" s="3000"/>
      <c r="O18" s="3000"/>
      <c r="P18" s="3001"/>
      <c r="Q18" s="1257" t="str">
        <f t="shared" si="3"/>
        <v/>
      </c>
      <c r="R18" s="1258" t="str">
        <f>IF(H18="","",IF(C18="Efficiency",Q18/($O$6*VLOOKUP(0,'DCA Underwriting Assumptions'!$J$132:$K$137,2,FALSE)),Q18/($O$6*VLOOKUP(C18,'DCA Underwriting Assumptions'!$J$132:$K$137,2,FALSE))))</f>
        <v/>
      </c>
      <c r="S18" s="3002"/>
      <c r="T18" s="3003"/>
      <c r="U18" s="3004"/>
      <c r="V18" s="291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95" t="s">
        <v>1837</v>
      </c>
      <c r="C19" s="2996"/>
      <c r="D19" s="2997"/>
      <c r="E19" s="2998"/>
      <c r="F19" s="2998"/>
      <c r="G19" s="2998"/>
      <c r="H19" s="2998"/>
      <c r="I19" s="2998"/>
      <c r="J19" s="2999"/>
      <c r="K19" s="789">
        <f t="shared" si="1"/>
        <v>0</v>
      </c>
      <c r="L19" s="789">
        <f t="shared" si="2"/>
        <v>0</v>
      </c>
      <c r="M19" s="3000"/>
      <c r="N19" s="3000"/>
      <c r="O19" s="3000"/>
      <c r="P19" s="3001"/>
      <c r="Q19" s="1257" t="str">
        <f t="shared" si="3"/>
        <v/>
      </c>
      <c r="R19" s="1258" t="str">
        <f>IF(H19="","",IF(C19="Efficiency",Q19/($O$6*VLOOKUP(0,'DCA Underwriting Assumptions'!$J$132:$K$137,2,FALSE)),Q19/($O$6*VLOOKUP(C19,'DCA Underwriting Assumptions'!$J$132:$K$137,2,FALSE))))</f>
        <v/>
      </c>
      <c r="S19" s="3002"/>
      <c r="T19" s="3003"/>
      <c r="U19" s="3004"/>
      <c r="V19" s="291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95" t="s">
        <v>1837</v>
      </c>
      <c r="C20" s="2996"/>
      <c r="D20" s="2997"/>
      <c r="E20" s="2998"/>
      <c r="F20" s="2998"/>
      <c r="G20" s="2998"/>
      <c r="H20" s="2998"/>
      <c r="I20" s="2998"/>
      <c r="J20" s="2999"/>
      <c r="K20" s="789">
        <f t="shared" si="1"/>
        <v>0</v>
      </c>
      <c r="L20" s="789">
        <f t="shared" si="2"/>
        <v>0</v>
      </c>
      <c r="M20" s="3000"/>
      <c r="N20" s="3000"/>
      <c r="O20" s="3000"/>
      <c r="P20" s="3001"/>
      <c r="Q20" s="1257" t="str">
        <f t="shared" si="3"/>
        <v/>
      </c>
      <c r="R20" s="1258" t="str">
        <f>IF(H20="","",IF(C20="Efficiency",Q20/($O$6*VLOOKUP(0,'DCA Underwriting Assumptions'!$J$132:$K$137,2,FALSE)),Q20/($O$6*VLOOKUP(C20,'DCA Underwriting Assumptions'!$J$132:$K$137,2,FALSE))))</f>
        <v/>
      </c>
      <c r="S20" s="3002"/>
      <c r="T20" s="3003"/>
      <c r="U20" s="3004"/>
      <c r="V20" s="291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95" t="s">
        <v>1837</v>
      </c>
      <c r="C21" s="2996"/>
      <c r="D21" s="2997"/>
      <c r="E21" s="2998"/>
      <c r="F21" s="2998"/>
      <c r="G21" s="2998"/>
      <c r="H21" s="2998"/>
      <c r="I21" s="2998"/>
      <c r="J21" s="2999"/>
      <c r="K21" s="789">
        <f t="shared" si="1"/>
        <v>0</v>
      </c>
      <c r="L21" s="789">
        <f t="shared" si="2"/>
        <v>0</v>
      </c>
      <c r="M21" s="3000"/>
      <c r="N21" s="3000"/>
      <c r="O21" s="3000"/>
      <c r="P21" s="3001"/>
      <c r="Q21" s="1257" t="str">
        <f t="shared" si="3"/>
        <v/>
      </c>
      <c r="R21" s="1258" t="str">
        <f>IF(H21="","",IF(C21="Efficiency",Q21/($O$6*VLOOKUP(0,'DCA Underwriting Assumptions'!$J$132:$K$137,2,FALSE)),Q21/($O$6*VLOOKUP(C21,'DCA Underwriting Assumptions'!$J$132:$K$137,2,FALSE))))</f>
        <v/>
      </c>
      <c r="S21" s="3002"/>
      <c r="T21" s="3003"/>
      <c r="U21" s="3004"/>
      <c r="V21" s="291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95" t="s">
        <v>1837</v>
      </c>
      <c r="C22" s="2996"/>
      <c r="D22" s="2997"/>
      <c r="E22" s="2998"/>
      <c r="F22" s="2998"/>
      <c r="G22" s="2998"/>
      <c r="H22" s="2998"/>
      <c r="I22" s="2998"/>
      <c r="J22" s="2999"/>
      <c r="K22" s="789">
        <f t="shared" si="1"/>
        <v>0</v>
      </c>
      <c r="L22" s="789">
        <f t="shared" si="2"/>
        <v>0</v>
      </c>
      <c r="M22" s="3000"/>
      <c r="N22" s="3000"/>
      <c r="O22" s="3000"/>
      <c r="P22" s="3001"/>
      <c r="Q22" s="1257" t="str">
        <f t="shared" si="3"/>
        <v/>
      </c>
      <c r="R22" s="1258" t="str">
        <f>IF(H22="","",IF(C22="Efficiency",Q22/($O$6*VLOOKUP(0,'DCA Underwriting Assumptions'!$J$132:$K$137,2,FALSE)),Q22/($O$6*VLOOKUP(C22,'DCA Underwriting Assumptions'!$J$132:$K$137,2,FALSE))))</f>
        <v/>
      </c>
      <c r="S22" s="3002"/>
      <c r="T22" s="3003"/>
      <c r="U22" s="3004"/>
      <c r="V22" s="291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95" t="s">
        <v>1837</v>
      </c>
      <c r="C23" s="2996"/>
      <c r="D23" s="2997"/>
      <c r="E23" s="2998"/>
      <c r="F23" s="2998"/>
      <c r="G23" s="2998"/>
      <c r="H23" s="2998"/>
      <c r="I23" s="2998"/>
      <c r="J23" s="2999"/>
      <c r="K23" s="789">
        <f t="shared" si="1"/>
        <v>0</v>
      </c>
      <c r="L23" s="789">
        <f t="shared" si="2"/>
        <v>0</v>
      </c>
      <c r="M23" s="3000"/>
      <c r="N23" s="3000"/>
      <c r="O23" s="3000"/>
      <c r="P23" s="3001"/>
      <c r="Q23" s="1257" t="str">
        <f t="shared" si="3"/>
        <v/>
      </c>
      <c r="R23" s="1258" t="str">
        <f>IF(H23="","",IF(C23="Efficiency",Q23/($O$6*VLOOKUP(0,'DCA Underwriting Assumptions'!$J$132:$K$137,2,FALSE)),Q23/($O$6*VLOOKUP(C23,'DCA Underwriting Assumptions'!$J$132:$K$137,2,FALSE))))</f>
        <v/>
      </c>
      <c r="S23" s="3002"/>
      <c r="T23" s="3003"/>
      <c r="U23" s="3004"/>
      <c r="V23" s="291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95" t="s">
        <v>1837</v>
      </c>
      <c r="C24" s="2996"/>
      <c r="D24" s="2997"/>
      <c r="E24" s="2998"/>
      <c r="F24" s="2998"/>
      <c r="G24" s="2998"/>
      <c r="H24" s="2998"/>
      <c r="I24" s="2998"/>
      <c r="J24" s="2999"/>
      <c r="K24" s="789">
        <f t="shared" si="1"/>
        <v>0</v>
      </c>
      <c r="L24" s="789">
        <f t="shared" si="2"/>
        <v>0</v>
      </c>
      <c r="M24" s="3000"/>
      <c r="N24" s="3000"/>
      <c r="O24" s="3000"/>
      <c r="P24" s="3001"/>
      <c r="Q24" s="1257" t="str">
        <f t="shared" si="3"/>
        <v/>
      </c>
      <c r="R24" s="1258" t="str">
        <f>IF(H24="","",IF(C24="Efficiency",Q24/($O$6*VLOOKUP(0,'DCA Underwriting Assumptions'!$J$132:$K$137,2,FALSE)),Q24/($O$6*VLOOKUP(C24,'DCA Underwriting Assumptions'!$J$132:$K$137,2,FALSE))))</f>
        <v/>
      </c>
      <c r="S24" s="3002"/>
      <c r="T24" s="3003"/>
      <c r="U24" s="3004"/>
      <c r="V24" s="291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95" t="s">
        <v>1837</v>
      </c>
      <c r="C25" s="2996"/>
      <c r="D25" s="2997"/>
      <c r="E25" s="2998"/>
      <c r="F25" s="2998"/>
      <c r="G25" s="2998"/>
      <c r="H25" s="2998"/>
      <c r="I25" s="2998"/>
      <c r="J25" s="2999"/>
      <c r="K25" s="789">
        <f t="shared" si="1"/>
        <v>0</v>
      </c>
      <c r="L25" s="789">
        <f t="shared" si="2"/>
        <v>0</v>
      </c>
      <c r="M25" s="3000"/>
      <c r="N25" s="3000"/>
      <c r="O25" s="3000"/>
      <c r="P25" s="3001"/>
      <c r="Q25" s="1257" t="str">
        <f t="shared" si="3"/>
        <v/>
      </c>
      <c r="R25" s="1258" t="str">
        <f>IF(H25="","",IF(C25="Efficiency",Q25/($O$6*VLOOKUP(0,'DCA Underwriting Assumptions'!$J$132:$K$137,2,FALSE)),Q25/($O$6*VLOOKUP(C25,'DCA Underwriting Assumptions'!$J$132:$K$137,2,FALSE))))</f>
        <v/>
      </c>
      <c r="S25" s="3002"/>
      <c r="T25" s="3003"/>
      <c r="U25" s="3004"/>
      <c r="V25" s="291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95" t="s">
        <v>1837</v>
      </c>
      <c r="C26" s="2996"/>
      <c r="D26" s="2997"/>
      <c r="E26" s="2998"/>
      <c r="F26" s="2998"/>
      <c r="G26" s="2998"/>
      <c r="H26" s="2998"/>
      <c r="I26" s="2998"/>
      <c r="J26" s="2999"/>
      <c r="K26" s="789">
        <f t="shared" si="1"/>
        <v>0</v>
      </c>
      <c r="L26" s="789">
        <f t="shared" si="2"/>
        <v>0</v>
      </c>
      <c r="M26" s="3000"/>
      <c r="N26" s="3000"/>
      <c r="O26" s="3000"/>
      <c r="P26" s="3001"/>
      <c r="Q26" s="1257" t="str">
        <f t="shared" si="3"/>
        <v/>
      </c>
      <c r="R26" s="1258" t="str">
        <f>IF(H26="","",IF(C26="Efficiency",Q26/($O$6*VLOOKUP(0,'DCA Underwriting Assumptions'!$J$132:$K$137,2,FALSE)),Q26/($O$6*VLOOKUP(C26,'DCA Underwriting Assumptions'!$J$132:$K$137,2,FALSE))))</f>
        <v/>
      </c>
      <c r="S26" s="3002"/>
      <c r="T26" s="3003"/>
      <c r="U26" s="3004"/>
      <c r="V26" s="291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95" t="s">
        <v>1837</v>
      </c>
      <c r="C27" s="2996"/>
      <c r="D27" s="2997"/>
      <c r="E27" s="2998"/>
      <c r="F27" s="2998"/>
      <c r="G27" s="2998"/>
      <c r="H27" s="2998"/>
      <c r="I27" s="2998"/>
      <c r="J27" s="2999"/>
      <c r="K27" s="789">
        <f t="shared" si="1"/>
        <v>0</v>
      </c>
      <c r="L27" s="789">
        <f t="shared" si="2"/>
        <v>0</v>
      </c>
      <c r="M27" s="3000"/>
      <c r="N27" s="3000"/>
      <c r="O27" s="3000"/>
      <c r="P27" s="3001"/>
      <c r="Q27" s="1257" t="str">
        <f t="shared" si="3"/>
        <v/>
      </c>
      <c r="R27" s="1258" t="str">
        <f>IF(H27="","",IF(C27="Efficiency",Q27/($O$6*VLOOKUP(0,'DCA Underwriting Assumptions'!$J$132:$K$137,2,FALSE)),Q27/($O$6*VLOOKUP(C27,'DCA Underwriting Assumptions'!$J$132:$K$137,2,FALSE))))</f>
        <v/>
      </c>
      <c r="S27" s="3002"/>
      <c r="T27" s="3003"/>
      <c r="U27" s="3004"/>
      <c r="V27" s="291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95" t="s">
        <v>1837</v>
      </c>
      <c r="C28" s="2996"/>
      <c r="D28" s="2997"/>
      <c r="E28" s="2998"/>
      <c r="F28" s="2998"/>
      <c r="G28" s="2998"/>
      <c r="H28" s="2998"/>
      <c r="I28" s="2998"/>
      <c r="J28" s="2999"/>
      <c r="K28" s="789">
        <f t="shared" si="1"/>
        <v>0</v>
      </c>
      <c r="L28" s="789">
        <f t="shared" si="2"/>
        <v>0</v>
      </c>
      <c r="M28" s="3000"/>
      <c r="N28" s="3000"/>
      <c r="O28" s="3000"/>
      <c r="P28" s="3001"/>
      <c r="Q28" s="1257" t="str">
        <f t="shared" si="3"/>
        <v/>
      </c>
      <c r="R28" s="1258" t="str">
        <f>IF(H28="","",IF(C28="Efficiency",Q28/($O$6*VLOOKUP(0,'DCA Underwriting Assumptions'!$J$132:$K$137,2,FALSE)),Q28/($O$6*VLOOKUP(C28,'DCA Underwriting Assumptions'!$J$132:$K$137,2,FALSE))))</f>
        <v/>
      </c>
      <c r="S28" s="3002"/>
      <c r="T28" s="3003"/>
      <c r="U28" s="3004"/>
      <c r="V28" s="291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95" t="s">
        <v>1837</v>
      </c>
      <c r="C29" s="2996"/>
      <c r="D29" s="2997"/>
      <c r="E29" s="2998"/>
      <c r="F29" s="2998"/>
      <c r="G29" s="2998"/>
      <c r="H29" s="2998"/>
      <c r="I29" s="2998"/>
      <c r="J29" s="2999"/>
      <c r="K29" s="789">
        <f t="shared" si="1"/>
        <v>0</v>
      </c>
      <c r="L29" s="789">
        <f t="shared" si="2"/>
        <v>0</v>
      </c>
      <c r="M29" s="3000"/>
      <c r="N29" s="3000"/>
      <c r="O29" s="3000"/>
      <c r="P29" s="3001"/>
      <c r="Q29" s="1257" t="str">
        <f t="shared" si="3"/>
        <v/>
      </c>
      <c r="R29" s="1258" t="str">
        <f>IF(H29="","",IF(C29="Efficiency",Q29/($O$6*VLOOKUP(0,'DCA Underwriting Assumptions'!$J$132:$K$137,2,FALSE)),Q29/($O$6*VLOOKUP(C29,'DCA Underwriting Assumptions'!$J$132:$K$137,2,FALSE))))</f>
        <v/>
      </c>
      <c r="S29" s="3002"/>
      <c r="T29" s="3003"/>
      <c r="U29" s="3004"/>
      <c r="V29" s="291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95" t="s">
        <v>1837</v>
      </c>
      <c r="C30" s="2996"/>
      <c r="D30" s="2997"/>
      <c r="E30" s="2998"/>
      <c r="F30" s="2998"/>
      <c r="G30" s="2998"/>
      <c r="H30" s="2998"/>
      <c r="I30" s="2998"/>
      <c r="J30" s="2999"/>
      <c r="K30" s="789">
        <f t="shared" si="1"/>
        <v>0</v>
      </c>
      <c r="L30" s="789">
        <f t="shared" si="2"/>
        <v>0</v>
      </c>
      <c r="M30" s="3000"/>
      <c r="N30" s="3000"/>
      <c r="O30" s="3000"/>
      <c r="P30" s="3001"/>
      <c r="Q30" s="1257" t="str">
        <f t="shared" si="3"/>
        <v/>
      </c>
      <c r="R30" s="1258" t="str">
        <f>IF(H30="","",IF(C30="Efficiency",Q30/($O$6*VLOOKUP(0,'DCA Underwriting Assumptions'!$J$132:$K$137,2,FALSE)),Q30/($O$6*VLOOKUP(C30,'DCA Underwriting Assumptions'!$J$132:$K$137,2,FALSE))))</f>
        <v/>
      </c>
      <c r="S30" s="3002"/>
      <c r="T30" s="3003"/>
      <c r="U30" s="3004"/>
      <c r="V30" s="291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95" t="s">
        <v>1837</v>
      </c>
      <c r="C31" s="2996"/>
      <c r="D31" s="2997"/>
      <c r="E31" s="2998"/>
      <c r="F31" s="2998"/>
      <c r="G31" s="2998"/>
      <c r="H31" s="2998"/>
      <c r="I31" s="2998"/>
      <c r="J31" s="2999"/>
      <c r="K31" s="789">
        <f t="shared" si="1"/>
        <v>0</v>
      </c>
      <c r="L31" s="789">
        <f t="shared" si="2"/>
        <v>0</v>
      </c>
      <c r="M31" s="3000"/>
      <c r="N31" s="3000"/>
      <c r="O31" s="3000"/>
      <c r="P31" s="3001"/>
      <c r="Q31" s="1257" t="str">
        <f t="shared" si="3"/>
        <v/>
      </c>
      <c r="R31" s="1258" t="str">
        <f>IF(H31="","",IF(C31="Efficiency",Q31/($O$6*VLOOKUP(0,'DCA Underwriting Assumptions'!$J$132:$K$137,2,FALSE)),Q31/($O$6*VLOOKUP(C31,'DCA Underwriting Assumptions'!$J$132:$K$137,2,FALSE))))</f>
        <v/>
      </c>
      <c r="S31" s="3002"/>
      <c r="T31" s="3003"/>
      <c r="U31" s="3004"/>
      <c r="V31" s="291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95" t="s">
        <v>1837</v>
      </c>
      <c r="C32" s="2996"/>
      <c r="D32" s="2997"/>
      <c r="E32" s="2998"/>
      <c r="F32" s="2998"/>
      <c r="G32" s="2998"/>
      <c r="H32" s="2998"/>
      <c r="I32" s="2998"/>
      <c r="J32" s="2999"/>
      <c r="K32" s="789">
        <f t="shared" si="1"/>
        <v>0</v>
      </c>
      <c r="L32" s="789">
        <f t="shared" si="2"/>
        <v>0</v>
      </c>
      <c r="M32" s="3000"/>
      <c r="N32" s="3000"/>
      <c r="O32" s="3000"/>
      <c r="P32" s="3001"/>
      <c r="Q32" s="1257" t="str">
        <f t="shared" si="3"/>
        <v/>
      </c>
      <c r="R32" s="1258" t="str">
        <f>IF(H32="","",IF(C32="Efficiency",Q32/($O$6*VLOOKUP(0,'DCA Underwriting Assumptions'!$J$132:$K$137,2,FALSE)),Q32/($O$6*VLOOKUP(C32,'DCA Underwriting Assumptions'!$J$132:$K$137,2,FALSE))))</f>
        <v/>
      </c>
      <c r="S32" s="3002"/>
      <c r="T32" s="3003"/>
      <c r="U32" s="3004"/>
      <c r="V32" s="291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95" t="s">
        <v>1837</v>
      </c>
      <c r="C33" s="2996"/>
      <c r="D33" s="2997"/>
      <c r="E33" s="2998"/>
      <c r="F33" s="2998"/>
      <c r="G33" s="2998"/>
      <c r="H33" s="2998"/>
      <c r="I33" s="2998"/>
      <c r="J33" s="2999"/>
      <c r="K33" s="789">
        <f t="shared" si="1"/>
        <v>0</v>
      </c>
      <c r="L33" s="789">
        <f t="shared" si="2"/>
        <v>0</v>
      </c>
      <c r="M33" s="3000"/>
      <c r="N33" s="3000"/>
      <c r="O33" s="3000"/>
      <c r="P33" s="3001"/>
      <c r="Q33" s="1257" t="str">
        <f t="shared" si="3"/>
        <v/>
      </c>
      <c r="R33" s="1258" t="str">
        <f>IF(H33="","",IF(C33="Efficiency",Q33/($O$6*VLOOKUP(0,'DCA Underwriting Assumptions'!$J$132:$K$137,2,FALSE)),Q33/($O$6*VLOOKUP(C33,'DCA Underwriting Assumptions'!$J$132:$K$137,2,FALSE))))</f>
        <v/>
      </c>
      <c r="S33" s="3002"/>
      <c r="T33" s="3003"/>
      <c r="U33" s="3004"/>
      <c r="V33" s="291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95" t="s">
        <v>1837</v>
      </c>
      <c r="C34" s="2996"/>
      <c r="D34" s="2997"/>
      <c r="E34" s="2998"/>
      <c r="F34" s="2998"/>
      <c r="G34" s="2998"/>
      <c r="H34" s="2998"/>
      <c r="I34" s="2998"/>
      <c r="J34" s="2999"/>
      <c r="K34" s="789">
        <f t="shared" si="1"/>
        <v>0</v>
      </c>
      <c r="L34" s="789">
        <f t="shared" si="2"/>
        <v>0</v>
      </c>
      <c r="M34" s="3000"/>
      <c r="N34" s="3000"/>
      <c r="O34" s="3000"/>
      <c r="P34" s="3001"/>
      <c r="Q34" s="1257" t="str">
        <f t="shared" si="3"/>
        <v/>
      </c>
      <c r="R34" s="1258" t="str">
        <f>IF(H34="","",IF(C34="Efficiency",Q34/($O$6*VLOOKUP(0,'DCA Underwriting Assumptions'!$J$132:$K$137,2,FALSE)),Q34/($O$6*VLOOKUP(C34,'DCA Underwriting Assumptions'!$J$132:$K$137,2,FALSE))))</f>
        <v/>
      </c>
      <c r="S34" s="3002"/>
      <c r="T34" s="3003"/>
      <c r="U34" s="3004"/>
      <c r="V34" s="291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95" t="s">
        <v>1837</v>
      </c>
      <c r="C35" s="2996"/>
      <c r="D35" s="2997"/>
      <c r="E35" s="2998"/>
      <c r="F35" s="2998"/>
      <c r="G35" s="2998"/>
      <c r="H35" s="2998"/>
      <c r="I35" s="2998"/>
      <c r="J35" s="2999"/>
      <c r="K35" s="789">
        <f t="shared" si="1"/>
        <v>0</v>
      </c>
      <c r="L35" s="789">
        <f t="shared" si="2"/>
        <v>0</v>
      </c>
      <c r="M35" s="3000"/>
      <c r="N35" s="3000"/>
      <c r="O35" s="3000"/>
      <c r="P35" s="3001"/>
      <c r="Q35" s="1257" t="str">
        <f t="shared" si="3"/>
        <v/>
      </c>
      <c r="R35" s="1258" t="str">
        <f>IF(H35="","",IF(C35="Efficiency",Q35/($O$6*VLOOKUP(0,'DCA Underwriting Assumptions'!$J$132:$K$137,2,FALSE)),Q35/($O$6*VLOOKUP(C35,'DCA Underwriting Assumptions'!$J$132:$K$137,2,FALSE))))</f>
        <v/>
      </c>
      <c r="S35" s="3002"/>
      <c r="T35" s="3003"/>
      <c r="U35" s="3004"/>
      <c r="V35" s="291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95" t="s">
        <v>1837</v>
      </c>
      <c r="C36" s="2996"/>
      <c r="D36" s="2997"/>
      <c r="E36" s="2998"/>
      <c r="F36" s="2998"/>
      <c r="G36" s="2998"/>
      <c r="H36" s="2998"/>
      <c r="I36" s="2998"/>
      <c r="J36" s="2999"/>
      <c r="K36" s="789">
        <f t="shared" si="1"/>
        <v>0</v>
      </c>
      <c r="L36" s="789">
        <f t="shared" si="2"/>
        <v>0</v>
      </c>
      <c r="M36" s="3000"/>
      <c r="N36" s="3000"/>
      <c r="O36" s="3000"/>
      <c r="P36" s="3001"/>
      <c r="Q36" s="1257" t="str">
        <f t="shared" si="3"/>
        <v/>
      </c>
      <c r="R36" s="1258" t="str">
        <f>IF(H36="","",IF(C36="Efficiency",Q36/($O$6*VLOOKUP(0,'DCA Underwriting Assumptions'!$J$132:$K$137,2,FALSE)),Q36/($O$6*VLOOKUP(C36,'DCA Underwriting Assumptions'!$J$132:$K$137,2,FALSE))))</f>
        <v/>
      </c>
      <c r="S36" s="3002"/>
      <c r="T36" s="3003"/>
      <c r="U36" s="3004"/>
      <c r="V36" s="291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95" t="s">
        <v>1837</v>
      </c>
      <c r="C37" s="2996"/>
      <c r="D37" s="2997"/>
      <c r="E37" s="2998"/>
      <c r="F37" s="2998"/>
      <c r="G37" s="2998"/>
      <c r="H37" s="2998"/>
      <c r="I37" s="2998"/>
      <c r="J37" s="2999"/>
      <c r="K37" s="789">
        <f t="shared" si="1"/>
        <v>0</v>
      </c>
      <c r="L37" s="789">
        <f t="shared" si="2"/>
        <v>0</v>
      </c>
      <c r="M37" s="3000"/>
      <c r="N37" s="3000"/>
      <c r="O37" s="3000"/>
      <c r="P37" s="3001"/>
      <c r="Q37" s="1257" t="str">
        <f t="shared" si="3"/>
        <v/>
      </c>
      <c r="R37" s="1258" t="str">
        <f>IF(H37="","",IF(C37="Efficiency",Q37/($O$6*VLOOKUP(0,'DCA Underwriting Assumptions'!$J$132:$K$137,2,FALSE)),Q37/($O$6*VLOOKUP(C37,'DCA Underwriting Assumptions'!$J$132:$K$137,2,FALSE))))</f>
        <v/>
      </c>
      <c r="S37" s="3002"/>
      <c r="T37" s="3003"/>
      <c r="U37" s="3004"/>
      <c r="V37" s="291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95" t="s">
        <v>1837</v>
      </c>
      <c r="C38" s="2996"/>
      <c r="D38" s="2997"/>
      <c r="E38" s="2998"/>
      <c r="F38" s="2998"/>
      <c r="G38" s="2998"/>
      <c r="H38" s="2998"/>
      <c r="I38" s="2998"/>
      <c r="J38" s="2999"/>
      <c r="K38" s="789">
        <f t="shared" si="1"/>
        <v>0</v>
      </c>
      <c r="L38" s="789">
        <f t="shared" si="2"/>
        <v>0</v>
      </c>
      <c r="M38" s="3000"/>
      <c r="N38" s="3000"/>
      <c r="O38" s="3000"/>
      <c r="P38" s="3001"/>
      <c r="Q38" s="1257" t="str">
        <f t="shared" si="3"/>
        <v/>
      </c>
      <c r="R38" s="1258" t="str">
        <f>IF(H38="","",IF(C38="Efficiency",Q38/($O$6*VLOOKUP(0,'DCA Underwriting Assumptions'!$J$132:$K$137,2,FALSE)),Q38/($O$6*VLOOKUP(C38,'DCA Underwriting Assumptions'!$J$132:$K$137,2,FALSE))))</f>
        <v/>
      </c>
      <c r="S38" s="3002"/>
      <c r="T38" s="3003"/>
      <c r="U38" s="3004"/>
      <c r="V38" s="291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95" t="s">
        <v>1837</v>
      </c>
      <c r="C39" s="2996"/>
      <c r="D39" s="2997"/>
      <c r="E39" s="2998"/>
      <c r="F39" s="2998"/>
      <c r="G39" s="2998"/>
      <c r="H39" s="2998"/>
      <c r="I39" s="2998"/>
      <c r="J39" s="2999"/>
      <c r="K39" s="789">
        <f t="shared" si="1"/>
        <v>0</v>
      </c>
      <c r="L39" s="789">
        <f t="shared" si="2"/>
        <v>0</v>
      </c>
      <c r="M39" s="3000"/>
      <c r="N39" s="3000"/>
      <c r="O39" s="3000"/>
      <c r="P39" s="3001"/>
      <c r="Q39" s="1257" t="str">
        <f t="shared" si="3"/>
        <v/>
      </c>
      <c r="R39" s="1258" t="str">
        <f>IF(H39="","",IF(C39="Efficiency",Q39/($O$6*VLOOKUP(0,'DCA Underwriting Assumptions'!$J$132:$K$137,2,FALSE)),Q39/($O$6*VLOOKUP(C39,'DCA Underwriting Assumptions'!$J$132:$K$137,2,FALSE))))</f>
        <v/>
      </c>
      <c r="S39" s="3002"/>
      <c r="T39" s="3003"/>
      <c r="U39" s="3004"/>
      <c r="V39" s="291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95" t="s">
        <v>1837</v>
      </c>
      <c r="C40" s="2996"/>
      <c r="D40" s="2997"/>
      <c r="E40" s="2998"/>
      <c r="F40" s="2998"/>
      <c r="G40" s="2998"/>
      <c r="H40" s="2998"/>
      <c r="I40" s="2998"/>
      <c r="J40" s="2999"/>
      <c r="K40" s="789">
        <f t="shared" si="1"/>
        <v>0</v>
      </c>
      <c r="L40" s="789">
        <f t="shared" si="2"/>
        <v>0</v>
      </c>
      <c r="M40" s="3000"/>
      <c r="N40" s="3000"/>
      <c r="O40" s="3000"/>
      <c r="P40" s="3001"/>
      <c r="Q40" s="1257" t="str">
        <f t="shared" si="3"/>
        <v/>
      </c>
      <c r="R40" s="1258" t="str">
        <f>IF(H40="","",IF(C40="Efficiency",Q40/($O$6*VLOOKUP(0,'DCA Underwriting Assumptions'!$J$132:$K$137,2,FALSE)),Q40/($O$6*VLOOKUP(C40,'DCA Underwriting Assumptions'!$J$132:$K$137,2,FALSE))))</f>
        <v/>
      </c>
      <c r="S40" s="3002"/>
      <c r="T40" s="3003"/>
      <c r="U40" s="3004"/>
      <c r="V40" s="291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95" t="s">
        <v>1837</v>
      </c>
      <c r="C41" s="2996"/>
      <c r="D41" s="2997"/>
      <c r="E41" s="2998"/>
      <c r="F41" s="2998"/>
      <c r="G41" s="2998"/>
      <c r="H41" s="2998"/>
      <c r="I41" s="2998"/>
      <c r="J41" s="2999"/>
      <c r="K41" s="789">
        <f t="shared" si="1"/>
        <v>0</v>
      </c>
      <c r="L41" s="789">
        <f t="shared" si="2"/>
        <v>0</v>
      </c>
      <c r="M41" s="3000"/>
      <c r="N41" s="3000"/>
      <c r="O41" s="3000"/>
      <c r="P41" s="3001"/>
      <c r="Q41" s="1257" t="str">
        <f t="shared" si="3"/>
        <v/>
      </c>
      <c r="R41" s="1258" t="str">
        <f>IF(H41="","",IF(C41="Efficiency",Q41/($O$6*VLOOKUP(0,'DCA Underwriting Assumptions'!$J$132:$K$137,2,FALSE)),Q41/($O$6*VLOOKUP(C41,'DCA Underwriting Assumptions'!$J$132:$K$137,2,FALSE))))</f>
        <v/>
      </c>
      <c r="S41" s="3002"/>
      <c r="T41" s="3003"/>
      <c r="U41" s="3004"/>
      <c r="V41" s="291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95" t="s">
        <v>1837</v>
      </c>
      <c r="C42" s="2996"/>
      <c r="D42" s="2997"/>
      <c r="E42" s="2998"/>
      <c r="F42" s="2998"/>
      <c r="G42" s="2998"/>
      <c r="H42" s="2998"/>
      <c r="I42" s="2998"/>
      <c r="J42" s="2999"/>
      <c r="K42" s="789">
        <f t="shared" si="1"/>
        <v>0</v>
      </c>
      <c r="L42" s="789">
        <f t="shared" si="2"/>
        <v>0</v>
      </c>
      <c r="M42" s="3000"/>
      <c r="N42" s="3000"/>
      <c r="O42" s="3000"/>
      <c r="P42" s="3001"/>
      <c r="Q42" s="1257" t="str">
        <f t="shared" si="3"/>
        <v/>
      </c>
      <c r="R42" s="1258" t="str">
        <f>IF(H42="","",IF(C42="Efficiency",Q42/($O$6*VLOOKUP(0,'DCA Underwriting Assumptions'!$J$132:$K$137,2,FALSE)),Q42/($O$6*VLOOKUP(C42,'DCA Underwriting Assumptions'!$J$132:$K$137,2,FALSE))))</f>
        <v/>
      </c>
      <c r="S42" s="3002"/>
      <c r="T42" s="3003"/>
      <c r="U42" s="3004"/>
      <c r="V42" s="291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95" t="s">
        <v>1837</v>
      </c>
      <c r="C43" s="2996"/>
      <c r="D43" s="2997"/>
      <c r="E43" s="2998"/>
      <c r="F43" s="2998"/>
      <c r="G43" s="2998"/>
      <c r="H43" s="2998"/>
      <c r="I43" s="2998"/>
      <c r="J43" s="2999"/>
      <c r="K43" s="789">
        <f t="shared" si="1"/>
        <v>0</v>
      </c>
      <c r="L43" s="789">
        <f t="shared" si="2"/>
        <v>0</v>
      </c>
      <c r="M43" s="3000"/>
      <c r="N43" s="3000"/>
      <c r="O43" s="3000"/>
      <c r="P43" s="3001"/>
      <c r="Q43" s="1257" t="str">
        <f t="shared" si="3"/>
        <v/>
      </c>
      <c r="R43" s="1258" t="str">
        <f>IF(H43="","",IF(C43="Efficiency",Q43/($O$6*VLOOKUP(0,'DCA Underwriting Assumptions'!$J$132:$K$137,2,FALSE)),Q43/($O$6*VLOOKUP(C43,'DCA Underwriting Assumptions'!$J$132:$K$137,2,FALSE))))</f>
        <v/>
      </c>
      <c r="S43" s="3002"/>
      <c r="T43" s="3003"/>
      <c r="U43" s="3004"/>
      <c r="V43" s="291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95" t="s">
        <v>1837</v>
      </c>
      <c r="C44" s="2996"/>
      <c r="D44" s="2997"/>
      <c r="E44" s="2998"/>
      <c r="F44" s="2998"/>
      <c r="G44" s="2998"/>
      <c r="H44" s="2998"/>
      <c r="I44" s="2998"/>
      <c r="J44" s="2999"/>
      <c r="K44" s="789">
        <f t="shared" si="1"/>
        <v>0</v>
      </c>
      <c r="L44" s="789">
        <f t="shared" si="2"/>
        <v>0</v>
      </c>
      <c r="M44" s="3000"/>
      <c r="N44" s="3000"/>
      <c r="O44" s="3000"/>
      <c r="P44" s="3001"/>
      <c r="Q44" s="1257" t="str">
        <f t="shared" si="3"/>
        <v/>
      </c>
      <c r="R44" s="1258" t="str">
        <f>IF(H44="","",IF(C44="Efficiency",Q44/($O$6*VLOOKUP(0,'DCA Underwriting Assumptions'!$J$132:$K$137,2,FALSE)),Q44/($O$6*VLOOKUP(C44,'DCA Underwriting Assumptions'!$J$132:$K$137,2,FALSE))))</f>
        <v/>
      </c>
      <c r="S44" s="3002"/>
      <c r="T44" s="3003"/>
      <c r="U44" s="3004"/>
      <c r="V44" s="291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95" t="s">
        <v>1837</v>
      </c>
      <c r="C45" s="2996"/>
      <c r="D45" s="2997"/>
      <c r="E45" s="2998"/>
      <c r="F45" s="2998"/>
      <c r="G45" s="2998"/>
      <c r="H45" s="2998"/>
      <c r="I45" s="2998"/>
      <c r="J45" s="2999"/>
      <c r="K45" s="789">
        <f t="shared" si="1"/>
        <v>0</v>
      </c>
      <c r="L45" s="789">
        <f t="shared" si="2"/>
        <v>0</v>
      </c>
      <c r="M45" s="3000"/>
      <c r="N45" s="3000"/>
      <c r="O45" s="3000"/>
      <c r="P45" s="3001"/>
      <c r="Q45" s="1257" t="str">
        <f t="shared" si="3"/>
        <v/>
      </c>
      <c r="R45" s="1258" t="str">
        <f>IF(H45="","",IF(C45="Efficiency",Q45/($O$6*VLOOKUP(0,'DCA Underwriting Assumptions'!$J$132:$K$137,2,FALSE)),Q45/($O$6*VLOOKUP(C45,'DCA Underwriting Assumptions'!$J$132:$K$137,2,FALSE))))</f>
        <v/>
      </c>
      <c r="S45" s="3002"/>
      <c r="T45" s="3003"/>
      <c r="U45" s="3004"/>
      <c r="V45" s="291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95" t="s">
        <v>1837</v>
      </c>
      <c r="C46" s="2996"/>
      <c r="D46" s="2997"/>
      <c r="E46" s="2998"/>
      <c r="F46" s="2998"/>
      <c r="G46" s="2998"/>
      <c r="H46" s="2998"/>
      <c r="I46" s="2998"/>
      <c r="J46" s="2999"/>
      <c r="K46" s="789">
        <f t="shared" si="1"/>
        <v>0</v>
      </c>
      <c r="L46" s="789">
        <f t="shared" si="2"/>
        <v>0</v>
      </c>
      <c r="M46" s="3000"/>
      <c r="N46" s="3000"/>
      <c r="O46" s="3000"/>
      <c r="P46" s="3001"/>
      <c r="Q46" s="1257" t="str">
        <f t="shared" si="3"/>
        <v/>
      </c>
      <c r="R46" s="1258" t="str">
        <f>IF(H46="","",IF(C46="Efficiency",Q46/($O$6*VLOOKUP(0,'DCA Underwriting Assumptions'!$J$132:$K$137,2,FALSE)),Q46/($O$6*VLOOKUP(C46,'DCA Underwriting Assumptions'!$J$132:$K$137,2,FALSE))))</f>
        <v/>
      </c>
      <c r="S46" s="3002"/>
      <c r="T46" s="3003"/>
      <c r="U46" s="3004"/>
      <c r="V46" s="291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3005" t="s">
        <v>1837</v>
      </c>
      <c r="C47" s="3006"/>
      <c r="D47" s="3007"/>
      <c r="E47" s="3008"/>
      <c r="F47" s="3008"/>
      <c r="G47" s="3008"/>
      <c r="H47" s="3008"/>
      <c r="I47" s="3008"/>
      <c r="J47" s="3009"/>
      <c r="K47" s="790">
        <f t="shared" si="1"/>
        <v>0</v>
      </c>
      <c r="L47" s="790">
        <f t="shared" si="2"/>
        <v>0</v>
      </c>
      <c r="M47" s="3010"/>
      <c r="N47" s="3010"/>
      <c r="O47" s="3010"/>
      <c r="P47" s="3011"/>
      <c r="Q47" s="1259" t="str">
        <f t="shared" si="3"/>
        <v/>
      </c>
      <c r="R47" s="1260" t="str">
        <f>IF(H47="","",IF(C47="Efficiency",Q47/($O$6*VLOOKUP(0,'DCA Underwriting Assumptions'!$J$132:$K$137,2,FALSE)),Q47/($O$6*VLOOKUP(C47,'DCA Underwriting Assumptions'!$J$132:$K$137,2,FALSE))))</f>
        <v/>
      </c>
      <c r="S47" s="3012"/>
      <c r="T47" s="3013"/>
      <c r="U47" s="2924"/>
      <c r="V47" s="292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9">
        <f>COUNT(A10,A11,A12,A13,A14,A15,A16,A17,A18,A19,A20,A21,A22,A23,A24,A25,A26,A27,A28,A29,A30,A31,A32,A33,A34,A35,A36,A37,A38,A39)</f>
        <v>0</v>
      </c>
      <c r="B48" s="749"/>
      <c r="C48" s="100"/>
      <c r="D48" s="149" t="s">
        <v>1055</v>
      </c>
      <c r="E48" s="134">
        <f>SUM(E10:E47)</f>
        <v>72</v>
      </c>
      <c r="F48" s="1305">
        <f>(E10*F10+E11*F11+E12*F12+E13*F13+E14*F14+E15*F15+E16*F16+E17*F17+E18*F18+E19*F19+E20*F20+E21*F21+E22*F22+E23*F23+E24*F24+E25*F25+E26*F26+E27*F27+E28*F28+E29*F29+E30*F30+E31*F31+E32*F32+E33*F33+E34*F34+E35*F35+E36*F36+E37*F37+E38*F38+E39*F39+E40*F40+E41*F41+E42*F42+E43*F43+E44*F44+E45*F45+E46*F46+E47*F47)</f>
        <v>79300</v>
      </c>
      <c r="G48" s="750"/>
      <c r="H48" s="751"/>
      <c r="I48" s="751"/>
      <c r="J48" s="751"/>
      <c r="K48" s="1308" t="s">
        <v>1351</v>
      </c>
      <c r="L48" s="133">
        <f>SUM(L10:L47)</f>
        <v>38904</v>
      </c>
      <c r="M48" s="100"/>
      <c r="N48" s="752"/>
      <c r="O48" s="100"/>
      <c r="P48" s="527"/>
      <c r="Q48" s="527"/>
      <c r="R48" s="527"/>
      <c r="S48" s="527"/>
      <c r="T48" s="527"/>
      <c r="U48" s="1218"/>
      <c r="V48" s="753"/>
      <c r="W48" s="754">
        <f t="shared" ref="W48:CH48" si="259">SUM(W10:W47)</f>
        <v>0</v>
      </c>
      <c r="X48" s="754">
        <f t="shared" si="259"/>
        <v>3</v>
      </c>
      <c r="Y48" s="754">
        <f t="shared" si="259"/>
        <v>32</v>
      </c>
      <c r="Z48" s="754">
        <f t="shared" si="259"/>
        <v>16</v>
      </c>
      <c r="AA48" s="754">
        <f t="shared" si="259"/>
        <v>0</v>
      </c>
      <c r="AB48" s="754">
        <f t="shared" si="259"/>
        <v>0</v>
      </c>
      <c r="AC48" s="754">
        <f t="shared" si="259"/>
        <v>9</v>
      </c>
      <c r="AD48" s="754">
        <f t="shared" si="259"/>
        <v>8</v>
      </c>
      <c r="AE48" s="754">
        <f t="shared" si="259"/>
        <v>4</v>
      </c>
      <c r="AF48" s="754">
        <f t="shared" si="259"/>
        <v>0</v>
      </c>
      <c r="AG48" s="754">
        <f t="shared" si="259"/>
        <v>0</v>
      </c>
      <c r="AH48" s="754">
        <f t="shared" si="259"/>
        <v>0</v>
      </c>
      <c r="AI48" s="754">
        <f t="shared" si="259"/>
        <v>0</v>
      </c>
      <c r="AJ48" s="754">
        <f t="shared" si="259"/>
        <v>0</v>
      </c>
      <c r="AK48" s="754">
        <f t="shared" si="259"/>
        <v>0</v>
      </c>
      <c r="AL48" s="754">
        <f t="shared" si="259"/>
        <v>0</v>
      </c>
      <c r="AM48" s="754">
        <f t="shared" si="259"/>
        <v>0</v>
      </c>
      <c r="AN48" s="754">
        <f t="shared" si="259"/>
        <v>0</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2490</v>
      </c>
      <c r="CB48" s="754">
        <f t="shared" si="259"/>
        <v>34656</v>
      </c>
      <c r="CC48" s="754">
        <f t="shared" si="259"/>
        <v>20816</v>
      </c>
      <c r="CD48" s="754">
        <f t="shared" si="259"/>
        <v>0</v>
      </c>
      <c r="CE48" s="754">
        <f t="shared" si="259"/>
        <v>0</v>
      </c>
      <c r="CF48" s="754">
        <f t="shared" si="259"/>
        <v>7470</v>
      </c>
      <c r="CG48" s="754">
        <f t="shared" si="259"/>
        <v>8664</v>
      </c>
      <c r="CH48" s="754">
        <f t="shared" si="259"/>
        <v>5204</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0</v>
      </c>
      <c r="CQ48" s="754">
        <f t="shared" si="260"/>
        <v>0</v>
      </c>
      <c r="CR48" s="754">
        <f t="shared" si="260"/>
        <v>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12</v>
      </c>
      <c r="DF48" s="754">
        <f t="shared" si="260"/>
        <v>40</v>
      </c>
      <c r="DG48" s="754">
        <f t="shared" si="260"/>
        <v>20</v>
      </c>
      <c r="DH48" s="754">
        <f t="shared" si="260"/>
        <v>0</v>
      </c>
      <c r="DI48" s="754">
        <f t="shared" si="260"/>
        <v>0</v>
      </c>
      <c r="DJ48" s="754">
        <f t="shared" si="260"/>
        <v>0</v>
      </c>
      <c r="DK48" s="754">
        <f t="shared" si="260"/>
        <v>0</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12</v>
      </c>
      <c r="EY48" s="513">
        <f t="shared" si="261"/>
        <v>40</v>
      </c>
      <c r="EZ48" s="513">
        <f t="shared" si="261"/>
        <v>20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12</v>
      </c>
      <c r="HL48" s="513">
        <f t="shared" si="262"/>
        <v>40</v>
      </c>
      <c r="HM48" s="513">
        <f t="shared" si="262"/>
        <v>20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12</v>
      </c>
      <c r="JJ48" s="513">
        <f t="shared" si="262"/>
        <v>40</v>
      </c>
      <c r="JK48" s="513">
        <f t="shared" si="262"/>
        <v>20</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466848</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7" t="s">
        <v>2709</v>
      </c>
      <c r="B51" s="3014"/>
      <c r="C51" s="3014"/>
      <c r="D51" s="3014"/>
      <c r="E51" s="3014"/>
      <c r="F51" s="3014"/>
      <c r="G51" s="3014"/>
      <c r="H51" s="3014"/>
      <c r="I51" s="3014"/>
      <c r="J51" s="3014"/>
      <c r="K51" s="3014"/>
      <c r="L51" s="3014"/>
      <c r="M51" s="3014"/>
      <c r="N51" s="3014"/>
      <c r="O51" s="3014"/>
      <c r="P51" s="3014"/>
      <c r="Q51" s="3015"/>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14"/>
      <c r="B52" s="3014"/>
      <c r="C52" s="3014"/>
      <c r="D52" s="3014"/>
      <c r="E52" s="3014"/>
      <c r="F52" s="3014"/>
      <c r="G52" s="3014"/>
      <c r="H52" s="3014"/>
      <c r="I52" s="3014"/>
      <c r="J52" s="3014"/>
      <c r="K52" s="3014"/>
      <c r="L52" s="3014"/>
      <c r="M52" s="3014"/>
      <c r="N52" s="3014"/>
      <c r="O52" s="3014"/>
      <c r="P52" s="3014"/>
      <c r="Q52" s="3015"/>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8"/>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9"/>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9"/>
      <c r="S55" s="531"/>
      <c r="T55" s="531"/>
      <c r="U55" s="1520" t="s">
        <v>1915</v>
      </c>
      <c r="V55" s="1520"/>
      <c r="W55" s="525"/>
      <c r="X55" s="525"/>
      <c r="Y55" s="525"/>
      <c r="Z55" s="525"/>
      <c r="AA55" s="525"/>
      <c r="AB55" s="1310"/>
      <c r="AC55" s="1310"/>
      <c r="AD55" s="1310"/>
      <c r="AE55" s="1310"/>
      <c r="AF55" s="1310"/>
      <c r="AG55" s="1310"/>
      <c r="AH55" s="525"/>
      <c r="AI55" s="100"/>
      <c r="IL55" s="514"/>
      <c r="JA55" s="501"/>
    </row>
    <row r="56" spans="1:296" ht="12" customHeight="1">
      <c r="C56" s="100" t="s">
        <v>1179</v>
      </c>
      <c r="D56" s="1"/>
      <c r="E56" s="1"/>
      <c r="F56" s="1"/>
      <c r="G56" s="87"/>
      <c r="H56" s="37" t="s">
        <v>1191</v>
      </c>
      <c r="I56" s="87"/>
      <c r="J56" s="791">
        <f>W48</f>
        <v>0</v>
      </c>
      <c r="K56" s="791">
        <f>X48</f>
        <v>3</v>
      </c>
      <c r="L56" s="791">
        <f>Y48</f>
        <v>32</v>
      </c>
      <c r="M56" s="791">
        <f>Z48</f>
        <v>16</v>
      </c>
      <c r="N56" s="791">
        <f>AA48</f>
        <v>0</v>
      </c>
      <c r="O56" s="791">
        <f t="shared" ref="O56:O62" si="263">SUM(J56:N56)</f>
        <v>51</v>
      </c>
      <c r="P56" s="1676" t="s">
        <v>4106</v>
      </c>
      <c r="Q56" s="1423"/>
      <c r="R56" s="453"/>
      <c r="S56" s="453"/>
      <c r="T56" s="453"/>
      <c r="U56" s="2916"/>
      <c r="V56" s="2917"/>
      <c r="W56" s="527"/>
      <c r="X56" s="527"/>
      <c r="Y56" s="527"/>
      <c r="Z56" s="527"/>
      <c r="AA56" s="54"/>
      <c r="AB56" s="751"/>
      <c r="AC56" s="751"/>
      <c r="AD56" s="751"/>
      <c r="AE56" s="751"/>
      <c r="AF56" s="751"/>
      <c r="AG56" s="751"/>
      <c r="AH56" s="54"/>
      <c r="AI56" s="100"/>
      <c r="IL56" s="514"/>
      <c r="JA56" s="501"/>
    </row>
    <row r="57" spans="1:296" ht="12" customHeight="1">
      <c r="A57" s="1664" t="s">
        <v>457</v>
      </c>
      <c r="B57" s="1664"/>
      <c r="C57" s="4"/>
      <c r="D57" s="1"/>
      <c r="E57" s="1"/>
      <c r="F57" s="1"/>
      <c r="G57" s="87"/>
      <c r="H57" s="37" t="s">
        <v>120</v>
      </c>
      <c r="I57" s="87"/>
      <c r="J57" s="792">
        <f>AB48</f>
        <v>0</v>
      </c>
      <c r="K57" s="792">
        <f>AC48</f>
        <v>9</v>
      </c>
      <c r="L57" s="792">
        <f>AD48</f>
        <v>8</v>
      </c>
      <c r="M57" s="792">
        <f>AE48</f>
        <v>4</v>
      </c>
      <c r="N57" s="792">
        <f>AF48</f>
        <v>0</v>
      </c>
      <c r="O57" s="792">
        <f t="shared" si="263"/>
        <v>21</v>
      </c>
      <c r="P57" s="1676"/>
      <c r="Q57" s="1423"/>
      <c r="R57" s="453"/>
      <c r="S57" s="453"/>
      <c r="T57" s="453"/>
      <c r="U57" s="2918"/>
      <c r="V57" s="2919"/>
      <c r="W57" s="10"/>
      <c r="X57" s="527"/>
      <c r="Y57" s="527"/>
      <c r="Z57" s="527"/>
      <c r="AA57" s="54"/>
      <c r="AB57" s="751"/>
      <c r="AC57" s="751"/>
      <c r="AD57" s="751"/>
      <c r="AE57" s="751"/>
      <c r="AF57" s="751"/>
      <c r="AG57" s="751"/>
      <c r="AH57" s="54"/>
      <c r="AI57" s="100"/>
      <c r="IL57" s="514"/>
      <c r="JA57" s="501"/>
    </row>
    <row r="58" spans="1:296" ht="12" customHeight="1">
      <c r="A58" s="1664"/>
      <c r="B58" s="1664"/>
      <c r="C58" s="4"/>
      <c r="D58" s="1"/>
      <c r="E58" s="1"/>
      <c r="F58" s="1"/>
      <c r="G58" s="87"/>
      <c r="H58" s="37" t="s">
        <v>558</v>
      </c>
      <c r="I58" s="87"/>
      <c r="J58" s="791">
        <f>SUM(J56:J57)</f>
        <v>0</v>
      </c>
      <c r="K58" s="791">
        <f>SUM(K56:K57)</f>
        <v>12</v>
      </c>
      <c r="L58" s="791">
        <f>SUM(L56:L57)</f>
        <v>40</v>
      </c>
      <c r="M58" s="791">
        <f>SUM(M56:M57)</f>
        <v>20</v>
      </c>
      <c r="N58" s="791">
        <f>SUM(N56:N57)</f>
        <v>0</v>
      </c>
      <c r="O58" s="791">
        <f t="shared" si="263"/>
        <v>72</v>
      </c>
      <c r="P58" s="1676"/>
      <c r="R58" s="453"/>
      <c r="S58" s="453"/>
      <c r="T58" s="453"/>
      <c r="U58" s="2918"/>
      <c r="V58" s="2919"/>
      <c r="W58" s="10"/>
      <c r="X58" s="527"/>
      <c r="Y58" s="527"/>
      <c r="Z58" s="527"/>
      <c r="AA58" s="54"/>
      <c r="AB58" s="751"/>
      <c r="AC58" s="751"/>
      <c r="AD58" s="751"/>
      <c r="AE58" s="751"/>
      <c r="AF58" s="751"/>
      <c r="AG58" s="751"/>
      <c r="AH58" s="54"/>
      <c r="AI58" s="100"/>
      <c r="IL58" s="514"/>
      <c r="JA58" s="501"/>
    </row>
    <row r="59" spans="1:296" ht="12" customHeight="1">
      <c r="A59" s="1664"/>
      <c r="B59" s="1664"/>
      <c r="C59" s="100" t="s">
        <v>316</v>
      </c>
      <c r="D59" s="1"/>
      <c r="E59" s="1"/>
      <c r="F59" s="1"/>
      <c r="G59" s="87"/>
      <c r="H59" s="37"/>
      <c r="I59" s="87"/>
      <c r="J59" s="793">
        <f>AL48</f>
        <v>0</v>
      </c>
      <c r="K59" s="793">
        <f>AM48</f>
        <v>0</v>
      </c>
      <c r="L59" s="793">
        <f>AN48</f>
        <v>0</v>
      </c>
      <c r="M59" s="793">
        <f>AO48</f>
        <v>0</v>
      </c>
      <c r="N59" s="793">
        <f>AP48</f>
        <v>0</v>
      </c>
      <c r="O59" s="793">
        <f t="shared" si="263"/>
        <v>0</v>
      </c>
      <c r="R59" s="453"/>
      <c r="S59" s="453"/>
      <c r="T59" s="453"/>
      <c r="U59" s="2918"/>
      <c r="V59" s="2919"/>
      <c r="W59" s="100"/>
      <c r="X59" s="527"/>
      <c r="Y59" s="527"/>
      <c r="Z59" s="527"/>
      <c r="AA59" s="54"/>
      <c r="AB59" s="751"/>
      <c r="AC59" s="751"/>
      <c r="AD59" s="751"/>
      <c r="AE59" s="751"/>
      <c r="AF59" s="751"/>
      <c r="AG59" s="751"/>
      <c r="AH59" s="462"/>
      <c r="AI59" s="100"/>
      <c r="IL59" s="514"/>
      <c r="JA59" s="501"/>
    </row>
    <row r="60" spans="1:296" ht="12" customHeight="1">
      <c r="A60" s="1664"/>
      <c r="B60" s="1664"/>
      <c r="C60" s="100" t="s">
        <v>1180</v>
      </c>
      <c r="D60" s="1"/>
      <c r="E60" s="1"/>
      <c r="F60" s="1"/>
      <c r="G60" s="87"/>
      <c r="H60" s="37"/>
      <c r="I60" s="87"/>
      <c r="J60" s="791">
        <f>SUM(J58:J59)</f>
        <v>0</v>
      </c>
      <c r="K60" s="791">
        <f>SUM(K58:K59)</f>
        <v>12</v>
      </c>
      <c r="L60" s="791">
        <f>SUM(L58:L59)</f>
        <v>40</v>
      </c>
      <c r="M60" s="791">
        <f>SUM(M58:M59)</f>
        <v>20</v>
      </c>
      <c r="N60" s="791">
        <f>SUM(N58:N59)</f>
        <v>0</v>
      </c>
      <c r="O60" s="791">
        <f t="shared" si="263"/>
        <v>72</v>
      </c>
      <c r="R60" s="453"/>
      <c r="S60" s="453"/>
      <c r="T60" s="453"/>
      <c r="U60" s="2918"/>
      <c r="V60" s="2919"/>
      <c r="W60" s="527"/>
      <c r="X60" s="527"/>
      <c r="Y60" s="527"/>
      <c r="Z60" s="527"/>
      <c r="AA60" s="54"/>
      <c r="AB60" s="751"/>
      <c r="AC60" s="751"/>
      <c r="AD60" s="751"/>
      <c r="AE60" s="751"/>
      <c r="AF60" s="751"/>
      <c r="AG60" s="751"/>
      <c r="AH60" s="462"/>
      <c r="AI60" s="100"/>
      <c r="IL60" s="514"/>
      <c r="JA60" s="501"/>
    </row>
    <row r="61" spans="1:296" ht="12" customHeight="1">
      <c r="A61" s="1664"/>
      <c r="B61" s="1664"/>
      <c r="C61" s="100" t="s">
        <v>2598</v>
      </c>
      <c r="D61" s="1"/>
      <c r="E61" s="1"/>
      <c r="F61" s="1"/>
      <c r="G61" s="87"/>
      <c r="H61" s="37"/>
      <c r="I61" s="87"/>
      <c r="J61" s="793">
        <f>BU48</f>
        <v>0</v>
      </c>
      <c r="K61" s="793">
        <f>BV48</f>
        <v>0</v>
      </c>
      <c r="L61" s="793">
        <f>BW48</f>
        <v>0</v>
      </c>
      <c r="M61" s="793">
        <f>BX48</f>
        <v>0</v>
      </c>
      <c r="N61" s="793">
        <f>BY48</f>
        <v>0</v>
      </c>
      <c r="O61" s="793">
        <f t="shared" si="263"/>
        <v>0</v>
      </c>
      <c r="P61" s="567" t="s">
        <v>4107</v>
      </c>
      <c r="R61" s="453"/>
      <c r="S61" s="453"/>
      <c r="T61" s="453"/>
      <c r="U61" s="2918"/>
      <c r="V61" s="2919"/>
      <c r="W61" s="527"/>
      <c r="X61" s="527"/>
      <c r="Y61" s="527"/>
      <c r="Z61" s="527"/>
      <c r="AA61" s="54"/>
      <c r="AB61" s="751"/>
      <c r="AC61" s="751"/>
      <c r="AD61" s="751"/>
      <c r="AE61" s="751"/>
      <c r="AF61" s="751"/>
      <c r="AG61" s="751"/>
      <c r="AH61" s="54"/>
      <c r="AI61" s="100"/>
      <c r="IL61" s="514"/>
      <c r="JA61" s="501"/>
    </row>
    <row r="62" spans="1:296" ht="12" customHeight="1">
      <c r="A62" s="1664"/>
      <c r="B62" s="1664"/>
      <c r="C62" s="100" t="s">
        <v>558</v>
      </c>
      <c r="D62" s="1"/>
      <c r="E62" s="1"/>
      <c r="F62" s="1"/>
      <c r="G62" s="87"/>
      <c r="H62" s="37"/>
      <c r="I62" s="87"/>
      <c r="J62" s="794">
        <f>SUM(J60:J61)</f>
        <v>0</v>
      </c>
      <c r="K62" s="794">
        <f>SUM(K60:K61)</f>
        <v>12</v>
      </c>
      <c r="L62" s="794">
        <f>SUM(L60:L61)</f>
        <v>40</v>
      </c>
      <c r="M62" s="794">
        <f>SUM(M60:M61)</f>
        <v>20</v>
      </c>
      <c r="N62" s="794">
        <f>SUM(N60:N61)</f>
        <v>0</v>
      </c>
      <c r="O62" s="794">
        <f t="shared" si="263"/>
        <v>72</v>
      </c>
      <c r="R62" s="453"/>
      <c r="S62" s="453"/>
      <c r="T62" s="453"/>
      <c r="U62" s="2921"/>
      <c r="V62" s="2922"/>
      <c r="W62" s="527"/>
      <c r="X62" s="527"/>
      <c r="Y62" s="527"/>
      <c r="Z62" s="527"/>
      <c r="AA62" s="54"/>
      <c r="AB62" s="751"/>
      <c r="AC62" s="751"/>
      <c r="AD62" s="751"/>
      <c r="AE62" s="751"/>
      <c r="AF62" s="751"/>
      <c r="AG62" s="751"/>
      <c r="AH62" s="525"/>
      <c r="AI62" s="100"/>
      <c r="IL62" s="514"/>
      <c r="JA62" s="501"/>
    </row>
    <row r="63" spans="1:296" ht="9" customHeight="1">
      <c r="A63" s="1664"/>
      <c r="B63" s="1664"/>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4"/>
      <c r="B64" s="1664"/>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916"/>
      <c r="V64" s="2917"/>
      <c r="W64" s="527"/>
      <c r="X64" s="527"/>
      <c r="Y64" s="109"/>
      <c r="Z64" s="527"/>
      <c r="AA64" s="54"/>
      <c r="AB64" s="751"/>
      <c r="AC64" s="751"/>
      <c r="AD64" s="751"/>
      <c r="AE64" s="751"/>
      <c r="AF64" s="751"/>
      <c r="AG64" s="751"/>
      <c r="AH64" s="54"/>
      <c r="AI64" s="100"/>
      <c r="IL64" s="514"/>
      <c r="JA64" s="501"/>
    </row>
    <row r="65" spans="1:261" ht="12" customHeight="1">
      <c r="A65" s="1664"/>
      <c r="B65" s="1664"/>
      <c r="C65" s="37" t="s">
        <v>2599</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18"/>
      <c r="V65" s="2919"/>
      <c r="W65" s="54"/>
      <c r="X65" s="527"/>
      <c r="Y65" s="109"/>
      <c r="Z65" s="527"/>
      <c r="AA65" s="54"/>
      <c r="AB65" s="751"/>
      <c r="AC65" s="751"/>
      <c r="AD65" s="751"/>
      <c r="AE65" s="751"/>
      <c r="AF65" s="751"/>
      <c r="AG65" s="751"/>
      <c r="AH65" s="54"/>
      <c r="AI65" s="100"/>
      <c r="IL65" s="514"/>
      <c r="JA65" s="501"/>
    </row>
    <row r="66" spans="1:261" ht="12" customHeight="1">
      <c r="A66" s="1664"/>
      <c r="B66" s="1664"/>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21"/>
      <c r="V66" s="2922"/>
      <c r="W66" s="10"/>
      <c r="X66" s="527"/>
      <c r="Y66" s="109"/>
      <c r="Z66" s="527"/>
      <c r="AA66" s="54"/>
      <c r="AB66" s="751"/>
      <c r="AC66" s="751"/>
      <c r="AD66" s="751"/>
      <c r="AE66" s="751"/>
      <c r="AF66" s="751"/>
      <c r="AG66" s="751"/>
      <c r="AH66" s="54"/>
      <c r="AI66" s="100"/>
      <c r="IL66" s="514"/>
      <c r="JA66" s="501"/>
    </row>
    <row r="67" spans="1:261" ht="9" customHeight="1">
      <c r="A67" s="1664"/>
      <c r="B67" s="1664"/>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4"/>
      <c r="B68" s="1664"/>
      <c r="C68" s="1665" t="s">
        <v>923</v>
      </c>
      <c r="D68" s="1665"/>
      <c r="E68" s="1665"/>
      <c r="F68" s="1"/>
      <c r="G68" s="87"/>
      <c r="H68" s="37" t="s">
        <v>1191</v>
      </c>
      <c r="I68" s="87"/>
      <c r="J68" s="791">
        <f>BP48</f>
        <v>0</v>
      </c>
      <c r="K68" s="791">
        <f>BQ48</f>
        <v>0</v>
      </c>
      <c r="L68" s="791">
        <f>BR48</f>
        <v>0</v>
      </c>
      <c r="M68" s="791">
        <f>BS48</f>
        <v>0</v>
      </c>
      <c r="N68" s="791">
        <f>BT48</f>
        <v>0</v>
      </c>
      <c r="O68" s="791">
        <f>SUM(J68:N68)</f>
        <v>0</v>
      </c>
      <c r="R68" s="453"/>
      <c r="S68" s="453"/>
      <c r="T68" s="453"/>
      <c r="U68" s="2916"/>
      <c r="V68" s="2917"/>
      <c r="W68" s="100"/>
      <c r="X68" s="527"/>
      <c r="Y68" s="109"/>
      <c r="Z68" s="527"/>
      <c r="AA68" s="54"/>
      <c r="AB68" s="751"/>
      <c r="AC68" s="751"/>
      <c r="AD68" s="751"/>
      <c r="AE68" s="751"/>
      <c r="AF68" s="751"/>
      <c r="AG68" s="751"/>
      <c r="AH68" s="54"/>
      <c r="AI68" s="100"/>
      <c r="IL68" s="514"/>
      <c r="JA68" s="501"/>
    </row>
    <row r="69" spans="1:261" ht="12" customHeight="1">
      <c r="A69" s="1664"/>
      <c r="B69" s="1664"/>
      <c r="C69" s="1665"/>
      <c r="D69" s="1665"/>
      <c r="E69" s="1665"/>
      <c r="F69" s="1"/>
      <c r="G69" s="87"/>
      <c r="H69" s="37" t="s">
        <v>120</v>
      </c>
      <c r="I69" s="87"/>
      <c r="J69" s="792">
        <f>BK48</f>
        <v>0</v>
      </c>
      <c r="K69" s="792">
        <f>BL48</f>
        <v>0</v>
      </c>
      <c r="L69" s="792">
        <f>BM48</f>
        <v>0</v>
      </c>
      <c r="M69" s="792">
        <f>BN48</f>
        <v>0</v>
      </c>
      <c r="N69" s="792">
        <f>BO48</f>
        <v>0</v>
      </c>
      <c r="O69" s="796">
        <f>SUM(J69:N69)</f>
        <v>0</v>
      </c>
      <c r="R69" s="453"/>
      <c r="S69" s="453"/>
      <c r="T69" s="453"/>
      <c r="U69" s="2918"/>
      <c r="V69" s="2919"/>
      <c r="W69" s="37"/>
      <c r="X69" s="527"/>
      <c r="Y69" s="109"/>
      <c r="Z69" s="527"/>
      <c r="AA69" s="54"/>
      <c r="AB69" s="751"/>
      <c r="AC69" s="751"/>
      <c r="AD69" s="751"/>
      <c r="AE69" s="751"/>
      <c r="AF69" s="751"/>
      <c r="AG69" s="751"/>
      <c r="AH69" s="54"/>
      <c r="AI69" s="100"/>
      <c r="IL69" s="514"/>
      <c r="JA69" s="501"/>
    </row>
    <row r="70" spans="1:261" ht="12" customHeight="1">
      <c r="A70" s="1664"/>
      <c r="B70" s="1664"/>
      <c r="C70" s="37" t="s">
        <v>2599</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21"/>
      <c r="V70" s="2922"/>
      <c r="W70" s="10"/>
      <c r="X70" s="527"/>
      <c r="Y70" s="109"/>
      <c r="Z70" s="527"/>
      <c r="AA70" s="54"/>
      <c r="AB70" s="751"/>
      <c r="AC70" s="751"/>
      <c r="AD70" s="751"/>
      <c r="AE70" s="751"/>
      <c r="AF70" s="751"/>
      <c r="AG70" s="751"/>
      <c r="AH70" s="54"/>
      <c r="AI70" s="100"/>
      <c r="IL70" s="514"/>
      <c r="JA70" s="501"/>
    </row>
    <row r="71" spans="1:261" ht="9" customHeight="1">
      <c r="A71" s="1664"/>
      <c r="B71" s="1664"/>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4"/>
      <c r="B72" s="1664"/>
      <c r="C72" s="1673" t="s">
        <v>40</v>
      </c>
      <c r="D72" s="1673"/>
      <c r="E72" s="109" t="s">
        <v>2375</v>
      </c>
      <c r="F72" s="1"/>
      <c r="G72" s="87"/>
      <c r="H72" s="37" t="s">
        <v>1486</v>
      </c>
      <c r="I72" s="87"/>
      <c r="J72" s="791">
        <f>DD48</f>
        <v>0</v>
      </c>
      <c r="K72" s="791">
        <f>DE48</f>
        <v>12</v>
      </c>
      <c r="L72" s="791">
        <f>DF48</f>
        <v>40</v>
      </c>
      <c r="M72" s="791">
        <f>DG48</f>
        <v>20</v>
      </c>
      <c r="N72" s="791">
        <f>DH48</f>
        <v>0</v>
      </c>
      <c r="O72" s="791">
        <f t="shared" ref="O72:O82" si="264">SUM(J72:N72)</f>
        <v>72</v>
      </c>
      <c r="R72" s="453"/>
      <c r="S72" s="453"/>
      <c r="T72" s="453"/>
      <c r="U72" s="3016"/>
      <c r="V72" s="3017"/>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4"/>
      <c r="B73" s="1664"/>
      <c r="C73" s="1673"/>
      <c r="D73" s="1673"/>
      <c r="E73" s="116"/>
      <c r="F73" s="1"/>
      <c r="G73" s="87"/>
      <c r="H73" s="37" t="s">
        <v>316</v>
      </c>
      <c r="I73" s="87"/>
      <c r="J73" s="793">
        <f>DI48</f>
        <v>0</v>
      </c>
      <c r="K73" s="793">
        <f>DJ48</f>
        <v>0</v>
      </c>
      <c r="L73" s="793">
        <f>DK48</f>
        <v>0</v>
      </c>
      <c r="M73" s="793">
        <f>DL48</f>
        <v>0</v>
      </c>
      <c r="N73" s="793">
        <f>DM48</f>
        <v>0</v>
      </c>
      <c r="O73" s="793">
        <f t="shared" si="264"/>
        <v>0</v>
      </c>
      <c r="R73" s="453"/>
      <c r="S73" s="453"/>
      <c r="T73" s="453"/>
      <c r="U73" s="3018"/>
      <c r="V73" s="3019"/>
      <c r="W73" s="527"/>
      <c r="X73" s="527"/>
      <c r="Y73" s="109"/>
      <c r="Z73" s="527"/>
      <c r="AA73" s="54"/>
      <c r="AB73" s="751"/>
      <c r="AC73" s="751"/>
      <c r="AD73" s="751"/>
      <c r="AE73" s="751"/>
      <c r="AF73" s="751"/>
      <c r="AG73" s="751"/>
      <c r="AH73" s="462"/>
      <c r="AI73" s="100"/>
      <c r="IL73" s="514"/>
      <c r="JA73" s="501"/>
    </row>
    <row r="74" spans="1:261" ht="12" customHeight="1">
      <c r="A74" s="1664"/>
      <c r="B74" s="1664"/>
      <c r="C74" s="1673"/>
      <c r="D74" s="1673"/>
      <c r="E74" s="116"/>
      <c r="F74" s="1"/>
      <c r="G74" s="87"/>
      <c r="H74" s="37" t="s">
        <v>33</v>
      </c>
      <c r="I74" s="87"/>
      <c r="J74" s="794">
        <f>SUM(J72:J73)+DN48</f>
        <v>0</v>
      </c>
      <c r="K74" s="794">
        <f>SUM(K72:K73)+DO48</f>
        <v>12</v>
      </c>
      <c r="L74" s="794">
        <f>SUM(L72:L73)+DP48</f>
        <v>40</v>
      </c>
      <c r="M74" s="794">
        <f>SUM(M72:M73)+DQ48</f>
        <v>20</v>
      </c>
      <c r="N74" s="794">
        <f>SUM(N72:N73)+DR48</f>
        <v>0</v>
      </c>
      <c r="O74" s="794">
        <f t="shared" si="264"/>
        <v>72</v>
      </c>
      <c r="R74" s="453"/>
      <c r="S74" s="453"/>
      <c r="T74" s="453"/>
      <c r="U74" s="3018"/>
      <c r="V74" s="3019"/>
      <c r="W74" s="10"/>
      <c r="X74" s="527"/>
      <c r="Y74" s="109"/>
      <c r="Z74" s="527"/>
      <c r="AA74" s="37"/>
      <c r="AB74" s="751"/>
      <c r="AC74" s="751"/>
      <c r="AD74" s="751"/>
      <c r="AE74" s="751"/>
      <c r="AF74" s="751"/>
      <c r="AG74" s="751"/>
      <c r="AH74" s="54"/>
      <c r="AI74" s="100"/>
      <c r="IL74" s="514"/>
      <c r="JA74" s="501"/>
    </row>
    <row r="75" spans="1:261" ht="12" customHeight="1">
      <c r="A75" s="1664"/>
      <c r="B75" s="1664"/>
      <c r="C75" s="1673"/>
      <c r="D75" s="1673"/>
      <c r="E75" s="109" t="s">
        <v>2215</v>
      </c>
      <c r="F75" s="1"/>
      <c r="G75" s="87"/>
      <c r="H75" s="37" t="s">
        <v>1486</v>
      </c>
      <c r="I75" s="87"/>
      <c r="J75" s="791">
        <f>DS48</f>
        <v>0</v>
      </c>
      <c r="K75" s="791">
        <f>DT48</f>
        <v>0</v>
      </c>
      <c r="L75" s="791">
        <f>DU48</f>
        <v>0</v>
      </c>
      <c r="M75" s="791">
        <f>DV48</f>
        <v>0</v>
      </c>
      <c r="N75" s="791">
        <f>DW48</f>
        <v>0</v>
      </c>
      <c r="O75" s="791">
        <f t="shared" si="264"/>
        <v>0</v>
      </c>
      <c r="R75" s="453"/>
      <c r="S75" s="453"/>
      <c r="T75" s="453"/>
      <c r="U75" s="3018"/>
      <c r="V75" s="3019"/>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4"/>
      <c r="B76" s="1664"/>
      <c r="C76" s="1673"/>
      <c r="D76" s="1673"/>
      <c r="E76" s="116"/>
      <c r="F76" s="1"/>
      <c r="G76" s="87"/>
      <c r="H76" s="37" t="s">
        <v>316</v>
      </c>
      <c r="I76" s="87"/>
      <c r="J76" s="793">
        <f>DX48</f>
        <v>0</v>
      </c>
      <c r="K76" s="793">
        <f>DY48</f>
        <v>0</v>
      </c>
      <c r="L76" s="793">
        <f>DZ48</f>
        <v>0</v>
      </c>
      <c r="M76" s="793">
        <f>EA48</f>
        <v>0</v>
      </c>
      <c r="N76" s="793">
        <f>EB48</f>
        <v>0</v>
      </c>
      <c r="O76" s="793">
        <f t="shared" si="264"/>
        <v>0</v>
      </c>
      <c r="R76" s="453"/>
      <c r="S76" s="453"/>
      <c r="T76" s="453"/>
      <c r="U76" s="3018"/>
      <c r="V76" s="3019"/>
      <c r="W76" s="527"/>
      <c r="X76" s="527"/>
      <c r="Y76" s="109"/>
      <c r="Z76" s="527"/>
      <c r="AA76" s="54"/>
      <c r="AB76" s="751"/>
      <c r="AC76" s="751"/>
      <c r="AD76" s="751"/>
      <c r="AE76" s="751"/>
      <c r="AF76" s="751"/>
      <c r="AG76" s="751"/>
      <c r="AH76" s="462"/>
      <c r="AI76" s="100"/>
      <c r="IL76" s="514"/>
      <c r="JA76" s="501"/>
    </row>
    <row r="77" spans="1:261" ht="12" customHeight="1">
      <c r="A77" s="1664"/>
      <c r="B77" s="1664"/>
      <c r="C77" s="1673"/>
      <c r="D77" s="1673"/>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18"/>
      <c r="V77" s="3019"/>
      <c r="W77" s="10"/>
      <c r="X77" s="527"/>
      <c r="Y77" s="109"/>
      <c r="Z77" s="527"/>
      <c r="AA77" s="37"/>
      <c r="AB77" s="751"/>
      <c r="AC77" s="751"/>
      <c r="AD77" s="751"/>
      <c r="AE77" s="751"/>
      <c r="AF77" s="751"/>
      <c r="AG77" s="751"/>
      <c r="AH77" s="54"/>
      <c r="AI77" s="100"/>
      <c r="IL77" s="514"/>
      <c r="JA77" s="501"/>
    </row>
    <row r="78" spans="1:261" ht="12" customHeight="1">
      <c r="A78" s="1664"/>
      <c r="B78" s="1664"/>
      <c r="C78" s="1306"/>
      <c r="D78" s="1"/>
      <c r="E78" s="1674" t="s">
        <v>1473</v>
      </c>
      <c r="F78" s="1674"/>
      <c r="G78" s="87"/>
      <c r="H78" s="37" t="s">
        <v>1486</v>
      </c>
      <c r="I78" s="87"/>
      <c r="J78" s="791">
        <f>EH48</f>
        <v>0</v>
      </c>
      <c r="K78" s="791">
        <f>EI48</f>
        <v>0</v>
      </c>
      <c r="L78" s="791">
        <f>EJ48</f>
        <v>0</v>
      </c>
      <c r="M78" s="791">
        <f>EK48</f>
        <v>0</v>
      </c>
      <c r="N78" s="791">
        <f>EL48</f>
        <v>0</v>
      </c>
      <c r="O78" s="791">
        <f t="shared" si="264"/>
        <v>0</v>
      </c>
      <c r="R78" s="453"/>
      <c r="S78" s="453"/>
      <c r="T78" s="453"/>
      <c r="U78" s="3018"/>
      <c r="V78" s="3019"/>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4"/>
      <c r="B79" s="1664"/>
      <c r="C79" s="1306"/>
      <c r="D79" s="1"/>
      <c r="E79" s="1674"/>
      <c r="F79" s="1674"/>
      <c r="G79" s="87"/>
      <c r="H79" s="37" t="s">
        <v>316</v>
      </c>
      <c r="I79" s="87"/>
      <c r="J79" s="793">
        <f>EM48</f>
        <v>0</v>
      </c>
      <c r="K79" s="793">
        <f>EN48</f>
        <v>0</v>
      </c>
      <c r="L79" s="793">
        <f>EO48</f>
        <v>0</v>
      </c>
      <c r="M79" s="793">
        <f>EP48</f>
        <v>0</v>
      </c>
      <c r="N79" s="793">
        <f>EQ48</f>
        <v>0</v>
      </c>
      <c r="O79" s="793">
        <f t="shared" si="264"/>
        <v>0</v>
      </c>
      <c r="R79" s="453"/>
      <c r="S79" s="453"/>
      <c r="T79" s="453"/>
      <c r="U79" s="3018"/>
      <c r="V79" s="3019"/>
      <c r="W79" s="527"/>
      <c r="X79" s="527"/>
      <c r="Y79" s="527"/>
      <c r="Z79" s="527"/>
      <c r="AA79" s="54"/>
      <c r="AB79" s="751"/>
      <c r="AC79" s="751"/>
      <c r="AD79" s="751"/>
      <c r="AE79" s="751"/>
      <c r="AF79" s="751"/>
      <c r="AG79" s="751"/>
      <c r="AH79" s="462"/>
      <c r="AI79" s="100"/>
      <c r="IL79" s="514"/>
      <c r="JA79" s="501"/>
    </row>
    <row r="80" spans="1:261" ht="12" customHeight="1">
      <c r="A80" s="1664"/>
      <c r="B80" s="1664"/>
      <c r="C80" s="1306"/>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3018"/>
      <c r="V80" s="3019"/>
      <c r="W80" s="10"/>
      <c r="X80" s="527"/>
      <c r="Y80" s="109"/>
      <c r="Z80" s="527"/>
      <c r="AA80" s="37"/>
      <c r="AB80" s="751"/>
      <c r="AC80" s="751"/>
      <c r="AD80" s="751"/>
      <c r="AE80" s="751"/>
      <c r="AF80" s="751"/>
      <c r="AG80" s="751"/>
      <c r="AH80" s="54"/>
      <c r="AI80" s="100"/>
      <c r="IL80" s="514"/>
      <c r="JA80" s="501"/>
    </row>
    <row r="81" spans="1:261" ht="12" customHeight="1">
      <c r="A81" s="1664"/>
      <c r="B81" s="1664"/>
      <c r="C81" s="1306"/>
      <c r="D81" s="1"/>
      <c r="E81" s="116" t="s">
        <v>379</v>
      </c>
      <c r="F81" s="1"/>
      <c r="G81" s="188"/>
      <c r="H81" s="87"/>
      <c r="I81" s="87"/>
      <c r="J81" s="3020"/>
      <c r="K81" s="3020"/>
      <c r="L81" s="3020"/>
      <c r="M81" s="3020"/>
      <c r="N81" s="3020"/>
      <c r="O81" s="791">
        <f t="shared" si="264"/>
        <v>0</v>
      </c>
      <c r="U81" s="3018"/>
      <c r="V81" s="3019"/>
      <c r="W81" s="527"/>
      <c r="X81" s="527"/>
      <c r="Y81" s="527"/>
      <c r="Z81" s="527"/>
      <c r="AA81" s="54"/>
      <c r="AB81" s="751"/>
      <c r="AC81" s="751"/>
      <c r="AD81" s="751"/>
      <c r="AE81" s="751"/>
      <c r="AF81" s="751"/>
      <c r="AG81" s="751"/>
      <c r="AH81" s="462"/>
      <c r="AI81" s="100"/>
      <c r="IL81" s="514"/>
      <c r="JA81" s="501"/>
    </row>
    <row r="82" spans="1:261" ht="12" customHeight="1">
      <c r="A82" s="1675" t="str">
        <f>IF(AND('Part IV-Uses of Funds'!$T$164="Yes",'Part IX A-Scoring Criteria'!$O$314&gt;0,O82&lt;1),"SHOW HISTORIC UNITS HERE &gt;&gt;&gt;&gt;","")</f>
        <v/>
      </c>
      <c r="B82" s="1675"/>
      <c r="C82" s="1675"/>
      <c r="D82" s="1675"/>
      <c r="E82" s="562" t="s">
        <v>3609</v>
      </c>
      <c r="F82" s="1"/>
      <c r="G82" s="188"/>
      <c r="H82" s="87"/>
      <c r="I82" s="87"/>
      <c r="J82" s="3021"/>
      <c r="K82" s="3021"/>
      <c r="L82" s="3021"/>
      <c r="M82" s="3021"/>
      <c r="N82" s="3021"/>
      <c r="O82" s="793">
        <f t="shared" si="264"/>
        <v>0</v>
      </c>
      <c r="U82" s="3018"/>
      <c r="V82" s="3019"/>
      <c r="W82" s="527"/>
      <c r="X82" s="527"/>
      <c r="Y82" s="527"/>
      <c r="Z82" s="527"/>
      <c r="AA82" s="54"/>
      <c r="AB82" s="751"/>
      <c r="AC82" s="751"/>
      <c r="AD82" s="751"/>
      <c r="AE82" s="751"/>
      <c r="AF82" s="751"/>
      <c r="AG82" s="751"/>
      <c r="AH82" s="462"/>
      <c r="AI82" s="100"/>
      <c r="IL82" s="514"/>
      <c r="JA82" s="501"/>
    </row>
    <row r="83" spans="1:261" ht="9" customHeight="1">
      <c r="A83" s="1414"/>
      <c r="B83" s="1414"/>
      <c r="C83" s="1414"/>
      <c r="D83" s="1414"/>
      <c r="E83" s="562"/>
      <c r="F83" s="1"/>
      <c r="G83" s="188"/>
      <c r="H83" s="87"/>
      <c r="I83" s="87"/>
      <c r="J83" s="37"/>
      <c r="K83" s="37"/>
      <c r="L83" s="37"/>
      <c r="M83" s="37"/>
      <c r="N83" s="37"/>
      <c r="O83" s="37"/>
      <c r="U83" s="3018"/>
      <c r="V83" s="3019"/>
      <c r="W83" s="527"/>
      <c r="X83" s="527"/>
      <c r="Y83" s="527"/>
      <c r="Z83" s="527"/>
      <c r="AA83" s="54"/>
      <c r="AB83" s="751"/>
      <c r="AC83" s="751"/>
      <c r="AD83" s="751"/>
      <c r="AE83" s="751"/>
      <c r="AF83" s="751"/>
      <c r="AG83" s="751"/>
      <c r="AH83" s="462"/>
      <c r="AI83" s="100"/>
      <c r="IL83" s="514"/>
      <c r="JA83" s="501"/>
    </row>
    <row r="84" spans="1:261" ht="12" customHeight="1">
      <c r="A84" s="1414"/>
      <c r="B84" s="1414"/>
      <c r="C84" s="1414"/>
      <c r="D84" s="1414"/>
      <c r="E84" s="116" t="s">
        <v>3544</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22"/>
      <c r="V84" s="3023"/>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3" t="s">
        <v>3838</v>
      </c>
      <c r="D86" s="1673"/>
      <c r="E86" s="109" t="s">
        <v>41</v>
      </c>
      <c r="F86" s="1"/>
      <c r="G86" s="188"/>
      <c r="H86" s="87"/>
      <c r="I86" s="87"/>
      <c r="J86" s="809">
        <f t="shared" ref="J86:O86" si="265">SUM(J87:J94)</f>
        <v>0</v>
      </c>
      <c r="K86" s="809">
        <f t="shared" si="265"/>
        <v>12</v>
      </c>
      <c r="L86" s="809">
        <f t="shared" si="265"/>
        <v>40</v>
      </c>
      <c r="M86" s="809">
        <f t="shared" si="265"/>
        <v>20</v>
      </c>
      <c r="N86" s="809">
        <f t="shared" si="265"/>
        <v>0</v>
      </c>
      <c r="O86" s="809">
        <f t="shared" si="265"/>
        <v>72</v>
      </c>
      <c r="R86" s="453"/>
      <c r="S86" s="453"/>
      <c r="T86" s="453"/>
      <c r="U86" s="3016"/>
      <c r="V86" s="3017"/>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3"/>
      <c r="D87" s="1673"/>
      <c r="E87" s="109"/>
      <c r="F87" s="1"/>
      <c r="G87" s="87"/>
      <c r="H87" s="41" t="s">
        <v>2692</v>
      </c>
      <c r="I87" s="87"/>
      <c r="J87" s="796">
        <f>GP48</f>
        <v>0</v>
      </c>
      <c r="K87" s="796">
        <f>GQ48</f>
        <v>0</v>
      </c>
      <c r="L87" s="796">
        <f>GR48</f>
        <v>0</v>
      </c>
      <c r="M87" s="796">
        <f>GS48</f>
        <v>0</v>
      </c>
      <c r="N87" s="796">
        <f>GT48</f>
        <v>0</v>
      </c>
      <c r="O87" s="796">
        <f t="shared" ref="O87:O102" si="266">SUM(J87:N87)</f>
        <v>0</v>
      </c>
      <c r="R87" s="453"/>
      <c r="S87" s="453"/>
      <c r="T87" s="453"/>
      <c r="U87" s="3018"/>
      <c r="V87" s="3019"/>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3"/>
      <c r="D88" s="1673"/>
      <c r="E88" s="109"/>
      <c r="F88" s="1"/>
      <c r="G88" s="87"/>
      <c r="H88" s="1204" t="s">
        <v>3544</v>
      </c>
      <c r="I88" s="87"/>
      <c r="J88" s="796">
        <f>GU48</f>
        <v>0</v>
      </c>
      <c r="K88" s="796">
        <f>GV48</f>
        <v>0</v>
      </c>
      <c r="L88" s="796">
        <f>GW48</f>
        <v>0</v>
      </c>
      <c r="M88" s="796">
        <f>GX48</f>
        <v>0</v>
      </c>
      <c r="N88" s="796">
        <f>GY48</f>
        <v>0</v>
      </c>
      <c r="O88" s="792">
        <f t="shared" si="266"/>
        <v>0</v>
      </c>
      <c r="R88" s="453"/>
      <c r="S88" s="453"/>
      <c r="T88" s="453"/>
      <c r="U88" s="3018"/>
      <c r="V88" s="3019"/>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3"/>
      <c r="D89" s="1673"/>
      <c r="E89" s="109"/>
      <c r="F89" s="1"/>
      <c r="G89" s="87"/>
      <c r="H89" s="41" t="s">
        <v>2693</v>
      </c>
      <c r="I89" s="87"/>
      <c r="J89" s="796">
        <f>GZ48</f>
        <v>0</v>
      </c>
      <c r="K89" s="796">
        <f>HA48</f>
        <v>0</v>
      </c>
      <c r="L89" s="796">
        <f>HB48</f>
        <v>0</v>
      </c>
      <c r="M89" s="796">
        <f>HC48</f>
        <v>0</v>
      </c>
      <c r="N89" s="796">
        <f>HD48</f>
        <v>0</v>
      </c>
      <c r="O89" s="792">
        <f t="shared" si="266"/>
        <v>0</v>
      </c>
      <c r="R89" s="453"/>
      <c r="S89" s="453"/>
      <c r="T89" s="453"/>
      <c r="U89" s="3018"/>
      <c r="V89" s="3019"/>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3"/>
      <c r="D90" s="1673"/>
      <c r="E90" s="109"/>
      <c r="F90" s="1"/>
      <c r="G90" s="87"/>
      <c r="H90" s="1204" t="s">
        <v>3544</v>
      </c>
      <c r="I90" s="87"/>
      <c r="J90" s="796">
        <f>HE48</f>
        <v>0</v>
      </c>
      <c r="K90" s="796">
        <f>HF48</f>
        <v>0</v>
      </c>
      <c r="L90" s="796">
        <f>HG48</f>
        <v>0</v>
      </c>
      <c r="M90" s="796">
        <f>HH48</f>
        <v>0</v>
      </c>
      <c r="N90" s="796">
        <f>HI48</f>
        <v>0</v>
      </c>
      <c r="O90" s="792">
        <f t="shared" si="266"/>
        <v>0</v>
      </c>
      <c r="R90" s="453"/>
      <c r="S90" s="453"/>
      <c r="T90" s="453"/>
      <c r="U90" s="3018"/>
      <c r="V90" s="3019"/>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3"/>
      <c r="D91" s="1673"/>
      <c r="E91" s="109"/>
      <c r="F91" s="1"/>
      <c r="G91" s="87"/>
      <c r="H91" s="41" t="s">
        <v>2695</v>
      </c>
      <c r="I91" s="87"/>
      <c r="J91" s="796">
        <f>HJ48</f>
        <v>0</v>
      </c>
      <c r="K91" s="796">
        <f>HK48</f>
        <v>12</v>
      </c>
      <c r="L91" s="796">
        <f>HL48</f>
        <v>40</v>
      </c>
      <c r="M91" s="796">
        <f>HM48</f>
        <v>20</v>
      </c>
      <c r="N91" s="796">
        <f>HN48</f>
        <v>0</v>
      </c>
      <c r="O91" s="792">
        <f t="shared" si="266"/>
        <v>72</v>
      </c>
      <c r="R91" s="453"/>
      <c r="S91" s="453"/>
      <c r="T91" s="453"/>
      <c r="U91" s="3018"/>
      <c r="V91" s="3019"/>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3"/>
      <c r="D92" s="1673"/>
      <c r="E92" s="109"/>
      <c r="F92" s="1"/>
      <c r="G92" s="87"/>
      <c r="H92" s="1204" t="s">
        <v>3544</v>
      </c>
      <c r="I92" s="87"/>
      <c r="J92" s="796">
        <f>HO48</f>
        <v>0</v>
      </c>
      <c r="K92" s="796">
        <f>HP48</f>
        <v>0</v>
      </c>
      <c r="L92" s="796">
        <f>HQ48</f>
        <v>0</v>
      </c>
      <c r="M92" s="796">
        <f>HR48</f>
        <v>0</v>
      </c>
      <c r="N92" s="796">
        <f>HS48</f>
        <v>0</v>
      </c>
      <c r="O92" s="792">
        <f t="shared" si="266"/>
        <v>0</v>
      </c>
      <c r="R92" s="453"/>
      <c r="S92" s="453"/>
      <c r="T92" s="453"/>
      <c r="U92" s="3018"/>
      <c r="V92" s="3019"/>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796">
        <f>HT48</f>
        <v>0</v>
      </c>
      <c r="K93" s="796">
        <f>HU48</f>
        <v>0</v>
      </c>
      <c r="L93" s="796">
        <f>HV48</f>
        <v>0</v>
      </c>
      <c r="M93" s="796">
        <f>HW48</f>
        <v>0</v>
      </c>
      <c r="N93" s="796">
        <f>HX48</f>
        <v>0</v>
      </c>
      <c r="O93" s="792">
        <f t="shared" si="266"/>
        <v>0</v>
      </c>
      <c r="R93" s="453"/>
      <c r="S93" s="453"/>
      <c r="T93" s="453"/>
      <c r="U93" s="3018"/>
      <c r="V93" s="3019"/>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4" t="s">
        <v>3544</v>
      </c>
      <c r="I94" s="87"/>
      <c r="J94" s="796">
        <f>HY48</f>
        <v>0</v>
      </c>
      <c r="K94" s="796">
        <f>HZ48</f>
        <v>0</v>
      </c>
      <c r="L94" s="796">
        <f>IA48</f>
        <v>0</v>
      </c>
      <c r="M94" s="796">
        <f>IB48</f>
        <v>0</v>
      </c>
      <c r="N94" s="796">
        <f>IC48</f>
        <v>0</v>
      </c>
      <c r="O94" s="792">
        <f t="shared" si="266"/>
        <v>0</v>
      </c>
      <c r="R94" s="453"/>
      <c r="S94" s="453"/>
      <c r="T94" s="453"/>
      <c r="U94" s="3018"/>
      <c r="V94" s="3019"/>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18"/>
      <c r="V95" s="3019"/>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4" t="s">
        <v>3544</v>
      </c>
      <c r="I96" s="87"/>
      <c r="J96" s="792">
        <f>FG48</f>
        <v>0</v>
      </c>
      <c r="K96" s="792">
        <f>FH48</f>
        <v>0</v>
      </c>
      <c r="L96" s="792">
        <f>FI48</f>
        <v>0</v>
      </c>
      <c r="M96" s="792">
        <f>FJ48</f>
        <v>0</v>
      </c>
      <c r="N96" s="792">
        <f>FK48</f>
        <v>0</v>
      </c>
      <c r="O96" s="792">
        <f t="shared" si="266"/>
        <v>0</v>
      </c>
      <c r="R96" s="453"/>
      <c r="S96" s="453"/>
      <c r="T96" s="453"/>
      <c r="U96" s="3018"/>
      <c r="V96" s="3019"/>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3018"/>
      <c r="V97" s="3019"/>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4" t="s">
        <v>3544</v>
      </c>
      <c r="I98" s="87"/>
      <c r="J98" s="792">
        <f>GK48</f>
        <v>0</v>
      </c>
      <c r="K98" s="792">
        <f>GL48</f>
        <v>0</v>
      </c>
      <c r="L98" s="792">
        <f>GM48</f>
        <v>0</v>
      </c>
      <c r="M98" s="792">
        <f>GN48</f>
        <v>0</v>
      </c>
      <c r="N98" s="792">
        <f>GO48</f>
        <v>0</v>
      </c>
      <c r="O98" s="792">
        <f t="shared" si="266"/>
        <v>0</v>
      </c>
      <c r="R98" s="453"/>
      <c r="S98" s="453"/>
      <c r="T98" s="453"/>
      <c r="U98" s="3018"/>
      <c r="V98" s="3019"/>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3018"/>
      <c r="V99" s="3019"/>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4" t="s">
        <v>3544</v>
      </c>
      <c r="I100" s="87"/>
      <c r="J100" s="797">
        <f>GA48</f>
        <v>0</v>
      </c>
      <c r="K100" s="797">
        <f>GB48</f>
        <v>0</v>
      </c>
      <c r="L100" s="797">
        <f>GC48</f>
        <v>0</v>
      </c>
      <c r="M100" s="797">
        <f>GD48</f>
        <v>0</v>
      </c>
      <c r="N100" s="797">
        <f>GE48</f>
        <v>0</v>
      </c>
      <c r="O100" s="792">
        <f t="shared" si="266"/>
        <v>0</v>
      </c>
      <c r="R100" s="453"/>
      <c r="S100" s="453"/>
      <c r="T100" s="453"/>
      <c r="U100" s="3018"/>
      <c r="V100" s="3019"/>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3018"/>
      <c r="V101" s="3019"/>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4" t="s">
        <v>3544</v>
      </c>
      <c r="I102" s="87"/>
      <c r="J102" s="793">
        <f>FQ48</f>
        <v>0</v>
      </c>
      <c r="K102" s="793">
        <f>FR48</f>
        <v>0</v>
      </c>
      <c r="L102" s="793">
        <f>FS48</f>
        <v>0</v>
      </c>
      <c r="M102" s="793">
        <f>FT48</f>
        <v>0</v>
      </c>
      <c r="N102" s="793">
        <f>FU48</f>
        <v>0</v>
      </c>
      <c r="O102" s="793">
        <f t="shared" si="266"/>
        <v>0</v>
      </c>
      <c r="R102" s="453"/>
      <c r="S102" s="453"/>
      <c r="T102" s="453"/>
      <c r="U102" s="3022"/>
      <c r="V102" s="3023"/>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7"/>
      <c r="I103" s="87"/>
      <c r="J103" s="798"/>
      <c r="K103" s="798"/>
      <c r="L103" s="798"/>
      <c r="M103" s="798"/>
      <c r="N103" s="798"/>
      <c r="O103" s="798"/>
      <c r="U103" s="344" t="str">
        <f>C104</f>
        <v>Building Type:
(for Cost Limit purposes)</v>
      </c>
    </row>
    <row r="104" spans="1:261" ht="12" customHeight="1">
      <c r="C104" s="1673" t="s">
        <v>4103</v>
      </c>
      <c r="D104" s="1673"/>
      <c r="E104" s="116" t="s">
        <v>3539</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3016"/>
      <c r="V104" s="3017"/>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3"/>
      <c r="D105" s="1673"/>
      <c r="E105" s="116"/>
      <c r="F105" s="188"/>
      <c r="G105" s="87"/>
      <c r="H105" s="1204" t="s">
        <v>3544</v>
      </c>
      <c r="I105" s="87"/>
      <c r="J105" s="800">
        <f t="shared" si="267"/>
        <v>0</v>
      </c>
      <c r="K105" s="801">
        <f t="shared" si="267"/>
        <v>0</v>
      </c>
      <c r="L105" s="801">
        <f t="shared" si="267"/>
        <v>0</v>
      </c>
      <c r="M105" s="801">
        <f t="shared" si="267"/>
        <v>0</v>
      </c>
      <c r="N105" s="801">
        <f t="shared" si="267"/>
        <v>0</v>
      </c>
      <c r="O105" s="801">
        <f t="shared" si="268"/>
        <v>0</v>
      </c>
      <c r="R105" s="453"/>
      <c r="S105" s="453"/>
      <c r="T105" s="453"/>
      <c r="U105" s="3018"/>
      <c r="V105" s="3019"/>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3"/>
      <c r="D106" s="1673"/>
      <c r="E106" s="116" t="s">
        <v>3540</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3018"/>
      <c r="V106" s="3019"/>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3"/>
      <c r="D107" s="1673"/>
      <c r="E107" s="116"/>
      <c r="F107" s="188"/>
      <c r="G107" s="87"/>
      <c r="H107" s="1204" t="s">
        <v>3544</v>
      </c>
      <c r="I107" s="87"/>
      <c r="J107" s="801">
        <f>J88+J98</f>
        <v>0</v>
      </c>
      <c r="K107" s="801">
        <f t="shared" si="269"/>
        <v>0</v>
      </c>
      <c r="L107" s="801">
        <f t="shared" si="269"/>
        <v>0</v>
      </c>
      <c r="M107" s="801">
        <f t="shared" si="269"/>
        <v>0</v>
      </c>
      <c r="N107" s="801">
        <f t="shared" si="269"/>
        <v>0</v>
      </c>
      <c r="O107" s="801">
        <f t="shared" si="268"/>
        <v>0</v>
      </c>
      <c r="R107" s="453"/>
      <c r="S107" s="453"/>
      <c r="T107" s="453"/>
      <c r="U107" s="3018"/>
      <c r="V107" s="3019"/>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3"/>
      <c r="D108" s="1673"/>
      <c r="E108" s="116" t="s">
        <v>3541</v>
      </c>
      <c r="F108" s="188"/>
      <c r="G108" s="87"/>
      <c r="H108" s="41"/>
      <c r="I108" s="87"/>
      <c r="J108" s="801">
        <f>J91</f>
        <v>0</v>
      </c>
      <c r="K108" s="801">
        <f t="shared" ref="K108:N109" si="270">K91</f>
        <v>12</v>
      </c>
      <c r="L108" s="801">
        <f t="shared" si="270"/>
        <v>40</v>
      </c>
      <c r="M108" s="801">
        <f t="shared" si="270"/>
        <v>20</v>
      </c>
      <c r="N108" s="801">
        <f t="shared" si="270"/>
        <v>0</v>
      </c>
      <c r="O108" s="801">
        <f t="shared" si="268"/>
        <v>72</v>
      </c>
      <c r="R108" s="453"/>
      <c r="S108" s="453"/>
      <c r="T108" s="453"/>
      <c r="U108" s="3018"/>
      <c r="V108" s="3019"/>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3"/>
      <c r="D109" s="1673"/>
      <c r="E109" s="116"/>
      <c r="F109" s="188"/>
      <c r="G109" s="87"/>
      <c r="H109" s="1204" t="s">
        <v>3544</v>
      </c>
      <c r="I109" s="87"/>
      <c r="J109" s="801">
        <f>J92</f>
        <v>0</v>
      </c>
      <c r="K109" s="801">
        <f t="shared" si="270"/>
        <v>0</v>
      </c>
      <c r="L109" s="801">
        <f t="shared" si="270"/>
        <v>0</v>
      </c>
      <c r="M109" s="801">
        <f t="shared" si="270"/>
        <v>0</v>
      </c>
      <c r="N109" s="801">
        <f t="shared" si="270"/>
        <v>0</v>
      </c>
      <c r="O109" s="801">
        <f t="shared" si="268"/>
        <v>0</v>
      </c>
      <c r="R109" s="453"/>
      <c r="S109" s="453"/>
      <c r="T109" s="453"/>
      <c r="U109" s="3018"/>
      <c r="V109" s="3019"/>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3"/>
      <c r="D110" s="1673"/>
      <c r="E110" s="116" t="s">
        <v>3542</v>
      </c>
      <c r="F110" s="188"/>
      <c r="G110" s="87"/>
      <c r="H110" s="41"/>
      <c r="I110" s="87"/>
      <c r="J110" s="801">
        <f>J89+J93</f>
        <v>0</v>
      </c>
      <c r="K110" s="801">
        <f t="shared" ref="K110:N111" si="271">K89+K93</f>
        <v>0</v>
      </c>
      <c r="L110" s="801">
        <f t="shared" si="271"/>
        <v>0</v>
      </c>
      <c r="M110" s="801">
        <f t="shared" si="271"/>
        <v>0</v>
      </c>
      <c r="N110" s="801">
        <f t="shared" si="271"/>
        <v>0</v>
      </c>
      <c r="O110" s="801">
        <f t="shared" si="268"/>
        <v>0</v>
      </c>
      <c r="R110" s="453"/>
      <c r="S110" s="453"/>
      <c r="T110" s="453"/>
      <c r="U110" s="3018"/>
      <c r="V110" s="3019"/>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4" t="s">
        <v>3544</v>
      </c>
      <c r="I111" s="87"/>
      <c r="J111" s="802">
        <f>J90+J94</f>
        <v>0</v>
      </c>
      <c r="K111" s="802">
        <f t="shared" si="271"/>
        <v>0</v>
      </c>
      <c r="L111" s="802">
        <f t="shared" si="271"/>
        <v>0</v>
      </c>
      <c r="M111" s="802">
        <f t="shared" si="271"/>
        <v>0</v>
      </c>
      <c r="N111" s="802">
        <f t="shared" si="271"/>
        <v>0</v>
      </c>
      <c r="O111" s="802">
        <f t="shared" si="268"/>
        <v>0</v>
      </c>
      <c r="R111" s="453"/>
      <c r="S111" s="453"/>
      <c r="T111" s="453"/>
      <c r="U111" s="3022"/>
      <c r="V111" s="3023"/>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04">
        <f>BZ48</f>
        <v>0</v>
      </c>
      <c r="K113" s="804">
        <f>CA48</f>
        <v>2490</v>
      </c>
      <c r="L113" s="804">
        <f>CB48</f>
        <v>34656</v>
      </c>
      <c r="M113" s="804">
        <f>CC48</f>
        <v>20816</v>
      </c>
      <c r="N113" s="804">
        <f>CD48</f>
        <v>0</v>
      </c>
      <c r="O113" s="804">
        <f t="shared" ref="O113:O119" si="272">SUM(J113:N113)</f>
        <v>57962</v>
      </c>
      <c r="R113" s="453"/>
      <c r="S113" s="453"/>
      <c r="T113" s="453"/>
      <c r="U113" s="2916"/>
      <c r="V113" s="2917"/>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7470</v>
      </c>
      <c r="L114" s="805">
        <f>CG48</f>
        <v>8664</v>
      </c>
      <c r="M114" s="805">
        <f>CH48</f>
        <v>5204</v>
      </c>
      <c r="N114" s="805">
        <f>CI48</f>
        <v>0</v>
      </c>
      <c r="O114" s="805">
        <f t="shared" si="272"/>
        <v>21338</v>
      </c>
      <c r="R114" s="453"/>
      <c r="S114" s="453"/>
      <c r="T114" s="453"/>
      <c r="U114" s="2918"/>
      <c r="V114" s="2919"/>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9960</v>
      </c>
      <c r="L115" s="804">
        <f>SUM(L113:L114)</f>
        <v>43320</v>
      </c>
      <c r="M115" s="804">
        <f>SUM(M113:M114)</f>
        <v>26020</v>
      </c>
      <c r="N115" s="804">
        <f>SUM(N113:N114)</f>
        <v>0</v>
      </c>
      <c r="O115" s="804">
        <f t="shared" si="272"/>
        <v>79300</v>
      </c>
      <c r="R115" s="453"/>
      <c r="S115" s="453"/>
      <c r="T115" s="453"/>
      <c r="U115" s="2918"/>
      <c r="V115" s="2919"/>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0</v>
      </c>
      <c r="L116" s="806">
        <f>CQ48</f>
        <v>0</v>
      </c>
      <c r="M116" s="806">
        <f>CR48</f>
        <v>0</v>
      </c>
      <c r="N116" s="806">
        <f>CS48</f>
        <v>0</v>
      </c>
      <c r="O116" s="806">
        <f t="shared" si="272"/>
        <v>0</v>
      </c>
      <c r="R116" s="453"/>
      <c r="S116" s="453"/>
      <c r="T116" s="453"/>
      <c r="U116" s="2918"/>
      <c r="V116" s="2919"/>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9960</v>
      </c>
      <c r="L117" s="804">
        <f>SUM(L115:L116)</f>
        <v>43320</v>
      </c>
      <c r="M117" s="804">
        <f>SUM(M115:M116)</f>
        <v>26020</v>
      </c>
      <c r="N117" s="804">
        <f>SUM(N115:N116)</f>
        <v>0</v>
      </c>
      <c r="O117" s="804">
        <f t="shared" si="272"/>
        <v>79300</v>
      </c>
      <c r="R117" s="453"/>
      <c r="S117" s="453"/>
      <c r="T117" s="453"/>
      <c r="U117" s="2918"/>
      <c r="V117" s="2919"/>
      <c r="W117" s="527"/>
      <c r="X117" s="527"/>
      <c r="Y117" s="527"/>
      <c r="Z117" s="527"/>
      <c r="AA117" s="527"/>
      <c r="AB117" s="751"/>
      <c r="AC117" s="751"/>
      <c r="AD117" s="751"/>
      <c r="AE117" s="751"/>
      <c r="AF117" s="751"/>
      <c r="AG117" s="751"/>
      <c r="AH117" s="525"/>
      <c r="AI117" s="100"/>
      <c r="IL117" s="514"/>
      <c r="JA117" s="501"/>
    </row>
    <row r="118" spans="1:263" ht="12" customHeight="1">
      <c r="C118" s="5" t="s">
        <v>2598</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18"/>
      <c r="V118" s="2919"/>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9960</v>
      </c>
      <c r="L119" s="807">
        <f>SUM(L117:L118)</f>
        <v>43320</v>
      </c>
      <c r="M119" s="807">
        <f>SUM(M117:M118)</f>
        <v>26020</v>
      </c>
      <c r="N119" s="807">
        <f>SUM(N117:N118)</f>
        <v>0</v>
      </c>
      <c r="O119" s="807">
        <f t="shared" si="272"/>
        <v>79300</v>
      </c>
      <c r="R119" s="453"/>
      <c r="S119" s="453"/>
      <c r="T119" s="453"/>
      <c r="U119" s="2921"/>
      <c r="V119" s="2922"/>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11" t="s">
        <v>1053</v>
      </c>
      <c r="C122" s="95"/>
      <c r="D122" s="116"/>
      <c r="E122" s="95"/>
      <c r="F122" s="95"/>
      <c r="G122" s="95"/>
      <c r="H122" s="3024">
        <f>'Part VII-Pro Forma'!B9*L49</f>
        <v>9336.9600000000009</v>
      </c>
      <c r="I122" s="3025"/>
      <c r="J122" s="95"/>
      <c r="K122" s="558" t="s">
        <v>2856</v>
      </c>
      <c r="L122" s="95"/>
      <c r="M122" s="95"/>
      <c r="N122" s="95"/>
      <c r="O122" s="1312">
        <f>H122/L49</f>
        <v>0.02</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1501</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2366</v>
      </c>
      <c r="C125" s="95"/>
      <c r="D125" s="95"/>
      <c r="E125" s="95"/>
      <c r="F125" s="95"/>
      <c r="G125" s="1316">
        <v>1</v>
      </c>
      <c r="H125" s="1316">
        <v>2</v>
      </c>
      <c r="I125" s="1316">
        <v>3</v>
      </c>
      <c r="J125" s="1316">
        <v>4</v>
      </c>
      <c r="K125" s="1317">
        <v>5</v>
      </c>
      <c r="L125" s="1316">
        <v>6</v>
      </c>
      <c r="M125" s="1316">
        <v>7</v>
      </c>
      <c r="N125" s="1316">
        <v>8</v>
      </c>
      <c r="O125" s="1316">
        <v>9</v>
      </c>
      <c r="P125" s="1316">
        <v>10</v>
      </c>
      <c r="Q125" s="847"/>
      <c r="U125" s="100" t="str">
        <f>B125</f>
        <v>Included in Mgt Fee:</v>
      </c>
    </row>
    <row r="126" spans="1:263" ht="11.25" customHeight="1">
      <c r="B126" s="116" t="s">
        <v>1054</v>
      </c>
      <c r="C126" s="116"/>
      <c r="D126" s="116"/>
      <c r="E126" s="116"/>
      <c r="F126" s="116"/>
      <c r="G126" s="3026"/>
      <c r="H126" s="3026"/>
      <c r="I126" s="3026"/>
      <c r="J126" s="3026"/>
      <c r="K126" s="3027"/>
      <c r="L126" s="3026"/>
      <c r="M126" s="3026"/>
      <c r="N126" s="3026"/>
      <c r="O126" s="3026"/>
      <c r="P126" s="3026"/>
      <c r="Q126" s="1162"/>
      <c r="U126" s="2916"/>
      <c r="V126" s="2917"/>
    </row>
    <row r="127" spans="1:263" ht="11.25" customHeight="1">
      <c r="B127" s="116" t="s">
        <v>771</v>
      </c>
      <c r="C127" s="3028"/>
      <c r="D127" s="3029"/>
      <c r="E127" s="3029"/>
      <c r="F127" s="3030"/>
      <c r="G127" s="3031"/>
      <c r="H127" s="3031"/>
      <c r="I127" s="3031"/>
      <c r="J127" s="3031"/>
      <c r="K127" s="3032"/>
      <c r="L127" s="3031"/>
      <c r="M127" s="3031"/>
      <c r="N127" s="3031"/>
      <c r="O127" s="3031"/>
      <c r="P127" s="3031"/>
      <c r="Q127" s="1162"/>
      <c r="U127" s="2918"/>
      <c r="V127" s="2919"/>
    </row>
    <row r="128" spans="1:263" ht="11.25" customHeight="1">
      <c r="B128" s="116"/>
      <c r="C128" s="116" t="s">
        <v>961</v>
      </c>
      <c r="D128" s="116"/>
      <c r="E128" s="116"/>
      <c r="F128" s="116"/>
      <c r="G128" s="1318">
        <f t="shared" ref="G128:P128" si="273">SUM(G126:G127)</f>
        <v>0</v>
      </c>
      <c r="H128" s="1318">
        <f t="shared" si="273"/>
        <v>0</v>
      </c>
      <c r="I128" s="1318">
        <f t="shared" si="273"/>
        <v>0</v>
      </c>
      <c r="J128" s="1318">
        <f t="shared" si="273"/>
        <v>0</v>
      </c>
      <c r="K128" s="1318">
        <f t="shared" si="273"/>
        <v>0</v>
      </c>
      <c r="L128" s="1318">
        <f t="shared" si="273"/>
        <v>0</v>
      </c>
      <c r="M128" s="1318">
        <f t="shared" si="273"/>
        <v>0</v>
      </c>
      <c r="N128" s="1318">
        <f t="shared" si="273"/>
        <v>0</v>
      </c>
      <c r="O128" s="1318">
        <f t="shared" si="273"/>
        <v>0</v>
      </c>
      <c r="P128" s="1318">
        <f t="shared" si="273"/>
        <v>0</v>
      </c>
      <c r="Q128" s="128"/>
      <c r="U128" s="2921"/>
      <c r="V128" s="2922"/>
    </row>
    <row r="129" spans="2:22" ht="11.25" customHeight="1">
      <c r="B129" s="1319" t="s">
        <v>4108</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26"/>
      <c r="H130" s="3026"/>
      <c r="I130" s="3026"/>
      <c r="J130" s="3026"/>
      <c r="K130" s="3027"/>
      <c r="L130" s="3026"/>
      <c r="M130" s="3026"/>
      <c r="N130" s="3026"/>
      <c r="O130" s="3026"/>
      <c r="P130" s="3026"/>
      <c r="Q130" s="1162"/>
      <c r="U130" s="2916"/>
      <c r="V130" s="2917"/>
    </row>
    <row r="131" spans="2:22" ht="11.25" customHeight="1">
      <c r="B131" s="116" t="s">
        <v>771</v>
      </c>
      <c r="C131" s="3028"/>
      <c r="D131" s="3029"/>
      <c r="E131" s="3029"/>
      <c r="F131" s="3030"/>
      <c r="G131" s="3031"/>
      <c r="H131" s="3031"/>
      <c r="I131" s="3031"/>
      <c r="J131" s="3031"/>
      <c r="K131" s="3032"/>
      <c r="L131" s="3031"/>
      <c r="M131" s="3031"/>
      <c r="N131" s="3031"/>
      <c r="O131" s="3031"/>
      <c r="P131" s="3031"/>
      <c r="Q131" s="1162"/>
      <c r="U131" s="2918"/>
      <c r="V131" s="2919"/>
    </row>
    <row r="132" spans="2:22" ht="11.25" customHeight="1">
      <c r="B132" s="116"/>
      <c r="C132" s="116" t="s">
        <v>198</v>
      </c>
      <c r="D132" s="116"/>
      <c r="E132" s="116"/>
      <c r="F132" s="116"/>
      <c r="G132" s="1318">
        <f t="shared" ref="G132:P132" si="274">SUM(G130:G131)</f>
        <v>0</v>
      </c>
      <c r="H132" s="1318">
        <f t="shared" si="274"/>
        <v>0</v>
      </c>
      <c r="I132" s="1318">
        <f t="shared" si="274"/>
        <v>0</v>
      </c>
      <c r="J132" s="1318">
        <f t="shared" si="274"/>
        <v>0</v>
      </c>
      <c r="K132" s="1318">
        <f t="shared" si="274"/>
        <v>0</v>
      </c>
      <c r="L132" s="1318">
        <f t="shared" si="274"/>
        <v>0</v>
      </c>
      <c r="M132" s="1318">
        <f t="shared" si="274"/>
        <v>0</v>
      </c>
      <c r="N132" s="1318">
        <f t="shared" si="274"/>
        <v>0</v>
      </c>
      <c r="O132" s="1318">
        <f t="shared" si="274"/>
        <v>0</v>
      </c>
      <c r="P132" s="1318">
        <f t="shared" si="274"/>
        <v>0</v>
      </c>
      <c r="Q132" s="128"/>
      <c r="U132" s="2921"/>
      <c r="V132" s="2922"/>
    </row>
    <row r="133" spans="2:22" ht="3" customHeight="1">
      <c r="B133" s="1311"/>
      <c r="C133" s="95"/>
      <c r="D133" s="95"/>
      <c r="E133" s="95"/>
      <c r="F133" s="95"/>
      <c r="G133" s="1320"/>
      <c r="H133" s="95"/>
      <c r="I133" s="95"/>
      <c r="J133" s="95"/>
      <c r="K133" s="95"/>
      <c r="L133" s="95"/>
      <c r="M133" s="95"/>
      <c r="N133" s="95"/>
      <c r="O133" s="95"/>
      <c r="P133" s="95"/>
      <c r="Q133" s="8"/>
      <c r="U133" s="180" t="s">
        <v>2710</v>
      </c>
    </row>
    <row r="134" spans="2:22" ht="11.25" customHeight="1">
      <c r="B134" s="1315" t="s">
        <v>2366</v>
      </c>
      <c r="C134" s="95"/>
      <c r="D134" s="95"/>
      <c r="E134" s="95"/>
      <c r="F134" s="95"/>
      <c r="G134" s="1316">
        <v>11</v>
      </c>
      <c r="H134" s="1316">
        <v>12</v>
      </c>
      <c r="I134" s="1316">
        <v>13</v>
      </c>
      <c r="J134" s="1316">
        <v>14</v>
      </c>
      <c r="K134" s="1316">
        <v>15</v>
      </c>
      <c r="L134" s="1316">
        <v>16</v>
      </c>
      <c r="M134" s="1316">
        <v>17</v>
      </c>
      <c r="N134" s="1316">
        <v>18</v>
      </c>
      <c r="O134" s="1316">
        <v>19</v>
      </c>
      <c r="P134" s="1316">
        <v>20</v>
      </c>
      <c r="Q134" s="847"/>
      <c r="U134" s="100" t="str">
        <f>B134</f>
        <v>Included in Mgt Fee:</v>
      </c>
    </row>
    <row r="135" spans="2:22" ht="11.25" customHeight="1">
      <c r="B135" s="116" t="s">
        <v>1054</v>
      </c>
      <c r="C135" s="116"/>
      <c r="D135" s="116"/>
      <c r="E135" s="116"/>
      <c r="F135" s="116"/>
      <c r="G135" s="3026"/>
      <c r="H135" s="3026"/>
      <c r="I135" s="3026"/>
      <c r="J135" s="3026"/>
      <c r="K135" s="3027"/>
      <c r="L135" s="3026"/>
      <c r="M135" s="3026"/>
      <c r="N135" s="3026"/>
      <c r="O135" s="3026"/>
      <c r="P135" s="3026"/>
      <c r="Q135" s="1162"/>
      <c r="U135" s="2916"/>
      <c r="V135" s="2917"/>
    </row>
    <row r="136" spans="2:22" ht="11.25" customHeight="1">
      <c r="B136" s="116" t="s">
        <v>771</v>
      </c>
      <c r="C136" s="3028"/>
      <c r="D136" s="3029"/>
      <c r="E136" s="3029"/>
      <c r="F136" s="3030"/>
      <c r="G136" s="3031"/>
      <c r="H136" s="3031"/>
      <c r="I136" s="3031"/>
      <c r="J136" s="3031"/>
      <c r="K136" s="3032"/>
      <c r="L136" s="3031"/>
      <c r="M136" s="3031"/>
      <c r="N136" s="3031"/>
      <c r="O136" s="3031"/>
      <c r="P136" s="3031"/>
      <c r="Q136" s="1162"/>
      <c r="U136" s="2918"/>
      <c r="V136" s="2919"/>
    </row>
    <row r="137" spans="2:22" ht="11.25" customHeight="1">
      <c r="B137" s="116"/>
      <c r="C137" s="116" t="s">
        <v>961</v>
      </c>
      <c r="D137" s="116"/>
      <c r="E137" s="116"/>
      <c r="F137" s="116"/>
      <c r="G137" s="1318">
        <f t="shared" ref="G137:P137" si="275">SUM(G135:G136)</f>
        <v>0</v>
      </c>
      <c r="H137" s="1318">
        <f t="shared" si="275"/>
        <v>0</v>
      </c>
      <c r="I137" s="1318">
        <f t="shared" si="275"/>
        <v>0</v>
      </c>
      <c r="J137" s="1318">
        <f t="shared" si="275"/>
        <v>0</v>
      </c>
      <c r="K137" s="1318">
        <f t="shared" si="275"/>
        <v>0</v>
      </c>
      <c r="L137" s="1318">
        <f t="shared" si="275"/>
        <v>0</v>
      </c>
      <c r="M137" s="1318">
        <f t="shared" si="275"/>
        <v>0</v>
      </c>
      <c r="N137" s="1318">
        <f t="shared" si="275"/>
        <v>0</v>
      </c>
      <c r="O137" s="1318">
        <f t="shared" si="275"/>
        <v>0</v>
      </c>
      <c r="P137" s="1318">
        <f t="shared" si="275"/>
        <v>0</v>
      </c>
      <c r="Q137" s="128"/>
      <c r="U137" s="2921"/>
      <c r="V137" s="2922"/>
    </row>
    <row r="138" spans="2:22" ht="11.25" customHeight="1">
      <c r="B138" s="1319" t="s">
        <v>4108</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26"/>
      <c r="H139" s="3026"/>
      <c r="I139" s="3026"/>
      <c r="J139" s="3026"/>
      <c r="K139" s="3027"/>
      <c r="L139" s="3026"/>
      <c r="M139" s="3026"/>
      <c r="N139" s="3026"/>
      <c r="O139" s="3026"/>
      <c r="P139" s="3026"/>
      <c r="Q139" s="1162"/>
      <c r="U139" s="2916"/>
      <c r="V139" s="2917"/>
    </row>
    <row r="140" spans="2:22" ht="11.25" customHeight="1">
      <c r="B140" s="116" t="s">
        <v>771</v>
      </c>
      <c r="C140" s="3028"/>
      <c r="D140" s="3029"/>
      <c r="E140" s="3029"/>
      <c r="F140" s="3030"/>
      <c r="G140" s="3031"/>
      <c r="H140" s="3031"/>
      <c r="I140" s="3031"/>
      <c r="J140" s="3031"/>
      <c r="K140" s="3032"/>
      <c r="L140" s="3031"/>
      <c r="M140" s="3031"/>
      <c r="N140" s="3031"/>
      <c r="O140" s="3031"/>
      <c r="P140" s="3031"/>
      <c r="Q140" s="1162"/>
      <c r="U140" s="2918"/>
      <c r="V140" s="2919"/>
    </row>
    <row r="141" spans="2:22" ht="11.25" customHeight="1">
      <c r="B141" s="116"/>
      <c r="C141" s="116" t="s">
        <v>198</v>
      </c>
      <c r="D141" s="116"/>
      <c r="E141" s="116"/>
      <c r="F141" s="116"/>
      <c r="G141" s="1318">
        <f t="shared" ref="G141:P141" si="276">SUM(G139:G140)</f>
        <v>0</v>
      </c>
      <c r="H141" s="1318">
        <f t="shared" si="276"/>
        <v>0</v>
      </c>
      <c r="I141" s="1318">
        <f t="shared" si="276"/>
        <v>0</v>
      </c>
      <c r="J141" s="1318">
        <f t="shared" si="276"/>
        <v>0</v>
      </c>
      <c r="K141" s="1318">
        <f t="shared" si="276"/>
        <v>0</v>
      </c>
      <c r="L141" s="1318">
        <f t="shared" si="276"/>
        <v>0</v>
      </c>
      <c r="M141" s="1318">
        <f t="shared" si="276"/>
        <v>0</v>
      </c>
      <c r="N141" s="1318">
        <f t="shared" si="276"/>
        <v>0</v>
      </c>
      <c r="O141" s="1318">
        <f t="shared" si="276"/>
        <v>0</v>
      </c>
      <c r="P141" s="1318">
        <f t="shared" si="276"/>
        <v>0</v>
      </c>
      <c r="Q141" s="128"/>
      <c r="U141" s="2921"/>
      <c r="V141" s="2922"/>
    </row>
    <row r="142" spans="2:22" ht="3" customHeight="1">
      <c r="B142" s="1311"/>
      <c r="C142" s="95"/>
      <c r="D142" s="95"/>
      <c r="E142" s="95"/>
      <c r="F142" s="95"/>
      <c r="G142" s="1320"/>
      <c r="H142" s="95"/>
      <c r="I142" s="95"/>
      <c r="J142" s="95"/>
      <c r="K142" s="95"/>
      <c r="L142" s="95"/>
      <c r="M142" s="95"/>
      <c r="N142" s="95"/>
      <c r="O142" s="95"/>
      <c r="P142" s="95"/>
      <c r="Q142" s="8"/>
      <c r="U142" s="180" t="s">
        <v>2711</v>
      </c>
    </row>
    <row r="143" spans="2:22" ht="11.25" customHeight="1">
      <c r="B143" s="1315" t="s">
        <v>2366</v>
      </c>
      <c r="C143" s="95"/>
      <c r="D143" s="95"/>
      <c r="E143" s="95"/>
      <c r="F143" s="95"/>
      <c r="G143" s="1316">
        <v>21</v>
      </c>
      <c r="H143" s="1316">
        <v>22</v>
      </c>
      <c r="I143" s="1316">
        <v>23</v>
      </c>
      <c r="J143" s="1316">
        <v>24</v>
      </c>
      <c r="K143" s="1316">
        <v>25</v>
      </c>
      <c r="L143" s="1316">
        <v>26</v>
      </c>
      <c r="M143" s="1316">
        <v>27</v>
      </c>
      <c r="N143" s="1316">
        <v>28</v>
      </c>
      <c r="O143" s="1316">
        <v>29</v>
      </c>
      <c r="P143" s="1316">
        <v>30</v>
      </c>
      <c r="Q143" s="847"/>
      <c r="U143" s="100" t="str">
        <f>B143</f>
        <v>Included in Mgt Fee:</v>
      </c>
    </row>
    <row r="144" spans="2:22" ht="11.25" customHeight="1">
      <c r="B144" s="116" t="s">
        <v>1054</v>
      </c>
      <c r="C144" s="116"/>
      <c r="D144" s="116"/>
      <c r="E144" s="116"/>
      <c r="F144" s="116"/>
      <c r="G144" s="3026"/>
      <c r="H144" s="3026"/>
      <c r="I144" s="3026"/>
      <c r="J144" s="3026"/>
      <c r="K144" s="3027"/>
      <c r="L144" s="3026"/>
      <c r="M144" s="3026"/>
      <c r="N144" s="3026"/>
      <c r="O144" s="3026"/>
      <c r="P144" s="3026"/>
      <c r="Q144" s="1162"/>
      <c r="U144" s="2916"/>
      <c r="V144" s="2917"/>
    </row>
    <row r="145" spans="2:22" ht="11.25" customHeight="1">
      <c r="B145" s="116" t="s">
        <v>771</v>
      </c>
      <c r="C145" s="3028"/>
      <c r="D145" s="3029"/>
      <c r="E145" s="3029"/>
      <c r="F145" s="3030"/>
      <c r="G145" s="3031"/>
      <c r="H145" s="3031"/>
      <c r="I145" s="3031"/>
      <c r="J145" s="3031"/>
      <c r="K145" s="3032"/>
      <c r="L145" s="3031"/>
      <c r="M145" s="3031"/>
      <c r="N145" s="3031"/>
      <c r="O145" s="3031"/>
      <c r="P145" s="3031"/>
      <c r="Q145" s="1162"/>
      <c r="U145" s="2918"/>
      <c r="V145" s="2919"/>
    </row>
    <row r="146" spans="2:22" ht="11.25" customHeight="1">
      <c r="B146" s="116"/>
      <c r="C146" s="116" t="s">
        <v>961</v>
      </c>
      <c r="D146" s="116"/>
      <c r="E146" s="116"/>
      <c r="F146" s="116"/>
      <c r="G146" s="1318">
        <f t="shared" ref="G146:P146" si="277">SUM(G144:G145)</f>
        <v>0</v>
      </c>
      <c r="H146" s="1318">
        <f t="shared" si="277"/>
        <v>0</v>
      </c>
      <c r="I146" s="1318">
        <f t="shared" si="277"/>
        <v>0</v>
      </c>
      <c r="J146" s="1318">
        <f t="shared" si="277"/>
        <v>0</v>
      </c>
      <c r="K146" s="1318">
        <f t="shared" si="277"/>
        <v>0</v>
      </c>
      <c r="L146" s="1318">
        <f t="shared" si="277"/>
        <v>0</v>
      </c>
      <c r="M146" s="1318">
        <f t="shared" si="277"/>
        <v>0</v>
      </c>
      <c r="N146" s="1318">
        <f t="shared" si="277"/>
        <v>0</v>
      </c>
      <c r="O146" s="1318">
        <f t="shared" si="277"/>
        <v>0</v>
      </c>
      <c r="P146" s="1318">
        <f t="shared" si="277"/>
        <v>0</v>
      </c>
      <c r="Q146" s="128"/>
      <c r="U146" s="2921"/>
      <c r="V146" s="2922"/>
    </row>
    <row r="147" spans="2:22" ht="11.25" customHeight="1">
      <c r="B147" s="1319" t="s">
        <v>4108</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26"/>
      <c r="H148" s="3026"/>
      <c r="I148" s="3026"/>
      <c r="J148" s="3026"/>
      <c r="K148" s="3027"/>
      <c r="L148" s="3026"/>
      <c r="M148" s="3026"/>
      <c r="N148" s="3026"/>
      <c r="O148" s="3026"/>
      <c r="P148" s="3026"/>
      <c r="Q148" s="1162"/>
      <c r="U148" s="2916"/>
      <c r="V148" s="2917"/>
    </row>
    <row r="149" spans="2:22" ht="11.25" customHeight="1">
      <c r="B149" s="116" t="s">
        <v>771</v>
      </c>
      <c r="C149" s="3028"/>
      <c r="D149" s="3029"/>
      <c r="E149" s="3029"/>
      <c r="F149" s="3030"/>
      <c r="G149" s="3031"/>
      <c r="H149" s="3031"/>
      <c r="I149" s="3031"/>
      <c r="J149" s="3031"/>
      <c r="K149" s="3032"/>
      <c r="L149" s="3031"/>
      <c r="M149" s="3031"/>
      <c r="N149" s="3031"/>
      <c r="O149" s="3031"/>
      <c r="P149" s="3031"/>
      <c r="Q149" s="1162"/>
      <c r="U149" s="2918"/>
      <c r="V149" s="2919"/>
    </row>
    <row r="150" spans="2:22" ht="11.25" customHeight="1">
      <c r="B150" s="116"/>
      <c r="C150" s="116" t="s">
        <v>198</v>
      </c>
      <c r="D150" s="116"/>
      <c r="E150" s="116"/>
      <c r="F150" s="116"/>
      <c r="G150" s="1318">
        <f t="shared" ref="G150:P150" si="278">SUM(G148:G149)</f>
        <v>0</v>
      </c>
      <c r="H150" s="1318">
        <f t="shared" si="278"/>
        <v>0</v>
      </c>
      <c r="I150" s="1318">
        <f t="shared" si="278"/>
        <v>0</v>
      </c>
      <c r="J150" s="1318">
        <f t="shared" si="278"/>
        <v>0</v>
      </c>
      <c r="K150" s="1318">
        <f t="shared" si="278"/>
        <v>0</v>
      </c>
      <c r="L150" s="1318">
        <f t="shared" si="278"/>
        <v>0</v>
      </c>
      <c r="M150" s="1318">
        <f t="shared" si="278"/>
        <v>0</v>
      </c>
      <c r="N150" s="1318">
        <f t="shared" si="278"/>
        <v>0</v>
      </c>
      <c r="O150" s="1318">
        <f t="shared" si="278"/>
        <v>0</v>
      </c>
      <c r="P150" s="1318">
        <f t="shared" si="278"/>
        <v>0</v>
      </c>
      <c r="Q150" s="128"/>
      <c r="U150" s="2921"/>
      <c r="V150" s="2922"/>
    </row>
    <row r="151" spans="2:22" ht="3" customHeight="1">
      <c r="B151" s="1311"/>
      <c r="C151" s="95"/>
      <c r="D151" s="95"/>
      <c r="E151" s="95"/>
      <c r="F151" s="95"/>
      <c r="G151" s="1320"/>
      <c r="H151" s="95"/>
      <c r="I151" s="95"/>
      <c r="J151" s="95"/>
      <c r="K151" s="95"/>
      <c r="L151" s="95"/>
      <c r="M151" s="95"/>
      <c r="N151" s="95"/>
      <c r="O151" s="95"/>
      <c r="P151" s="95"/>
      <c r="Q151" s="8"/>
      <c r="U151" s="180" t="s">
        <v>2711</v>
      </c>
    </row>
    <row r="152" spans="2:22" ht="11.25" customHeight="1">
      <c r="B152" s="1315" t="s">
        <v>2366</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1054</v>
      </c>
      <c r="C153" s="116"/>
      <c r="D153" s="116"/>
      <c r="E153" s="116"/>
      <c r="F153" s="116"/>
      <c r="G153" s="3026"/>
      <c r="H153" s="3026"/>
      <c r="I153" s="3026"/>
      <c r="J153" s="3026"/>
      <c r="K153" s="3027"/>
      <c r="L153" s="95"/>
      <c r="M153" s="95"/>
      <c r="N153" s="95"/>
      <c r="O153" s="95"/>
      <c r="P153" s="95"/>
      <c r="Q153" s="8"/>
      <c r="U153" s="2916"/>
      <c r="V153" s="2917"/>
    </row>
    <row r="154" spans="2:22" ht="11.25" customHeight="1">
      <c r="B154" s="116" t="s">
        <v>771</v>
      </c>
      <c r="C154" s="3028"/>
      <c r="D154" s="3029"/>
      <c r="E154" s="3029"/>
      <c r="F154" s="3030"/>
      <c r="G154" s="3031"/>
      <c r="H154" s="3031"/>
      <c r="I154" s="3031"/>
      <c r="J154" s="3031"/>
      <c r="K154" s="3032"/>
      <c r="L154" s="95"/>
      <c r="M154" s="95"/>
      <c r="N154" s="95"/>
      <c r="O154" s="95"/>
      <c r="P154" s="95"/>
      <c r="Q154" s="8"/>
      <c r="U154" s="2918"/>
      <c r="V154" s="2919"/>
    </row>
    <row r="155" spans="2:22" ht="11.25" customHeight="1">
      <c r="B155" s="116"/>
      <c r="C155" s="116" t="s">
        <v>961</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2921"/>
      <c r="V155" s="2922"/>
    </row>
    <row r="156" spans="2:22" ht="11.25" customHeight="1">
      <c r="B156" s="1319" t="s">
        <v>4108</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26"/>
      <c r="H157" s="3026"/>
      <c r="I157" s="3026"/>
      <c r="J157" s="3026"/>
      <c r="K157" s="3027"/>
      <c r="L157" s="95"/>
      <c r="M157" s="95"/>
      <c r="N157" s="95"/>
      <c r="O157" s="95"/>
      <c r="P157" s="95"/>
      <c r="Q157" s="8"/>
      <c r="U157" s="2916"/>
      <c r="V157" s="2917"/>
    </row>
    <row r="158" spans="2:22" ht="11.25" customHeight="1">
      <c r="B158" s="116" t="s">
        <v>771</v>
      </c>
      <c r="C158" s="3028"/>
      <c r="D158" s="3029"/>
      <c r="E158" s="3029"/>
      <c r="F158" s="3030"/>
      <c r="G158" s="3031"/>
      <c r="H158" s="3031"/>
      <c r="I158" s="3031"/>
      <c r="J158" s="3031"/>
      <c r="K158" s="3032"/>
      <c r="L158" s="95"/>
      <c r="M158" s="95"/>
      <c r="N158" s="95"/>
      <c r="O158" s="95"/>
      <c r="P158" s="95"/>
      <c r="Q158" s="8"/>
      <c r="U158" s="2918"/>
      <c r="V158" s="2919"/>
    </row>
    <row r="159" spans="2:22" ht="11.25" customHeight="1">
      <c r="B159" s="116"/>
      <c r="C159" s="116" t="s">
        <v>198</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2921"/>
      <c r="V159" s="2922"/>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70" t="s">
        <v>1915</v>
      </c>
      <c r="V162" s="167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16"/>
      <c r="V163" s="291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33">
        <v>36000</v>
      </c>
      <c r="G164" s="3034"/>
      <c r="H164" s="1"/>
      <c r="I164" s="1" t="s">
        <v>1428</v>
      </c>
      <c r="J164" s="1"/>
      <c r="K164" s="3033">
        <v>0</v>
      </c>
      <c r="L164" s="3034"/>
      <c r="M164" s="1"/>
      <c r="N164" s="1" t="s">
        <v>962</v>
      </c>
      <c r="O164" s="1"/>
      <c r="P164" s="3035">
        <v>79050</v>
      </c>
      <c r="Q164" s="1162"/>
      <c r="U164" s="2918"/>
      <c r="V164" s="291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33">
        <v>18720</v>
      </c>
      <c r="G165" s="3034"/>
      <c r="H165" s="1"/>
      <c r="I165" s="1" t="s">
        <v>1429</v>
      </c>
      <c r="J165" s="1"/>
      <c r="K165" s="3033">
        <v>720</v>
      </c>
      <c r="L165" s="3034"/>
      <c r="M165" s="1"/>
      <c r="N165" s="1" t="s">
        <v>152</v>
      </c>
      <c r="O165" s="1"/>
      <c r="P165" s="3035">
        <v>17700</v>
      </c>
      <c r="Q165" s="1162"/>
      <c r="U165" s="2918"/>
      <c r="V165" s="291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33">
        <v>3600</v>
      </c>
      <c r="G166" s="3034"/>
      <c r="H166" s="1"/>
      <c r="I166" s="1"/>
      <c r="J166" s="132" t="s">
        <v>197</v>
      </c>
      <c r="K166" s="1668">
        <f>SUM(K164:L165)</f>
        <v>720</v>
      </c>
      <c r="L166" s="1669"/>
      <c r="M166" s="1"/>
      <c r="N166" s="3036" t="s">
        <v>4279</v>
      </c>
      <c r="O166" s="3037"/>
      <c r="P166" s="3038">
        <v>720</v>
      </c>
      <c r="Q166" s="1162"/>
      <c r="U166" s="2918"/>
      <c r="V166" s="291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39" t="s">
        <v>53</v>
      </c>
      <c r="C167" s="3040"/>
      <c r="D167" s="3040"/>
      <c r="E167" s="3041"/>
      <c r="F167" s="3042"/>
      <c r="G167" s="3043"/>
      <c r="H167" s="1"/>
      <c r="I167" s="1"/>
      <c r="J167" s="1"/>
      <c r="K167" s="1"/>
      <c r="L167" s="1"/>
      <c r="M167" s="1"/>
      <c r="N167" s="12" t="s">
        <v>197</v>
      </c>
      <c r="O167" s="1"/>
      <c r="P167" s="450">
        <f>SUM(P164:P166)</f>
        <v>97470</v>
      </c>
      <c r="Q167" s="1162"/>
      <c r="U167" s="2918"/>
      <c r="V167" s="291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8">
        <f>SUM(F164:G167)</f>
        <v>58320</v>
      </c>
      <c r="G168" s="1669"/>
      <c r="H168" s="1"/>
      <c r="I168" s="1"/>
      <c r="J168" s="13"/>
      <c r="K168" s="1"/>
      <c r="L168" s="1"/>
      <c r="M168" s="1"/>
      <c r="N168" s="1"/>
      <c r="O168" s="1"/>
      <c r="P168" s="1"/>
      <c r="Q168" s="1"/>
      <c r="U168" s="2918"/>
      <c r="V168" s="291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18"/>
      <c r="V169" s="291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39857</v>
      </c>
      <c r="Q170" s="1163"/>
      <c r="U170" s="2918"/>
      <c r="V170" s="291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33">
        <v>5328</v>
      </c>
      <c r="G171" s="3034"/>
      <c r="H171" s="1"/>
      <c r="I171" s="1" t="s">
        <v>1660</v>
      </c>
      <c r="J171" s="1"/>
      <c r="K171" s="3044">
        <v>11592</v>
      </c>
      <c r="L171" s="3045"/>
      <c r="M171" s="1"/>
      <c r="N171" s="435">
        <f>+P170/(O62*0.93)</f>
        <v>595.23596176821979</v>
      </c>
      <c r="O171" s="71" t="s">
        <v>2871</v>
      </c>
      <c r="P171" s="1"/>
      <c r="Q171" s="1"/>
      <c r="U171" s="2918"/>
      <c r="V171" s="291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33">
        <v>2088</v>
      </c>
      <c r="G172" s="3034"/>
      <c r="H172" s="1"/>
      <c r="I172" s="1" t="s">
        <v>2127</v>
      </c>
      <c r="J172" s="1"/>
      <c r="K172" s="3046">
        <v>4800</v>
      </c>
      <c r="L172" s="3047"/>
      <c r="M172" s="1"/>
      <c r="N172" s="435">
        <f>+P170/(O62*0.93)/12</f>
        <v>49.602996814018319</v>
      </c>
      <c r="O172" s="71" t="s">
        <v>2872</v>
      </c>
      <c r="P172" s="1"/>
      <c r="Q172" s="1"/>
      <c r="U172" s="2918"/>
      <c r="V172" s="291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33">
        <v>1080</v>
      </c>
      <c r="G173" s="3034"/>
      <c r="H173" s="1"/>
      <c r="I173" s="1" t="s">
        <v>1661</v>
      </c>
      <c r="J173" s="1"/>
      <c r="K173" s="3046">
        <v>2000</v>
      </c>
      <c r="L173" s="3047"/>
      <c r="M173" s="1"/>
      <c r="N173" s="1671" t="s">
        <v>2546</v>
      </c>
      <c r="O173" s="1672"/>
      <c r="P173" s="1672"/>
      <c r="Q173" s="1415"/>
      <c r="U173" s="2918"/>
      <c r="V173" s="291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33"/>
      <c r="G174" s="3034"/>
      <c r="H174" s="1"/>
      <c r="I174" s="3036" t="s">
        <v>4280</v>
      </c>
      <c r="J174" s="3037"/>
      <c r="K174" s="3044">
        <v>750</v>
      </c>
      <c r="L174" s="3045"/>
      <c r="M174" s="1"/>
      <c r="N174" s="1672"/>
      <c r="O174" s="1672"/>
      <c r="P174" s="1672"/>
      <c r="Q174" s="1415"/>
      <c r="U174" s="2918"/>
      <c r="V174" s="291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33">
        <v>1080</v>
      </c>
      <c r="G175" s="3034"/>
      <c r="H175" s="1"/>
      <c r="I175" s="10"/>
      <c r="J175" s="12" t="s">
        <v>197</v>
      </c>
      <c r="K175" s="1666">
        <f>SUM(K171:K174)</f>
        <v>19142</v>
      </c>
      <c r="L175" s="1667"/>
      <c r="M175" s="1"/>
      <c r="U175" s="2921"/>
      <c r="V175" s="292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39" t="s">
        <v>4332</v>
      </c>
      <c r="C176" s="3040"/>
      <c r="D176" s="3040"/>
      <c r="E176" s="3041"/>
      <c r="F176" s="3042">
        <v>4320</v>
      </c>
      <c r="G176" s="3043"/>
      <c r="H176" s="1"/>
      <c r="I176" s="1"/>
      <c r="J176" s="13"/>
      <c r="K176" s="1"/>
      <c r="L176" s="1"/>
      <c r="M176" s="1"/>
      <c r="N176" s="10" t="s">
        <v>2265</v>
      </c>
      <c r="O176" s="5"/>
      <c r="P176" s="448">
        <f>F168+F177+F188+K166+K175+K185+P167+P170</f>
        <v>290209</v>
      </c>
      <c r="Q176" s="1162"/>
      <c r="U176" s="2916"/>
      <c r="V176" s="291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8">
        <f>SUM(F171:G176)</f>
        <v>13896</v>
      </c>
      <c r="G177" s="1669"/>
      <c r="H177" s="1"/>
      <c r="I177" s="1"/>
      <c r="J177" s="13"/>
      <c r="K177" s="1"/>
      <c r="L177" s="1"/>
      <c r="M177" s="1"/>
      <c r="N177" s="435">
        <f>+P176/O62</f>
        <v>4030.6805555555557</v>
      </c>
      <c r="O177" s="71" t="s">
        <v>2873</v>
      </c>
      <c r="U177" s="2918"/>
      <c r="V177" s="291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18"/>
      <c r="V178" s="291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90" t="s">
        <v>2870</v>
      </c>
      <c r="K179" s="1"/>
      <c r="L179" s="1"/>
      <c r="M179" s="1"/>
      <c r="N179" s="10" t="s">
        <v>3751</v>
      </c>
      <c r="O179" s="10"/>
      <c r="P179" s="449">
        <f>P180*O62</f>
        <v>18000</v>
      </c>
      <c r="Q179" s="1163"/>
      <c r="U179" s="2918"/>
      <c r="V179" s="291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48">
        <v>3240</v>
      </c>
      <c r="G180" s="3049"/>
      <c r="H180" s="1"/>
      <c r="I180" s="1" t="s">
        <v>1418</v>
      </c>
      <c r="J180" s="518">
        <f>K180/12/O62</f>
        <v>7.291666666666667</v>
      </c>
      <c r="K180" s="3046">
        <v>6300</v>
      </c>
      <c r="L180" s="3047"/>
      <c r="M180" s="1"/>
      <c r="N180" s="109" t="s">
        <v>3752</v>
      </c>
      <c r="O180" s="1"/>
      <c r="P180" s="3050">
        <f>N181</f>
        <v>250</v>
      </c>
      <c r="Q180" s="3051"/>
      <c r="U180" s="2918"/>
      <c r="V180" s="291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48">
        <v>2160</v>
      </c>
      <c r="G181" s="3049"/>
      <c r="H181" s="1"/>
      <c r="I181" s="1" t="s">
        <v>1419</v>
      </c>
      <c r="J181" s="518">
        <f>K181/12/O62</f>
        <v>0</v>
      </c>
      <c r="K181" s="3046"/>
      <c r="L181" s="3047"/>
      <c r="M181" s="1"/>
      <c r="N181" s="843">
        <f>ROUND(P188/O62,0)</f>
        <v>250</v>
      </c>
      <c r="O181" s="71" t="s">
        <v>2873</v>
      </c>
      <c r="R181" s="842"/>
      <c r="U181" s="2918"/>
      <c r="V181" s="291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48">
        <v>6840</v>
      </c>
      <c r="G182" s="3049"/>
      <c r="H182" s="1"/>
      <c r="I182" s="1" t="s">
        <v>2434</v>
      </c>
      <c r="J182" s="518">
        <f>K182/12/O62</f>
        <v>6.083333333333333</v>
      </c>
      <c r="K182" s="3046">
        <v>5256</v>
      </c>
      <c r="L182" s="3047"/>
      <c r="M182" s="1"/>
      <c r="N182" s="850" t="s">
        <v>2820</v>
      </c>
      <c r="O182" s="851" t="s">
        <v>3678</v>
      </c>
      <c r="P182" s="852" t="s">
        <v>3679</v>
      </c>
      <c r="Q182" s="1158"/>
      <c r="U182" s="2918"/>
      <c r="V182" s="291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33">
        <v>6336</v>
      </c>
      <c r="G183" s="3034"/>
      <c r="H183" s="1"/>
      <c r="I183" s="1" t="s">
        <v>1421</v>
      </c>
      <c r="J183" s="1"/>
      <c r="K183" s="3046">
        <v>8640</v>
      </c>
      <c r="L183" s="3047"/>
      <c r="M183" s="1"/>
      <c r="N183" s="853" t="s">
        <v>41</v>
      </c>
      <c r="O183" s="854"/>
      <c r="P183" s="855"/>
      <c r="Q183" s="854"/>
      <c r="U183" s="2918"/>
      <c r="V183" s="291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33">
        <v>8280</v>
      </c>
      <c r="G184" s="3034"/>
      <c r="H184" s="1"/>
      <c r="I184" s="3036" t="s">
        <v>4333</v>
      </c>
      <c r="J184" s="3037"/>
      <c r="K184" s="3044">
        <v>1512</v>
      </c>
      <c r="L184" s="3045"/>
      <c r="M184" s="1"/>
      <c r="N184" s="566" t="s">
        <v>3670</v>
      </c>
      <c r="O184" s="1167" t="str">
        <f>CONCATENATE(SUM(JC48:JG48)," units x $",'DCA Underwriting Assumptions'!$Q$62," =")</f>
        <v>0 units x $350 =</v>
      </c>
      <c r="P184" s="856">
        <f>SUM(JC48:JG48)*'DCA Underwriting Assumptions'!$Q$62</f>
        <v>0</v>
      </c>
      <c r="Q184" s="1167"/>
      <c r="U184" s="2918"/>
      <c r="V184" s="291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33"/>
      <c r="G185" s="3034"/>
      <c r="H185" s="1"/>
      <c r="I185" s="1"/>
      <c r="J185" s="12" t="s">
        <v>197</v>
      </c>
      <c r="K185" s="1666">
        <f>SUM(K180:K184)</f>
        <v>21708</v>
      </c>
      <c r="L185" s="1667"/>
      <c r="M185" s="1"/>
      <c r="N185" s="566" t="s">
        <v>3669</v>
      </c>
      <c r="O185" s="1167" t="str">
        <f>CONCATENATE(SUM(JH48:JL48)," units x $",'DCA Underwriting Assumptions'!$Q$63," =")</f>
        <v>72 units x $250 =</v>
      </c>
      <c r="P185" s="856">
        <f>SUM(JH48:JL48)*'DCA Underwriting Assumptions'!$Q$63</f>
        <v>18000</v>
      </c>
      <c r="Q185" s="1167"/>
      <c r="U185" s="2918"/>
      <c r="V185" s="291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33"/>
      <c r="G186" s="3034"/>
      <c r="H186" s="1"/>
      <c r="I186" s="1"/>
      <c r="J186" s="13"/>
      <c r="K186" s="1"/>
      <c r="L186" s="1"/>
      <c r="M186" s="1"/>
      <c r="N186" s="857" t="s">
        <v>3673</v>
      </c>
      <c r="O186" s="1167" t="str">
        <f>CONCATENATE(SUM(JM48:JQ48)," units x $",'DCA Underwriting Assumptions'!$Q$64," =")</f>
        <v>0 units x $420 =</v>
      </c>
      <c r="P186" s="856">
        <f>SUM(JM48:JQ48)*'DCA Underwriting Assumptions'!$Q$64</f>
        <v>0</v>
      </c>
      <c r="Q186" s="1167"/>
      <c r="U186" s="2918"/>
      <c r="V186" s="291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39" t="s">
        <v>4281</v>
      </c>
      <c r="C187" s="3040"/>
      <c r="D187" s="3040"/>
      <c r="E187" s="3041"/>
      <c r="F187" s="3042">
        <v>12240</v>
      </c>
      <c r="G187" s="3043"/>
      <c r="H187" s="1"/>
      <c r="I187" s="1"/>
      <c r="J187" s="13"/>
      <c r="K187" s="1"/>
      <c r="L187" s="1"/>
      <c r="M187" s="1"/>
      <c r="N187" s="857" t="s">
        <v>3668</v>
      </c>
      <c r="O187" s="1167" t="str">
        <f>CONCATENATE(O84," units x $",'DCA Underwriting Assumptions'!$Q$64," =")</f>
        <v>0 units x $420 =</v>
      </c>
      <c r="P187" s="856">
        <f>O84*'DCA Underwriting Assumptions'!$Q$64</f>
        <v>0</v>
      </c>
      <c r="Q187" s="1167"/>
      <c r="U187" s="2918"/>
      <c r="V187" s="291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62">
        <f>SUM(F180:G187)</f>
        <v>39096</v>
      </c>
      <c r="G188" s="1663"/>
      <c r="H188" s="1"/>
      <c r="I188" s="1"/>
      <c r="J188" s="13"/>
      <c r="K188" s="1"/>
      <c r="L188" s="1"/>
      <c r="M188" s="1"/>
      <c r="N188" s="858" t="s">
        <v>2823</v>
      </c>
      <c r="O188" s="859">
        <f>SUM(JC48:JG48)+SUM(JH48:JL48)+SUM(JM48:JQ48)+O84</f>
        <v>72</v>
      </c>
      <c r="P188" s="860">
        <f>SUM(P184:P187)</f>
        <v>18000</v>
      </c>
      <c r="Q188" s="1167"/>
      <c r="U188" s="2921"/>
      <c r="V188" s="292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308209</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46" t="s">
        <v>4282</v>
      </c>
      <c r="B192" s="2747"/>
      <c r="C192" s="2747"/>
      <c r="D192" s="2747"/>
      <c r="E192" s="2747"/>
      <c r="F192" s="2747"/>
      <c r="G192" s="2747"/>
      <c r="H192" s="2747"/>
      <c r="I192" s="2747"/>
      <c r="J192" s="2748"/>
      <c r="K192" s="2749"/>
      <c r="L192" s="2750"/>
      <c r="M192" s="2750"/>
      <c r="N192" s="2750"/>
      <c r="O192" s="2750"/>
      <c r="P192" s="2751"/>
      <c r="Q192" s="1384"/>
      <c r="U192" s="1534" t="s">
        <v>2796</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3"/>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3"/>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3"/>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3V6pPMJB8wB22TxaIsRp/auuRZ+XSW175U9yc2lu94O4vEMqquw/gA5DH5mpRVYP05guBSXaoL0gZ9up2Hlm7g==" saltValue="A2y3kWMqfSKAoFfEOCfGz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2016-010 The Preserve at Newport, Kingsland, Camden County</v>
      </c>
      <c r="B1" s="3052"/>
      <c r="C1" s="3052"/>
      <c r="D1" s="3052"/>
      <c r="E1" s="3052"/>
      <c r="F1" s="3052"/>
      <c r="G1" s="3052"/>
      <c r="H1" s="3052"/>
      <c r="I1" s="3052"/>
      <c r="J1" s="3052"/>
      <c r="K1" s="3053"/>
      <c r="L1" s="10"/>
      <c r="M1" s="1692" t="str">
        <f>A1</f>
        <v>PART SEVEN - OPERATING PRO FORMA  -  2016-010 The Preserve at Newport, Kingsland, Camden County</v>
      </c>
      <c r="N1" s="1692"/>
      <c r="O1" s="10"/>
    </row>
    <row r="2" spans="1:15" ht="13.5" customHeight="1">
      <c r="A2" s="561"/>
      <c r="B2" s="561"/>
      <c r="C2" s="561"/>
      <c r="D2" s="561"/>
      <c r="E2" s="561"/>
      <c r="F2" s="561"/>
      <c r="G2" s="561"/>
      <c r="H2" s="561"/>
      <c r="I2" s="561"/>
      <c r="J2" s="561"/>
      <c r="K2" s="561"/>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3747</v>
      </c>
      <c r="E5" s="1695"/>
      <c r="F5" s="1695"/>
      <c r="G5" s="3054">
        <v>3000</v>
      </c>
      <c r="H5" s="102" t="s">
        <v>1981</v>
      </c>
      <c r="K5" s="107">
        <f>IF(($B$14+$B$15+$B$16+$B$17)=0,"",B28/($B$14+$B$15+$B$16+$B$17))</f>
        <v>-6.7742720215541938E-3</v>
      </c>
      <c r="M5" s="2916"/>
      <c r="N5" s="2917"/>
    </row>
    <row r="6" spans="1:15">
      <c r="A6" s="17" t="s">
        <v>2268</v>
      </c>
      <c r="B6" s="82">
        <v>0.03</v>
      </c>
      <c r="C6" s="17"/>
      <c r="D6" s="1695"/>
      <c r="E6" s="1695"/>
      <c r="F6" s="1695"/>
      <c r="G6" s="17"/>
      <c r="H6" s="17"/>
      <c r="I6" s="17"/>
      <c r="J6" s="17"/>
      <c r="K6" s="17"/>
      <c r="M6" s="2918"/>
      <c r="N6" s="2919"/>
    </row>
    <row r="7" spans="1:15">
      <c r="A7" s="17" t="s">
        <v>2270</v>
      </c>
      <c r="B7" s="82">
        <v>0.03</v>
      </c>
      <c r="C7" s="17"/>
      <c r="D7" s="84" t="s">
        <v>282</v>
      </c>
      <c r="G7" s="86"/>
      <c r="H7" s="102" t="s">
        <v>2459</v>
      </c>
      <c r="K7" s="107">
        <f>IF(($B$14+$B$15+$B$16+$B$17)=0,"",-B20/($B$14+$B$15+$B$16+$B$17))</f>
        <v>9.0000719987695169E-2</v>
      </c>
      <c r="M7" s="2918"/>
      <c r="N7" s="2919"/>
    </row>
    <row r="8" spans="1:15" ht="13.15" customHeight="1">
      <c r="A8" s="17" t="s">
        <v>2269</v>
      </c>
      <c r="B8" s="3055">
        <v>7.0000000000000007E-2</v>
      </c>
      <c r="C8" s="17"/>
      <c r="D8" s="83" t="s">
        <v>2595</v>
      </c>
      <c r="G8" s="3056"/>
      <c r="H8" s="177" t="s">
        <v>1500</v>
      </c>
      <c r="K8" s="3057"/>
      <c r="M8" s="2918"/>
      <c r="N8" s="2919"/>
    </row>
    <row r="9" spans="1:15">
      <c r="A9" s="17" t="s">
        <v>1472</v>
      </c>
      <c r="B9" s="82">
        <v>0.02</v>
      </c>
      <c r="D9" s="83" t="s">
        <v>1784</v>
      </c>
      <c r="G9" s="3056" t="s">
        <v>3153</v>
      </c>
      <c r="H9" s="177" t="s">
        <v>2439</v>
      </c>
      <c r="K9" s="3058">
        <v>0.09</v>
      </c>
      <c r="M9" s="2921"/>
      <c r="N9" s="2922"/>
    </row>
    <row r="10" spans="1:15" ht="13.5" customHeight="1" thickBot="1"/>
    <row r="11" spans="1:15" ht="13.5" thickBot="1">
      <c r="A11" s="14" t="s">
        <v>93</v>
      </c>
      <c r="C11" s="1464" t="s">
        <v>4195</v>
      </c>
      <c r="D11" s="1465"/>
      <c r="E11" s="1466"/>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2712</v>
      </c>
      <c r="N13" s="1520"/>
    </row>
    <row r="14" spans="1:15" ht="13.15" customHeight="1">
      <c r="A14" s="19" t="s">
        <v>2489</v>
      </c>
      <c r="B14" s="20">
        <f>'Part VI-Revenues &amp; Expenses'!$L$49</f>
        <v>466848</v>
      </c>
      <c r="C14" s="20">
        <f t="shared" ref="C14:K14" si="1">$B$14*(1+$B$5)^(C13-1)</f>
        <v>476184.96</v>
      </c>
      <c r="D14" s="20">
        <f t="shared" si="1"/>
        <v>485708.65919999999</v>
      </c>
      <c r="E14" s="20">
        <f t="shared" si="1"/>
        <v>495422.83238399995</v>
      </c>
      <c r="F14" s="20">
        <f t="shared" si="1"/>
        <v>505331.28903167997</v>
      </c>
      <c r="G14" s="20">
        <f t="shared" si="1"/>
        <v>515437.91481231363</v>
      </c>
      <c r="H14" s="20">
        <f t="shared" si="1"/>
        <v>525746.67310855992</v>
      </c>
      <c r="I14" s="20">
        <f t="shared" si="1"/>
        <v>536261.60657073103</v>
      </c>
      <c r="J14" s="20">
        <f t="shared" si="1"/>
        <v>546986.83870214561</v>
      </c>
      <c r="K14" s="21">
        <f t="shared" si="1"/>
        <v>557926.57547618856</v>
      </c>
      <c r="M14" s="2916"/>
      <c r="N14" s="2917"/>
    </row>
    <row r="15" spans="1:15" ht="13.15" customHeight="1">
      <c r="A15" s="22" t="s">
        <v>1053</v>
      </c>
      <c r="B15" s="23">
        <f>MIN(B14*B9,'Part VI-Revenues &amp; Expenses'!$H$122)</f>
        <v>9336.9600000000009</v>
      </c>
      <c r="C15" s="23">
        <f t="shared" ref="C15:K15" si="2">$B$15*(1+$B$5)^(C13-1)</f>
        <v>9523.6992000000009</v>
      </c>
      <c r="D15" s="23">
        <f t="shared" si="2"/>
        <v>9714.1731840000011</v>
      </c>
      <c r="E15" s="23">
        <f t="shared" si="2"/>
        <v>9908.456647680001</v>
      </c>
      <c r="F15" s="23">
        <f t="shared" si="2"/>
        <v>10106.625780633602</v>
      </c>
      <c r="G15" s="23">
        <f t="shared" si="2"/>
        <v>10308.758296246273</v>
      </c>
      <c r="H15" s="23">
        <f t="shared" si="2"/>
        <v>10514.933462171199</v>
      </c>
      <c r="I15" s="23">
        <f t="shared" si="2"/>
        <v>10725.232131414621</v>
      </c>
      <c r="J15" s="23">
        <f t="shared" si="2"/>
        <v>10939.736774042914</v>
      </c>
      <c r="K15" s="24">
        <f t="shared" si="2"/>
        <v>11158.531509523773</v>
      </c>
      <c r="M15" s="2918"/>
      <c r="N15" s="2919"/>
    </row>
    <row r="16" spans="1:15" ht="13.15" customHeight="1">
      <c r="A16" s="22" t="s">
        <v>2490</v>
      </c>
      <c r="B16" s="23">
        <f t="shared" ref="B16:K16" si="3">-(B14+B15)*$B$8</f>
        <v>-33332.947200000002</v>
      </c>
      <c r="C16" s="23">
        <f t="shared" si="3"/>
        <v>-33999.606144000005</v>
      </c>
      <c r="D16" s="23">
        <f t="shared" si="3"/>
        <v>-34679.598266880006</v>
      </c>
      <c r="E16" s="23">
        <f t="shared" si="3"/>
        <v>-35373.190232217603</v>
      </c>
      <c r="F16" s="23">
        <f t="shared" si="3"/>
        <v>-36080.654036861954</v>
      </c>
      <c r="G16" s="23">
        <f t="shared" si="3"/>
        <v>-36802.2671175992</v>
      </c>
      <c r="H16" s="23">
        <f t="shared" si="3"/>
        <v>-37538.312459951187</v>
      </c>
      <c r="I16" s="23">
        <f t="shared" si="3"/>
        <v>-38289.078709150199</v>
      </c>
      <c r="J16" s="23">
        <f t="shared" si="3"/>
        <v>-39054.860283333204</v>
      </c>
      <c r="K16" s="24">
        <f t="shared" si="3"/>
        <v>-39835.957488999862</v>
      </c>
      <c r="M16" s="2918"/>
      <c r="N16" s="291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18"/>
      <c r="N17" s="291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18"/>
      <c r="N18" s="2919"/>
    </row>
    <row r="19" spans="1:14" ht="13.15" customHeight="1">
      <c r="A19" s="22" t="s">
        <v>638</v>
      </c>
      <c r="B19" s="23">
        <f>-('Part VI-Revenues &amp; Expenses'!$P$176-'Part VI-Revenues &amp; Expenses'!$P$170)</f>
        <v>-250352</v>
      </c>
      <c r="C19" s="23">
        <f t="shared" ref="C19:K19" si="4">$B$19*(1+$B$6)^(C13-1)</f>
        <v>-257862.56</v>
      </c>
      <c r="D19" s="23">
        <f t="shared" si="4"/>
        <v>-265598.43679999997</v>
      </c>
      <c r="E19" s="23">
        <f t="shared" si="4"/>
        <v>-273566.38990399998</v>
      </c>
      <c r="F19" s="23">
        <f t="shared" si="4"/>
        <v>-281773.38160112</v>
      </c>
      <c r="G19" s="23">
        <f t="shared" si="4"/>
        <v>-290226.58304915356</v>
      </c>
      <c r="H19" s="23">
        <f t="shared" si="4"/>
        <v>-298933.38054062816</v>
      </c>
      <c r="I19" s="23">
        <f t="shared" si="4"/>
        <v>-307901.38195684704</v>
      </c>
      <c r="J19" s="23">
        <f t="shared" si="4"/>
        <v>-317138.42341555242</v>
      </c>
      <c r="K19" s="24">
        <f t="shared" si="4"/>
        <v>-326652.576118019</v>
      </c>
      <c r="M19" s="2918"/>
      <c r="N19" s="2919"/>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-39857</v>
      </c>
      <c r="C20" s="23">
        <f>IF(AND('Part VII-Pro Forma'!$G$8="Yes",'Part VII-Pro Forma'!$G$9="Yes"),"Choose One!",IF('Part VII-Pro Forma'!$G$8="Yes",ROUND((-$K$8*(1+'Part VII-Pro Forma'!$B$6)^('Part VII-Pro Forma'!C13-1)),),IF('Part VII-Pro Forma'!$G$9="Yes",ROUND((-(SUM(C14:C17)*'Part VII-Pro Forma'!$K$9)),),"Choose mgt fee")))</f>
        <v>-40654</v>
      </c>
      <c r="D20" s="23">
        <f>IF(AND('Part VII-Pro Forma'!$G$8="Yes",'Part VII-Pro Forma'!$G$9="Yes"),"Choose One!",IF('Part VII-Pro Forma'!$G$8="Yes",ROUND((-$K$8*(1+'Part VII-Pro Forma'!$B$6)^('Part VII-Pro Forma'!D13-1)),),IF('Part VII-Pro Forma'!$G$9="Yes",ROUND((-(SUM(D14:D17)*'Part VII-Pro Forma'!$K$9)),),"Choose mgt fee")))</f>
        <v>-41467</v>
      </c>
      <c r="E20" s="23">
        <f>IF(AND('Part VII-Pro Forma'!$G$8="Yes",'Part VII-Pro Forma'!$G$9="Yes"),"Choose One!",IF('Part VII-Pro Forma'!$G$8="Yes",ROUND((-$K$8*(1+'Part VII-Pro Forma'!$B$6)^('Part VII-Pro Forma'!E13-1)),),IF('Part VII-Pro Forma'!$G$9="Yes",ROUND((-(SUM(E14:E17)*'Part VII-Pro Forma'!$K$9)),),"Choose mgt fee")))</f>
        <v>-42296</v>
      </c>
      <c r="F20" s="23">
        <f>IF(AND('Part VII-Pro Forma'!$G$8="Yes",'Part VII-Pro Forma'!$G$9="Yes"),"Choose One!",IF('Part VII-Pro Forma'!$G$8="Yes",ROUND((-$K$8*(1+'Part VII-Pro Forma'!$B$6)^('Part VII-Pro Forma'!F13-1)),),IF('Part VII-Pro Forma'!$G$9="Yes",ROUND((-(SUM(F14:F17)*'Part VII-Pro Forma'!$K$9)),),"Choose mgt fee")))</f>
        <v>-43142</v>
      </c>
      <c r="G20" s="23">
        <f>IF(AND('Part VII-Pro Forma'!$G$8="Yes",'Part VII-Pro Forma'!$G$9="Yes"),"Choose One!",IF('Part VII-Pro Forma'!$G$8="Yes",ROUND((-$K$8*(1+'Part VII-Pro Forma'!$B$6)^('Part VII-Pro Forma'!G13-1)),),IF('Part VII-Pro Forma'!$G$9="Yes",ROUND((-(SUM(G14:G17)*'Part VII-Pro Forma'!$K$9)),),"Choose mgt fee")))</f>
        <v>-44005</v>
      </c>
      <c r="H20" s="23">
        <f>IF(AND('Part VII-Pro Forma'!$G$8="Yes",'Part VII-Pro Forma'!$G$9="Yes"),"Choose One!",IF('Part VII-Pro Forma'!$G$8="Yes",ROUND((-$K$8*(1+'Part VII-Pro Forma'!$B$6)^('Part VII-Pro Forma'!H13-1)),),IF('Part VII-Pro Forma'!$G$9="Yes",ROUND((-(SUM(H14:H17)*'Part VII-Pro Forma'!$K$9)),),"Choose mgt fee")))</f>
        <v>-44885</v>
      </c>
      <c r="I20" s="23">
        <f>IF(AND('Part VII-Pro Forma'!$G$8="Yes",'Part VII-Pro Forma'!$G$9="Yes"),"Choose One!",IF('Part VII-Pro Forma'!$G$8="Yes",ROUND((-$K$8*(1+'Part VII-Pro Forma'!$B$6)^('Part VII-Pro Forma'!I13-1)),),IF('Part VII-Pro Forma'!$G$9="Yes",ROUND((-(SUM(I14:I17)*'Part VII-Pro Forma'!$K$9)),),"Choose mgt fee")))</f>
        <v>-45783</v>
      </c>
      <c r="J20" s="23">
        <f>IF(AND('Part VII-Pro Forma'!$G$8="Yes",'Part VII-Pro Forma'!$G$9="Yes"),"Choose One!",IF('Part VII-Pro Forma'!$G$8="Yes",ROUND((-$K$8*(1+'Part VII-Pro Forma'!$B$6)^('Part VII-Pro Forma'!J13-1)),),IF('Part VII-Pro Forma'!$G$9="Yes",ROUND((-(SUM(J14:J17)*'Part VII-Pro Forma'!$K$9)),),"Choose mgt fee")))</f>
        <v>-46698</v>
      </c>
      <c r="K20" s="23">
        <f>IF(AND('Part VII-Pro Forma'!$G$8="Yes",'Part VII-Pro Forma'!$G$9="Yes"),"Choose One!",IF('Part VII-Pro Forma'!$G$8="Yes",ROUND((-$K$8*(1+'Part VII-Pro Forma'!$B$6)^('Part VII-Pro Forma'!K13-1)),),IF('Part VII-Pro Forma'!$G$9="Yes",ROUND((-(SUM(K14:K17)*'Part VII-Pro Forma'!$K$9)),),"Choose mgt fee")))</f>
        <v>-47632</v>
      </c>
      <c r="M20" s="2918"/>
      <c r="N20" s="2919"/>
    </row>
    <row r="21" spans="1:14" ht="13.15" customHeight="1">
      <c r="A21" s="22" t="s">
        <v>1247</v>
      </c>
      <c r="B21" s="23">
        <f>-('Part VI-Revenues &amp; Expenses'!$P$179)</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M21" s="2918"/>
      <c r="N21" s="2919"/>
    </row>
    <row r="22" spans="1:14" ht="13.15" customHeight="1">
      <c r="A22" s="22" t="s">
        <v>1248</v>
      </c>
      <c r="B22" s="23">
        <f t="shared" ref="B22:K22" si="6">SUM(B14:B21)</f>
        <v>134643.01280000003</v>
      </c>
      <c r="C22" s="23">
        <f t="shared" si="6"/>
        <v>134652.49305599998</v>
      </c>
      <c r="D22" s="23">
        <f t="shared" si="6"/>
        <v>134581.59731712</v>
      </c>
      <c r="E22" s="23">
        <f t="shared" si="6"/>
        <v>134426.62289546238</v>
      </c>
      <c r="F22" s="23">
        <f t="shared" si="6"/>
        <v>134182.72059433162</v>
      </c>
      <c r="G22" s="23">
        <f t="shared" si="6"/>
        <v>133845.88960440716</v>
      </c>
      <c r="H22" s="23">
        <f t="shared" si="6"/>
        <v>133411.97223262978</v>
      </c>
      <c r="I22" s="23">
        <f t="shared" si="6"/>
        <v>132875.64845850071</v>
      </c>
      <c r="J22" s="23">
        <f t="shared" si="6"/>
        <v>132233.43031232583</v>
      </c>
      <c r="K22" s="24">
        <f t="shared" si="6"/>
        <v>131478.65606976708</v>
      </c>
      <c r="M22" s="2918"/>
      <c r="N22" s="2919"/>
    </row>
    <row r="23" spans="1:14" ht="13.15" customHeight="1">
      <c r="A23" s="467" t="s">
        <v>1648</v>
      </c>
      <c r="B23" s="3059">
        <f>IF('Part III-Sources of Funds'!$N$37="", 0,-'Part III-Sources of Funds'!$N$37)</f>
        <v>-89781.287292572873</v>
      </c>
      <c r="C23" s="3059">
        <f>IF('Part III-Sources of Funds'!$N$37="", 0,-'Part III-Sources of Funds'!$N$37)</f>
        <v>-89781.287292572873</v>
      </c>
      <c r="D23" s="3059">
        <f>IF('Part III-Sources of Funds'!$N$37="", 0,-'Part III-Sources of Funds'!$N$37)</f>
        <v>-89781.287292572873</v>
      </c>
      <c r="E23" s="3059">
        <f>IF('Part III-Sources of Funds'!$N$37="", 0,-'Part III-Sources of Funds'!$N$37)</f>
        <v>-89781.287292572873</v>
      </c>
      <c r="F23" s="3059">
        <f>IF('Part III-Sources of Funds'!$N$37="", 0,-'Part III-Sources of Funds'!$N$37)</f>
        <v>-89781.287292572873</v>
      </c>
      <c r="G23" s="3059">
        <f>IF('Part III-Sources of Funds'!$N$37="", 0,-'Part III-Sources of Funds'!$N$37)</f>
        <v>-89781.287292572873</v>
      </c>
      <c r="H23" s="3059">
        <f>IF('Part III-Sources of Funds'!$N$37="", 0,-'Part III-Sources of Funds'!$N$37)</f>
        <v>-89781.287292572873</v>
      </c>
      <c r="I23" s="3059">
        <f>IF('Part III-Sources of Funds'!$N$37="", 0,-'Part III-Sources of Funds'!$N$37)</f>
        <v>-89781.287292572873</v>
      </c>
      <c r="J23" s="3059">
        <f>IF('Part III-Sources of Funds'!$N$37="", 0,-'Part III-Sources of Funds'!$N$37)</f>
        <v>-89781.287292572873</v>
      </c>
      <c r="K23" s="3059">
        <f>IF('Part III-Sources of Funds'!$N$37="", 0,-'Part III-Sources of Funds'!$N$37)</f>
        <v>-89781.287292572873</v>
      </c>
      <c r="M23" s="2918"/>
      <c r="N23" s="2919"/>
    </row>
    <row r="24" spans="1:14" ht="13.15" customHeight="1">
      <c r="A24" s="467" t="s">
        <v>1649</v>
      </c>
      <c r="B24" s="3060">
        <f>IF('Part III-Sources of Funds'!$N$38="", 0,-'Part III-Sources of Funds'!$N$38)</f>
        <v>0</v>
      </c>
      <c r="C24" s="3060">
        <f>IF('Part III-Sources of Funds'!$N$38="", 0,-'Part III-Sources of Funds'!$N$38)</f>
        <v>0</v>
      </c>
      <c r="D24" s="3060">
        <f>IF('Part III-Sources of Funds'!$N$38="", 0,-'Part III-Sources of Funds'!$N$38)</f>
        <v>0</v>
      </c>
      <c r="E24" s="3060">
        <f>IF('Part III-Sources of Funds'!$N$38="", 0,-'Part III-Sources of Funds'!$N$38)</f>
        <v>0</v>
      </c>
      <c r="F24" s="3060">
        <f>IF('Part III-Sources of Funds'!$N$38="", 0,-'Part III-Sources of Funds'!$N$38)</f>
        <v>0</v>
      </c>
      <c r="G24" s="3060">
        <f>IF('Part III-Sources of Funds'!$N$38="", 0,-'Part III-Sources of Funds'!$N$38)</f>
        <v>0</v>
      </c>
      <c r="H24" s="3060">
        <f>IF('Part III-Sources of Funds'!$N$38="", 0,-'Part III-Sources of Funds'!$N$38)</f>
        <v>0</v>
      </c>
      <c r="I24" s="3060">
        <f>IF('Part III-Sources of Funds'!$N$38="", 0,-'Part III-Sources of Funds'!$N$38)</f>
        <v>0</v>
      </c>
      <c r="J24" s="3060">
        <f>IF('Part III-Sources of Funds'!$N$38="", 0,-'Part III-Sources of Funds'!$N$38)</f>
        <v>0</v>
      </c>
      <c r="K24" s="3060">
        <f>IF('Part III-Sources of Funds'!$N$38="", 0,-'Part III-Sources of Funds'!$N$38)</f>
        <v>0</v>
      </c>
      <c r="M24" s="2918"/>
      <c r="N24" s="2919"/>
    </row>
    <row r="25" spans="1:14" ht="13.15" customHeight="1">
      <c r="A25" s="467" t="s">
        <v>1650</v>
      </c>
      <c r="B25" s="3060">
        <f>IF('Part III-Sources of Funds'!$N$39="", 0,-'Part III-Sources of Funds'!$N$39)</f>
        <v>0</v>
      </c>
      <c r="C25" s="3060">
        <f>IF('Part III-Sources of Funds'!$N$39="", 0,-'Part III-Sources of Funds'!$N$39)</f>
        <v>0</v>
      </c>
      <c r="D25" s="3060">
        <f>IF('Part III-Sources of Funds'!$N$39="", 0,-'Part III-Sources of Funds'!$N$39)</f>
        <v>0</v>
      </c>
      <c r="E25" s="3060">
        <f>IF('Part III-Sources of Funds'!$N$39="", 0,-'Part III-Sources of Funds'!$N$39)</f>
        <v>0</v>
      </c>
      <c r="F25" s="3060">
        <f>IF('Part III-Sources of Funds'!$N$39="", 0,-'Part III-Sources of Funds'!$N$39)</f>
        <v>0</v>
      </c>
      <c r="G25" s="3060">
        <f>IF('Part III-Sources of Funds'!$N$39="", 0,-'Part III-Sources of Funds'!$N$39)</f>
        <v>0</v>
      </c>
      <c r="H25" s="3060">
        <f>IF('Part III-Sources of Funds'!$N$39="", 0,-'Part III-Sources of Funds'!$N$39)</f>
        <v>0</v>
      </c>
      <c r="I25" s="3060">
        <f>IF('Part III-Sources of Funds'!$N$39="", 0,-'Part III-Sources of Funds'!$N$39)</f>
        <v>0</v>
      </c>
      <c r="J25" s="3060">
        <f>IF('Part III-Sources of Funds'!$N$39="", 0,-'Part III-Sources of Funds'!$N$39)</f>
        <v>0</v>
      </c>
      <c r="K25" s="3060">
        <f>IF('Part III-Sources of Funds'!$N$39="", 0,-'Part III-Sources of Funds'!$N$39)</f>
        <v>0</v>
      </c>
      <c r="M25" s="2918"/>
      <c r="N25" s="2919"/>
    </row>
    <row r="26" spans="1:14" ht="13.15" customHeight="1">
      <c r="A26" s="22" t="s">
        <v>814</v>
      </c>
      <c r="B26" s="3060">
        <f>IF('Part III-Sources of Funds'!$N$40="", 0,-'Part III-Sources of Funds'!$N$40)</f>
        <v>0</v>
      </c>
      <c r="C26" s="3060">
        <f>IF('Part III-Sources of Funds'!$N$40="", 0,-'Part III-Sources of Funds'!$N$40)</f>
        <v>0</v>
      </c>
      <c r="D26" s="3060">
        <f>IF('Part III-Sources of Funds'!$N$40="", 0,-'Part III-Sources of Funds'!$N$40)</f>
        <v>0</v>
      </c>
      <c r="E26" s="3060">
        <f>IF('Part III-Sources of Funds'!$N$40="", 0,-'Part III-Sources of Funds'!$N$40)</f>
        <v>0</v>
      </c>
      <c r="F26" s="3060">
        <f>IF('Part III-Sources of Funds'!$N$40="", 0,-'Part III-Sources of Funds'!$N$40)</f>
        <v>0</v>
      </c>
      <c r="G26" s="3060">
        <f>IF('Part III-Sources of Funds'!$N$40="", 0,-'Part III-Sources of Funds'!$N$40)</f>
        <v>0</v>
      </c>
      <c r="H26" s="3060">
        <f>IF('Part III-Sources of Funds'!$N$40="", 0,-'Part III-Sources of Funds'!$N$40)</f>
        <v>0</v>
      </c>
      <c r="I26" s="3060">
        <f>IF('Part III-Sources of Funds'!$N$40="", 0,-'Part III-Sources of Funds'!$N$40)</f>
        <v>0</v>
      </c>
      <c r="J26" s="3060">
        <f>IF('Part III-Sources of Funds'!$N$40="", 0,-'Part III-Sources of Funds'!$N$40)</f>
        <v>0</v>
      </c>
      <c r="K26" s="3060">
        <f>IF('Part III-Sources of Funds'!$N$40="", 0,-'Part III-Sources of Funds'!$N$40)</f>
        <v>0</v>
      </c>
      <c r="M26" s="2918"/>
      <c r="N26" s="2919"/>
    </row>
    <row r="27" spans="1:14" ht="13.15" customHeight="1">
      <c r="A27" s="22" t="s">
        <v>794</v>
      </c>
      <c r="B27" s="3061"/>
      <c r="C27" s="3061"/>
      <c r="D27" s="3061"/>
      <c r="E27" s="3061"/>
      <c r="F27" s="3061"/>
      <c r="G27" s="3061"/>
      <c r="H27" s="3061"/>
      <c r="I27" s="3061"/>
      <c r="J27" s="3061"/>
      <c r="K27" s="3061"/>
      <c r="M27" s="2918"/>
      <c r="N27" s="2919"/>
    </row>
    <row r="28" spans="1:14" ht="13.15" customHeight="1">
      <c r="A28" s="22" t="s">
        <v>1206</v>
      </c>
      <c r="B28" s="3060">
        <f>-$G$5</f>
        <v>-3000</v>
      </c>
      <c r="C28" s="3060">
        <f t="shared" ref="C28:K28" si="7">+B28</f>
        <v>-3000</v>
      </c>
      <c r="D28" s="3060">
        <f t="shared" si="7"/>
        <v>-3000</v>
      </c>
      <c r="E28" s="3060">
        <f t="shared" si="7"/>
        <v>-3000</v>
      </c>
      <c r="F28" s="3060">
        <f t="shared" si="7"/>
        <v>-3000</v>
      </c>
      <c r="G28" s="3060">
        <f t="shared" si="7"/>
        <v>-3000</v>
      </c>
      <c r="H28" s="3060">
        <f t="shared" si="7"/>
        <v>-3000</v>
      </c>
      <c r="I28" s="3060">
        <f t="shared" si="7"/>
        <v>-3000</v>
      </c>
      <c r="J28" s="3060">
        <f t="shared" si="7"/>
        <v>-3000</v>
      </c>
      <c r="K28" s="3060">
        <f t="shared" si="7"/>
        <v>-3000</v>
      </c>
      <c r="M28" s="2918"/>
      <c r="N28" s="2919"/>
    </row>
    <row r="29" spans="1:14" ht="13.15" customHeight="1">
      <c r="A29" s="22" t="s">
        <v>1249</v>
      </c>
      <c r="B29" s="3062">
        <f>IF('Part III-Sources of Funds'!$N$42="", 0,-'Part III-Sources of Funds'!$N$42)</f>
        <v>0</v>
      </c>
      <c r="C29" s="3062">
        <f>IF('Part III-Sources of Funds'!$N$42="", 0,-'Part III-Sources of Funds'!$N$42)</f>
        <v>0</v>
      </c>
      <c r="D29" s="3062">
        <f>IF('Part III-Sources of Funds'!$N$42="", 0,-'Part III-Sources of Funds'!$N$42)</f>
        <v>0</v>
      </c>
      <c r="E29" s="3062">
        <f>IF('Part III-Sources of Funds'!$N$42="", 0,-'Part III-Sources of Funds'!$N$42)</f>
        <v>0</v>
      </c>
      <c r="F29" s="3062">
        <f>IF('Part III-Sources of Funds'!$N$42="", 0,-'Part III-Sources of Funds'!$N$42)</f>
        <v>0</v>
      </c>
      <c r="G29" s="3062">
        <f>IF('Part III-Sources of Funds'!$N$42="", 0,-'Part III-Sources of Funds'!$N$42)</f>
        <v>0</v>
      </c>
      <c r="H29" s="3062">
        <f>IF('Part III-Sources of Funds'!$N$42="", 0,-'Part III-Sources of Funds'!$N$42)</f>
        <v>0</v>
      </c>
      <c r="I29" s="3062">
        <f>IF('Part III-Sources of Funds'!$N$42="", 0,-'Part III-Sources of Funds'!$N$42)</f>
        <v>0</v>
      </c>
      <c r="J29" s="3062">
        <f>IF('Part III-Sources of Funds'!$N$42="", 0,-'Part III-Sources of Funds'!$N$42)</f>
        <v>0</v>
      </c>
      <c r="K29" s="3062">
        <f>IF('Part III-Sources of Funds'!$N$42="", 0,-'Part III-Sources of Funds'!$N$42)</f>
        <v>0</v>
      </c>
      <c r="M29" s="2918"/>
      <c r="N29" s="2919"/>
    </row>
    <row r="30" spans="1:14" ht="13.15" customHeight="1">
      <c r="A30" s="22" t="s">
        <v>1207</v>
      </c>
      <c r="B30" s="23">
        <f t="shared" ref="B30:K30" si="8">SUM(B22:B29)</f>
        <v>41861.725507427152</v>
      </c>
      <c r="C30" s="23">
        <f t="shared" si="8"/>
        <v>41871.205763427104</v>
      </c>
      <c r="D30" s="23">
        <f t="shared" si="8"/>
        <v>41800.310024547129</v>
      </c>
      <c r="E30" s="23">
        <f t="shared" si="8"/>
        <v>41645.335602889507</v>
      </c>
      <c r="F30" s="23">
        <f t="shared" si="8"/>
        <v>41401.433301758749</v>
      </c>
      <c r="G30" s="23">
        <f t="shared" si="8"/>
        <v>41064.602311834286</v>
      </c>
      <c r="H30" s="23">
        <f t="shared" si="8"/>
        <v>40630.684940056904</v>
      </c>
      <c r="I30" s="23">
        <f t="shared" si="8"/>
        <v>40094.361165927839</v>
      </c>
      <c r="J30" s="23">
        <f t="shared" si="8"/>
        <v>39452.143019752955</v>
      </c>
      <c r="K30" s="24">
        <f t="shared" si="8"/>
        <v>38697.368777194206</v>
      </c>
      <c r="M30" s="2918"/>
      <c r="N30" s="2919"/>
    </row>
    <row r="31" spans="1:14" ht="13.15" customHeight="1">
      <c r="A31" s="22" t="str">
        <f>IF('Part III-Sources of Funds'!$E$37 = "Neither", "", "DCR Mortgage A")</f>
        <v>DCR Mortgage A</v>
      </c>
      <c r="B31" s="25">
        <f>IF(B23=0,"",-B22/B23)</f>
        <v>1.4996779046087294</v>
      </c>
      <c r="C31" s="25">
        <f t="shared" ref="C31:K31" si="9">IF(C23=0,"",-C22/C23)</f>
        <v>1.4997834973918787</v>
      </c>
      <c r="D31" s="25">
        <f t="shared" si="9"/>
        <v>1.4989938480003642</v>
      </c>
      <c r="E31" s="25">
        <f t="shared" si="9"/>
        <v>1.4972677152356089</v>
      </c>
      <c r="F31" s="25">
        <f t="shared" si="9"/>
        <v>1.4945510878794432</v>
      </c>
      <c r="G31" s="25">
        <f t="shared" si="9"/>
        <v>1.490799404203681</v>
      </c>
      <c r="H31" s="25">
        <f t="shared" si="9"/>
        <v>1.4859663550810576</v>
      </c>
      <c r="I31" s="25">
        <f t="shared" si="9"/>
        <v>1.4799926851738603</v>
      </c>
      <c r="J31" s="25">
        <f t="shared" si="9"/>
        <v>1.4728395448531824</v>
      </c>
      <c r="K31" s="26">
        <f t="shared" si="9"/>
        <v>1.4644327346445121</v>
      </c>
      <c r="M31" s="2918"/>
      <c r="N31" s="2919"/>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18"/>
      <c r="N32" s="2919"/>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18"/>
      <c r="N33" s="2919"/>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18"/>
      <c r="N34" s="2919"/>
    </row>
    <row r="35" spans="1:14" ht="13.15" customHeight="1">
      <c r="A35" s="467" t="s">
        <v>4190</v>
      </c>
      <c r="B35" s="25">
        <f>IF(AND(B23=0,B24=0,B25=0,B26=0),"",-B22/(B23+B24+B25+B26))</f>
        <v>1.4996779046087294</v>
      </c>
      <c r="C35" s="25">
        <f t="shared" ref="C35:K35" si="13">IF(AND(C23=0,C24=0,C25=0,C26=0),"",-C22/(C23+C24+C25+C26))</f>
        <v>1.4997834973918787</v>
      </c>
      <c r="D35" s="25">
        <f t="shared" si="13"/>
        <v>1.4989938480003642</v>
      </c>
      <c r="E35" s="25">
        <f t="shared" si="13"/>
        <v>1.4972677152356089</v>
      </c>
      <c r="F35" s="25">
        <f t="shared" si="13"/>
        <v>1.4945510878794432</v>
      </c>
      <c r="G35" s="25">
        <f t="shared" si="13"/>
        <v>1.490799404203681</v>
      </c>
      <c r="H35" s="25">
        <f t="shared" si="13"/>
        <v>1.4859663550810576</v>
      </c>
      <c r="I35" s="25">
        <f t="shared" si="13"/>
        <v>1.4799926851738603</v>
      </c>
      <c r="J35" s="25">
        <f t="shared" si="13"/>
        <v>1.4728395448531824</v>
      </c>
      <c r="K35" s="26">
        <f t="shared" si="13"/>
        <v>1.4644327346445121</v>
      </c>
      <c r="M35" s="2918"/>
      <c r="N35" s="2919"/>
    </row>
    <row r="36" spans="1:14" ht="13.15" customHeight="1">
      <c r="A36" s="22" t="s">
        <v>801</v>
      </c>
      <c r="B36" s="293">
        <f>IF(OR(B20="Choose mgt fee",B20="Choose One!"),"",(B14+B15+B16+B17+B18) / -(B19+B20+B21))</f>
        <v>1.4368562008247652</v>
      </c>
      <c r="C36" s="293">
        <f t="shared" ref="C36:K36" si="14">IF(OR(C20="Choose mgt fee",C20="Choose One!"),"",(C14+C15+C16+C17+C18) / -(C19+C20+C21))</f>
        <v>1.4246954961474381</v>
      </c>
      <c r="D36" s="293">
        <f t="shared" si="14"/>
        <v>1.4126223998552119</v>
      </c>
      <c r="E36" s="293">
        <f t="shared" si="14"/>
        <v>1.4006378910750048</v>
      </c>
      <c r="F36" s="293">
        <f t="shared" si="14"/>
        <v>1.3887387538024192</v>
      </c>
      <c r="G36" s="293">
        <f t="shared" si="14"/>
        <v>1.3769260738299032</v>
      </c>
      <c r="H36" s="293">
        <f t="shared" si="14"/>
        <v>1.3652007595787832</v>
      </c>
      <c r="I36" s="293">
        <f t="shared" si="14"/>
        <v>1.3535599539791974</v>
      </c>
      <c r="J36" s="293">
        <f t="shared" si="14"/>
        <v>1.3420081132244461</v>
      </c>
      <c r="K36" s="294">
        <f t="shared" si="14"/>
        <v>1.3305389872864324</v>
      </c>
      <c r="M36" s="2918"/>
      <c r="N36" s="2919"/>
    </row>
    <row r="37" spans="1:14" ht="13.15" customHeight="1">
      <c r="A37" s="467" t="s">
        <v>2705</v>
      </c>
      <c r="B37" s="3063">
        <f>IF('Part III-Sources of Funds'!$I$37="","",-FV('Part III-Sources of Funds'!$K$37/12,12,B23/12,'Part III-Sources of Funds'!$I$37))</f>
        <v>1172463.5156049128</v>
      </c>
      <c r="C37" s="3063">
        <f>IF('Part III-Sources of Funds'!$I$37="","",-FV('Part III-Sources of Funds'!$K$37/12,12,C23/12,B37))</f>
        <v>1094048.1081701349</v>
      </c>
      <c r="D37" s="3063">
        <f>IF('Part III-Sources of Funds'!$I$37="","",-FV('Part III-Sources of Funds'!$K$37/12,12,D23/12,C37))</f>
        <v>1014844.942619315</v>
      </c>
      <c r="E37" s="3063">
        <f>IF('Part III-Sources of Funds'!$I$37="","",-FV('Part III-Sources of Funds'!$K$37/12,12,E23/12,D37))</f>
        <v>934846.10516523069</v>
      </c>
      <c r="F37" s="3063">
        <f>IF('Part III-Sources of Funds'!$I$37="","",-FV('Part III-Sources of Funds'!$K$37/12,12,F23/12,E37))</f>
        <v>854043.60251906281</v>
      </c>
      <c r="G37" s="3063">
        <f>IF('Part III-Sources of Funds'!$I$37="","",-FV('Part III-Sources of Funds'!$K$37/12,12,G23/12,F37))</f>
        <v>772429.36109172518</v>
      </c>
      <c r="H37" s="3063">
        <f>IF('Part III-Sources of Funds'!$I$37="","",-FV('Part III-Sources of Funds'!$K$37/12,12,H23/12,G37))</f>
        <v>689995.22618717165</v>
      </c>
      <c r="I37" s="3063">
        <f>IF('Part III-Sources of Funds'!$I$37="","",-FV('Part III-Sources of Funds'!$K$37/12,12,I23/12,H37))</f>
        <v>606732.96118759841</v>
      </c>
      <c r="J37" s="3063">
        <f>IF('Part III-Sources of Funds'!$I$37="","",-FV('Part III-Sources of Funds'!$K$37/12,12,J23/12,I37))</f>
        <v>522634.24673046137</v>
      </c>
      <c r="K37" s="3063">
        <f>IF('Part III-Sources of Funds'!$I$37="","",-FV('Part III-Sources of Funds'!$K$37/12,12,K23/12,J37))</f>
        <v>437690.67987722578</v>
      </c>
      <c r="M37" s="2918"/>
      <c r="N37" s="2919"/>
    </row>
    <row r="38" spans="1:14" ht="13.15" customHeight="1">
      <c r="A38" s="467" t="s">
        <v>2706</v>
      </c>
      <c r="B38" s="3060" t="str">
        <f>IF('Part III-Sources of Funds'!$I$38="","",-FV('Part III-Sources of Funds'!$K$38/12,12,B24/12,'Part III-Sources of Funds'!$I$38))</f>
        <v/>
      </c>
      <c r="C38" s="3060" t="str">
        <f>IF('Part III-Sources of Funds'!$I$38="","",-FV('Part III-Sources of Funds'!$K$38/12,12,C24/12,B38))</f>
        <v/>
      </c>
      <c r="D38" s="3060" t="str">
        <f>IF('Part III-Sources of Funds'!$I$38="","",-FV('Part III-Sources of Funds'!$K$38/12,12,D24/12,C38))</f>
        <v/>
      </c>
      <c r="E38" s="3060" t="str">
        <f>IF('Part III-Sources of Funds'!$I$38="","",-FV('Part III-Sources of Funds'!$K$38/12,12,E24/12,D38))</f>
        <v/>
      </c>
      <c r="F38" s="3060" t="str">
        <f>IF('Part III-Sources of Funds'!$I$38="","",-FV('Part III-Sources of Funds'!$K$38/12,12,F24/12,E38))</f>
        <v/>
      </c>
      <c r="G38" s="3060" t="str">
        <f>IF('Part III-Sources of Funds'!$I$38="","",-FV('Part III-Sources of Funds'!$K$38/12,12,G24/12,F38))</f>
        <v/>
      </c>
      <c r="H38" s="3060" t="str">
        <f>IF('Part III-Sources of Funds'!$I$38="","",-FV('Part III-Sources of Funds'!$K$38/12,12,H24/12,G38))</f>
        <v/>
      </c>
      <c r="I38" s="3060" t="str">
        <f>IF('Part III-Sources of Funds'!$I$38="","",-FV('Part III-Sources of Funds'!$K$38/12,12,I24/12,H38))</f>
        <v/>
      </c>
      <c r="J38" s="3060" t="str">
        <f>IF('Part III-Sources of Funds'!$I$38="","",-FV('Part III-Sources of Funds'!$K$38/12,12,J24/12,I38))</f>
        <v/>
      </c>
      <c r="K38" s="3060" t="str">
        <f>IF('Part III-Sources of Funds'!$I$38="","",-FV('Part III-Sources of Funds'!$K$38/12,12,K24/12,J38))</f>
        <v/>
      </c>
      <c r="M38" s="2918"/>
      <c r="N38" s="2919"/>
    </row>
    <row r="39" spans="1:14" ht="13.15" customHeight="1">
      <c r="A39" s="467" t="s">
        <v>2707</v>
      </c>
      <c r="B39" s="3060" t="str">
        <f>IF('Part III-Sources of Funds'!$I$39="","",-FV('Part III-Sources of Funds'!$K$39/12,12,B25/12,'Part III-Sources of Funds'!$I$39))</f>
        <v/>
      </c>
      <c r="C39" s="3060" t="str">
        <f>IF('Part III-Sources of Funds'!$I$39="","",-FV('Part III-Sources of Funds'!$K$39/12,12,C25/12,B39))</f>
        <v/>
      </c>
      <c r="D39" s="3060" t="str">
        <f>IF('Part III-Sources of Funds'!$I$39="","",-FV('Part III-Sources of Funds'!$K$39/12,12,D25/12,C39))</f>
        <v/>
      </c>
      <c r="E39" s="3060" t="str">
        <f>IF('Part III-Sources of Funds'!$I$39="","",-FV('Part III-Sources of Funds'!$K$39/12,12,E25/12,D39))</f>
        <v/>
      </c>
      <c r="F39" s="3060" t="str">
        <f>IF('Part III-Sources of Funds'!$I$39="","",-FV('Part III-Sources of Funds'!$K$39/12,12,F25/12,E39))</f>
        <v/>
      </c>
      <c r="G39" s="3060" t="str">
        <f>IF('Part III-Sources of Funds'!$I$39="","",-FV('Part III-Sources of Funds'!$K$39/12,12,G25/12,F39))</f>
        <v/>
      </c>
      <c r="H39" s="3060" t="str">
        <f>IF('Part III-Sources of Funds'!$I$39="","",-FV('Part III-Sources of Funds'!$K$39/12,12,H25/12,G39))</f>
        <v/>
      </c>
      <c r="I39" s="3060" t="str">
        <f>IF('Part III-Sources of Funds'!$I$39="","",-FV('Part III-Sources of Funds'!$K$39/12,12,I25/12,H39))</f>
        <v/>
      </c>
      <c r="J39" s="3060" t="str">
        <f>IF('Part III-Sources of Funds'!$I$39="","",-FV('Part III-Sources of Funds'!$K$39/12,12,J25/12,I39))</f>
        <v/>
      </c>
      <c r="K39" s="3060" t="str">
        <f>IF('Part III-Sources of Funds'!$I$39="","",-FV('Part III-Sources of Funds'!$K$39/12,12,K25/12,J39))</f>
        <v/>
      </c>
      <c r="M39" s="2918"/>
      <c r="N39" s="2919"/>
    </row>
    <row r="40" spans="1:14" ht="13.15" customHeight="1">
      <c r="A40" s="22" t="s">
        <v>816</v>
      </c>
      <c r="B40" s="3060" t="str">
        <f>IF('Part III-Sources of Funds'!$I$40="","",-FV('Part III-Sources of Funds'!$K$40/12,12,B24/12,'Part III-Sources of Funds'!$I$40))</f>
        <v/>
      </c>
      <c r="C40" s="3060" t="str">
        <f>IF('Part III-Sources of Funds'!$I$40="","",-FV('Part III-Sources of Funds'!$K$40/12,12,C26/12,B40))</f>
        <v/>
      </c>
      <c r="D40" s="3060" t="str">
        <f>IF('Part III-Sources of Funds'!$I$40="","",-FV('Part III-Sources of Funds'!$K$40/12,12,D26/12,C40))</f>
        <v/>
      </c>
      <c r="E40" s="3060" t="str">
        <f>IF('Part III-Sources of Funds'!$I$40="","",-FV('Part III-Sources of Funds'!$K$40/12,12,E26/12,D40))</f>
        <v/>
      </c>
      <c r="F40" s="3060" t="str">
        <f>IF('Part III-Sources of Funds'!$I$40="","",-FV('Part III-Sources of Funds'!$K$40/12,12,F26/12,E40))</f>
        <v/>
      </c>
      <c r="G40" s="3060" t="str">
        <f>IF('Part III-Sources of Funds'!$I$40="","",-FV('Part III-Sources of Funds'!$K$40/12,12,G26/12,F40))</f>
        <v/>
      </c>
      <c r="H40" s="3060" t="str">
        <f>IF('Part III-Sources of Funds'!$I$40="","",-FV('Part III-Sources of Funds'!$K$40/12,12,H26/12,G40))</f>
        <v/>
      </c>
      <c r="I40" s="3060" t="str">
        <f>IF('Part III-Sources of Funds'!$I$40="","",-FV('Part III-Sources of Funds'!$K$40/12,12,I26/12,H40))</f>
        <v/>
      </c>
      <c r="J40" s="3060" t="str">
        <f>IF('Part III-Sources of Funds'!$I$40="","",-FV('Part III-Sources of Funds'!$K$40/12,12,J26/12,I40))</f>
        <v/>
      </c>
      <c r="K40" s="3060" t="str">
        <f>IF('Part III-Sources of Funds'!$I$40="","",-FV('Part III-Sources of Funds'!$K$40/12,12,K26/12,J40))</f>
        <v/>
      </c>
      <c r="M40" s="2918"/>
      <c r="N40" s="2919"/>
    </row>
    <row r="41" spans="1:14" ht="13.15" customHeight="1">
      <c r="A41" s="27" t="s">
        <v>1284</v>
      </c>
      <c r="B41" s="3062" t="str">
        <f>IF('Part III-Sources of Funds'!$I$42="","",-FV('Part III-Sources of Funds'!$K$42/12,12,B29/12,'Part III-Sources of Funds'!$I$42))</f>
        <v/>
      </c>
      <c r="C41" s="3062" t="str">
        <f>IF('Part III-Sources of Funds'!$I$42="","",-FV('Part III-Sources of Funds'!$K$42/12,12,C29/12,B41))</f>
        <v/>
      </c>
      <c r="D41" s="3062" t="str">
        <f>IF('Part III-Sources of Funds'!$I$42="","",-FV('Part III-Sources of Funds'!$K$42/12,12,D29/12,C41))</f>
        <v/>
      </c>
      <c r="E41" s="3062" t="str">
        <f>IF('Part III-Sources of Funds'!$I$42="","",-FV('Part III-Sources of Funds'!$K$42/12,12,E29/12,D41))</f>
        <v/>
      </c>
      <c r="F41" s="3062" t="str">
        <f>IF('Part III-Sources of Funds'!$I$42="","",-FV('Part III-Sources of Funds'!$K$42/12,12,F29/12,E41))</f>
        <v/>
      </c>
      <c r="G41" s="3062" t="str">
        <f>IF('Part III-Sources of Funds'!$I$42="","",-FV('Part III-Sources of Funds'!$K$42/12,12,G29/12,F41))</f>
        <v/>
      </c>
      <c r="H41" s="3062" t="str">
        <f>IF('Part III-Sources of Funds'!$I$42="","",-FV('Part III-Sources of Funds'!$K$42/12,12,H29/12,G41))</f>
        <v/>
      </c>
      <c r="I41" s="3062" t="str">
        <f>IF('Part III-Sources of Funds'!$I$42="","",-FV('Part III-Sources of Funds'!$K$42/12,12,I29/12,H41))</f>
        <v/>
      </c>
      <c r="J41" s="3062" t="str">
        <f>IF('Part III-Sources of Funds'!$I$42="","",-FV('Part III-Sources of Funds'!$K$42/12,12,J29/12,I41))</f>
        <v/>
      </c>
      <c r="K41" s="3062" t="str">
        <f>IF('Part III-Sources of Funds'!$I$42="","",-FV('Part III-Sources of Funds'!$K$42/12,12,K29/12,J41))</f>
        <v/>
      </c>
      <c r="M41" s="2921"/>
      <c r="N41" s="2922"/>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0" t="s">
        <v>2710</v>
      </c>
      <c r="N43" s="1520"/>
    </row>
    <row r="44" spans="1:14" ht="13.15" customHeight="1">
      <c r="A44" s="19" t="s">
        <v>2489</v>
      </c>
      <c r="B44" s="20">
        <f t="shared" ref="B44:K44" si="16">$B$14*(1+$B$5)^(B43-1)</f>
        <v>569085.10698571231</v>
      </c>
      <c r="C44" s="20">
        <f t="shared" si="16"/>
        <v>580466.80912542646</v>
      </c>
      <c r="D44" s="20">
        <f t="shared" si="16"/>
        <v>592076.14530793508</v>
      </c>
      <c r="E44" s="20">
        <f t="shared" si="16"/>
        <v>603917.66821409378</v>
      </c>
      <c r="F44" s="20">
        <f t="shared" si="16"/>
        <v>615996.02157837572</v>
      </c>
      <c r="G44" s="20">
        <f t="shared" si="16"/>
        <v>628315.94200994307</v>
      </c>
      <c r="H44" s="20">
        <f t="shared" si="16"/>
        <v>640882.26085014211</v>
      </c>
      <c r="I44" s="20">
        <f t="shared" si="16"/>
        <v>653699.90606714494</v>
      </c>
      <c r="J44" s="20">
        <f t="shared" si="16"/>
        <v>666773.9041884878</v>
      </c>
      <c r="K44" s="21">
        <f t="shared" si="16"/>
        <v>680109.38227225747</v>
      </c>
      <c r="M44" s="2916"/>
      <c r="N44" s="2917"/>
    </row>
    <row r="45" spans="1:14" ht="13.15" customHeight="1">
      <c r="A45" s="22" t="s">
        <v>1053</v>
      </c>
      <c r="B45" s="23">
        <f t="shared" ref="B45:K45" si="17">$B$15*(1+$B$5)^(B43-1)</f>
        <v>11381.702139714249</v>
      </c>
      <c r="C45" s="23">
        <f t="shared" si="17"/>
        <v>11609.336182508532</v>
      </c>
      <c r="D45" s="23">
        <f t="shared" si="17"/>
        <v>11841.522906158703</v>
      </c>
      <c r="E45" s="23">
        <f t="shared" si="17"/>
        <v>12078.353364281877</v>
      </c>
      <c r="F45" s="23">
        <f t="shared" si="17"/>
        <v>12319.920431567516</v>
      </c>
      <c r="G45" s="23">
        <f t="shared" si="17"/>
        <v>12566.318840198863</v>
      </c>
      <c r="H45" s="23">
        <f t="shared" si="17"/>
        <v>12817.645217002842</v>
      </c>
      <c r="I45" s="23">
        <f t="shared" si="17"/>
        <v>13073.9981213429</v>
      </c>
      <c r="J45" s="23">
        <f t="shared" si="17"/>
        <v>13335.478083769756</v>
      </c>
      <c r="K45" s="24">
        <f t="shared" si="17"/>
        <v>13602.187645445152</v>
      </c>
      <c r="M45" s="2918"/>
      <c r="N45" s="2919"/>
    </row>
    <row r="46" spans="1:14" ht="13.15" customHeight="1">
      <c r="A46" s="22" t="s">
        <v>2490</v>
      </c>
      <c r="B46" s="23">
        <f t="shared" ref="B46:K46" si="18">-(B44+B45)*$B$8</f>
        <v>-40632.676638779863</v>
      </c>
      <c r="C46" s="23">
        <f t="shared" si="18"/>
        <v>-41445.330171555448</v>
      </c>
      <c r="D46" s="23">
        <f t="shared" si="18"/>
        <v>-42274.236774986566</v>
      </c>
      <c r="E46" s="23">
        <f t="shared" si="18"/>
        <v>-43119.721510486299</v>
      </c>
      <c r="F46" s="23">
        <f t="shared" si="18"/>
        <v>-43982.115940696029</v>
      </c>
      <c r="G46" s="23">
        <f t="shared" si="18"/>
        <v>-44861.758259509945</v>
      </c>
      <c r="H46" s="23">
        <f t="shared" si="18"/>
        <v>-45758.993424700151</v>
      </c>
      <c r="I46" s="23">
        <f t="shared" si="18"/>
        <v>-46674.173293194151</v>
      </c>
      <c r="J46" s="23">
        <f t="shared" si="18"/>
        <v>-47607.656759058038</v>
      </c>
      <c r="K46" s="24">
        <f t="shared" si="18"/>
        <v>-48559.809894239188</v>
      </c>
      <c r="M46" s="2918"/>
      <c r="N46" s="2919"/>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18"/>
      <c r="N47" s="291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18"/>
      <c r="N48" s="2919"/>
    </row>
    <row r="49" spans="1:14" ht="13.15" customHeight="1">
      <c r="A49" s="22" t="s">
        <v>638</v>
      </c>
      <c r="B49" s="23">
        <f t="shared" ref="B49:K49" si="19">$B$19*(1+$B$6)^(B43-1)</f>
        <v>-336452.15340155957</v>
      </c>
      <c r="C49" s="23">
        <f t="shared" si="19"/>
        <v>-346545.71800360637</v>
      </c>
      <c r="D49" s="23">
        <f t="shared" si="19"/>
        <v>-356942.08954371454</v>
      </c>
      <c r="E49" s="23">
        <f t="shared" si="19"/>
        <v>-367650.35223002592</v>
      </c>
      <c r="F49" s="23">
        <f t="shared" si="19"/>
        <v>-378679.86279692675</v>
      </c>
      <c r="G49" s="23">
        <f t="shared" si="19"/>
        <v>-390040.25868083455</v>
      </c>
      <c r="H49" s="23">
        <f t="shared" si="19"/>
        <v>-401741.46644125954</v>
      </c>
      <c r="I49" s="23">
        <f t="shared" si="19"/>
        <v>-413793.71043449733</v>
      </c>
      <c r="J49" s="23">
        <f t="shared" si="19"/>
        <v>-426207.52174753224</v>
      </c>
      <c r="K49" s="24">
        <f t="shared" si="19"/>
        <v>-438993.7473999582</v>
      </c>
      <c r="M49" s="2918"/>
      <c r="N49" s="2919"/>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-48585</v>
      </c>
      <c r="C50" s="23">
        <f>IF(AND('Part VII-Pro Forma'!$G$8="Yes",'Part VII-Pro Forma'!$G$9="Yes"),"Choose One!",IF('Part VII-Pro Forma'!$G$8="Yes",ROUND((-$K$8*(1+'Part VII-Pro Forma'!$B$6)^('Part VII-Pro Forma'!C43-1)),),IF('Part VII-Pro Forma'!$G$9="Yes",ROUND((-(SUM(C44:C47)*'Part VII-Pro Forma'!$K$9)),),"Choose mgt fee")))</f>
        <v>-49557</v>
      </c>
      <c r="D50" s="23">
        <f>IF(AND('Part VII-Pro Forma'!$G$8="Yes",'Part VII-Pro Forma'!$G$9="Yes"),"Choose One!",IF('Part VII-Pro Forma'!$G$8="Yes",ROUND((-$K$8*(1+'Part VII-Pro Forma'!$B$6)^('Part VII-Pro Forma'!D43-1)),),IF('Part VII-Pro Forma'!$G$9="Yes",ROUND((-(SUM(D44:D47)*'Part VII-Pro Forma'!$K$9)),),"Choose mgt fee")))</f>
        <v>-50548</v>
      </c>
      <c r="E50" s="23">
        <f>IF(AND('Part VII-Pro Forma'!$G$8="Yes",'Part VII-Pro Forma'!$G$9="Yes"),"Choose One!",IF('Part VII-Pro Forma'!$G$8="Yes",ROUND((-$K$8*(1+'Part VII-Pro Forma'!$B$6)^('Part VII-Pro Forma'!E43-1)),),IF('Part VII-Pro Forma'!$G$9="Yes",ROUND((-(SUM(E44:E47)*'Part VII-Pro Forma'!$K$9)),),"Choose mgt fee")))</f>
        <v>-51559</v>
      </c>
      <c r="F50" s="23">
        <f>IF(AND('Part VII-Pro Forma'!$G$8="Yes",'Part VII-Pro Forma'!$G$9="Yes"),"Choose One!",IF('Part VII-Pro Forma'!$G$8="Yes",ROUND((-$K$8*(1+'Part VII-Pro Forma'!$B$6)^('Part VII-Pro Forma'!F43-1)),),IF('Part VII-Pro Forma'!$G$9="Yes",ROUND((-(SUM(F44:F47)*'Part VII-Pro Forma'!$K$9)),),"Choose mgt fee")))</f>
        <v>-52590</v>
      </c>
      <c r="G50" s="23">
        <f>IF(AND('Part VII-Pro Forma'!$G$8="Yes",'Part VII-Pro Forma'!$G$9="Yes"),"Choose One!",IF('Part VII-Pro Forma'!$G$8="Yes",ROUND((-$K$8*(1+'Part VII-Pro Forma'!$B$6)^('Part VII-Pro Forma'!G43-1)),),IF('Part VII-Pro Forma'!$G$9="Yes",ROUND((-(SUM(G44:G47)*'Part VII-Pro Forma'!$K$9)),),"Choose mgt fee")))</f>
        <v>-53642</v>
      </c>
      <c r="H50" s="23">
        <f>IF(AND('Part VII-Pro Forma'!$G$8="Yes",'Part VII-Pro Forma'!$G$9="Yes"),"Choose One!",IF('Part VII-Pro Forma'!$G$8="Yes",ROUND((-$K$8*(1+'Part VII-Pro Forma'!$B$6)^('Part VII-Pro Forma'!H43-1)),),IF('Part VII-Pro Forma'!$G$9="Yes",ROUND((-(SUM(H44:H47)*'Part VII-Pro Forma'!$K$9)),),"Choose mgt fee")))</f>
        <v>-54715</v>
      </c>
      <c r="I50" s="23">
        <f>IF(AND('Part VII-Pro Forma'!$G$8="Yes",'Part VII-Pro Forma'!$G$9="Yes"),"Choose One!",IF('Part VII-Pro Forma'!$G$8="Yes",ROUND((-$K$8*(1+'Part VII-Pro Forma'!$B$6)^('Part VII-Pro Forma'!I43-1)),),IF('Part VII-Pro Forma'!$G$9="Yes",ROUND((-(SUM(I44:I47)*'Part VII-Pro Forma'!$K$9)),),"Choose mgt fee")))</f>
        <v>-55809</v>
      </c>
      <c r="J50" s="23">
        <f>IF(AND('Part VII-Pro Forma'!$G$8="Yes",'Part VII-Pro Forma'!$G$9="Yes"),"Choose One!",IF('Part VII-Pro Forma'!$G$8="Yes",ROUND((-$K$8*(1+'Part VII-Pro Forma'!$B$6)^('Part VII-Pro Forma'!J43-1)),),IF('Part VII-Pro Forma'!$G$9="Yes",ROUND((-(SUM(J44:J47)*'Part VII-Pro Forma'!$K$9)),),"Choose mgt fee")))</f>
        <v>-56925</v>
      </c>
      <c r="K50" s="23">
        <f>IF(AND('Part VII-Pro Forma'!$G$8="Yes",'Part VII-Pro Forma'!$G$9="Yes"),"Choose One!",IF('Part VII-Pro Forma'!$G$8="Yes",ROUND((-$K$8*(1+'Part VII-Pro Forma'!$B$6)^('Part VII-Pro Forma'!K43-1)),),IF('Part VII-Pro Forma'!$G$9="Yes",ROUND((-(SUM(K44:K47)*'Part VII-Pro Forma'!$K$9)),),"Choose mgt fee")))</f>
        <v>-58064</v>
      </c>
      <c r="M50" s="2918"/>
      <c r="N50" s="2919"/>
    </row>
    <row r="51" spans="1:14" ht="13.15" customHeight="1">
      <c r="A51" s="22" t="s">
        <v>1247</v>
      </c>
      <c r="B51" s="23">
        <f t="shared" ref="B51:K51" si="20">$B$21*(1+$B$7)^(B43-1)</f>
        <v>-24190.494828194191</v>
      </c>
      <c r="C51" s="23">
        <f t="shared" si="20"/>
        <v>-24916.209673040019</v>
      </c>
      <c r="D51" s="23">
        <f t="shared" si="20"/>
        <v>-25663.695963231214</v>
      </c>
      <c r="E51" s="23">
        <f t="shared" si="20"/>
        <v>-26433.606842128149</v>
      </c>
      <c r="F51" s="23">
        <f t="shared" si="20"/>
        <v>-27226.615047391999</v>
      </c>
      <c r="G51" s="23">
        <f t="shared" si="20"/>
        <v>-28043.413498813759</v>
      </c>
      <c r="H51" s="23">
        <f t="shared" si="20"/>
        <v>-28884.715903778168</v>
      </c>
      <c r="I51" s="23">
        <f t="shared" si="20"/>
        <v>-29751.257380891511</v>
      </c>
      <c r="J51" s="23">
        <f t="shared" si="20"/>
        <v>-30643.795102318258</v>
      </c>
      <c r="K51" s="24">
        <f t="shared" si="20"/>
        <v>-31563.108955387805</v>
      </c>
      <c r="M51" s="2918"/>
      <c r="N51" s="2919"/>
    </row>
    <row r="52" spans="1:14" ht="13.15" customHeight="1">
      <c r="A52" s="22" t="s">
        <v>1248</v>
      </c>
      <c r="B52" s="23">
        <f t="shared" ref="B52:K52" si="21">SUM(B44:B51)</f>
        <v>130606.484256893</v>
      </c>
      <c r="C52" s="23">
        <f t="shared" si="21"/>
        <v>129611.88745973317</v>
      </c>
      <c r="D52" s="23">
        <f t="shared" si="21"/>
        <v>128489.64593216142</v>
      </c>
      <c r="E52" s="23">
        <f t="shared" si="21"/>
        <v>127233.3409957352</v>
      </c>
      <c r="F52" s="23">
        <f t="shared" si="21"/>
        <v>125837.34822492846</v>
      </c>
      <c r="G52" s="23">
        <f t="shared" si="21"/>
        <v>124294.83041098376</v>
      </c>
      <c r="H52" s="23">
        <f t="shared" si="21"/>
        <v>122599.73029740712</v>
      </c>
      <c r="I52" s="23">
        <f t="shared" si="21"/>
        <v>120745.76307990481</v>
      </c>
      <c r="J52" s="23">
        <f t="shared" si="21"/>
        <v>118725.40866334908</v>
      </c>
      <c r="K52" s="24">
        <f t="shared" si="21"/>
        <v>116530.90366811739</v>
      </c>
      <c r="M52" s="2918"/>
      <c r="N52" s="2919"/>
    </row>
    <row r="53" spans="1:14" ht="13.15" customHeight="1">
      <c r="A53" s="22" t="str">
        <f>$A23</f>
        <v>Mortgage A</v>
      </c>
      <c r="B53" s="3059">
        <f>IF('Part III-Sources of Funds'!$N$37="", 0,-'Part III-Sources of Funds'!$N$37)</f>
        <v>-89781.287292572873</v>
      </c>
      <c r="C53" s="3059">
        <f>IF('Part III-Sources of Funds'!$N$37="", 0,-'Part III-Sources of Funds'!$N$37)</f>
        <v>-89781.287292572873</v>
      </c>
      <c r="D53" s="3059">
        <f>IF('Part III-Sources of Funds'!$N$37="", 0,-'Part III-Sources of Funds'!$N$37)</f>
        <v>-89781.287292572873</v>
      </c>
      <c r="E53" s="3059">
        <f>IF('Part III-Sources of Funds'!$N$37="", 0,-'Part III-Sources of Funds'!$N$37)</f>
        <v>-89781.287292572873</v>
      </c>
      <c r="F53" s="3059">
        <f>IF('Part III-Sources of Funds'!$N$37="", 0,-'Part III-Sources of Funds'!$N$37)</f>
        <v>-89781.287292572873</v>
      </c>
      <c r="G53" s="3059">
        <f>IF('Part III-Sources of Funds'!$N$37="", 0,-'Part III-Sources of Funds'!$N$37)*0</f>
        <v>0</v>
      </c>
      <c r="H53" s="3059">
        <f>IF('Part III-Sources of Funds'!$N$37="", 0,-'Part III-Sources of Funds'!$N$37)*0</f>
        <v>0</v>
      </c>
      <c r="I53" s="3059">
        <f>IF('Part III-Sources of Funds'!$N$37="", 0,-'Part III-Sources of Funds'!$N$37)*0</f>
        <v>0</v>
      </c>
      <c r="J53" s="3059">
        <f>IF('Part III-Sources of Funds'!$N$37="", 0,-'Part III-Sources of Funds'!$N$37)*0</f>
        <v>0</v>
      </c>
      <c r="K53" s="3059">
        <f>IF('Part III-Sources of Funds'!$N$37="", 0,-'Part III-Sources of Funds'!$N$37)*0</f>
        <v>0</v>
      </c>
      <c r="M53" s="2918"/>
      <c r="N53" s="2919"/>
    </row>
    <row r="54" spans="1:14" ht="13.15" customHeight="1">
      <c r="A54" s="22" t="str">
        <f>$A24</f>
        <v>Mortgage B</v>
      </c>
      <c r="B54" s="3060">
        <f>IF('Part III-Sources of Funds'!$N$38="", 0,-'Part III-Sources of Funds'!$N$38)</f>
        <v>0</v>
      </c>
      <c r="C54" s="3060">
        <f>IF('Part III-Sources of Funds'!$N$38="", 0,-'Part III-Sources of Funds'!$N$38)</f>
        <v>0</v>
      </c>
      <c r="D54" s="3060">
        <f>IF('Part III-Sources of Funds'!$N$38="", 0,-'Part III-Sources of Funds'!$N$38)</f>
        <v>0</v>
      </c>
      <c r="E54" s="3060">
        <f>IF('Part III-Sources of Funds'!$N$38="", 0,-'Part III-Sources of Funds'!$N$38)</f>
        <v>0</v>
      </c>
      <c r="F54" s="3060">
        <f>IF('Part III-Sources of Funds'!$N$38="", 0,-'Part III-Sources of Funds'!$N$38)</f>
        <v>0</v>
      </c>
      <c r="G54" s="3060">
        <f>IF('Part III-Sources of Funds'!$N$38="", 0,-'Part III-Sources of Funds'!$N$38)</f>
        <v>0</v>
      </c>
      <c r="H54" s="3060">
        <f>IF('Part III-Sources of Funds'!$N$38="", 0,-'Part III-Sources of Funds'!$N$38)</f>
        <v>0</v>
      </c>
      <c r="I54" s="3060">
        <f>IF('Part III-Sources of Funds'!$N$38="", 0,-'Part III-Sources of Funds'!$N$38)</f>
        <v>0</v>
      </c>
      <c r="J54" s="3060">
        <f>IF('Part III-Sources of Funds'!$N$38="", 0,-'Part III-Sources of Funds'!$N$38)</f>
        <v>0</v>
      </c>
      <c r="K54" s="3060">
        <f>IF('Part III-Sources of Funds'!$N$38="", 0,-'Part III-Sources of Funds'!$N$38)</f>
        <v>0</v>
      </c>
      <c r="M54" s="2918"/>
      <c r="N54" s="2919"/>
    </row>
    <row r="55" spans="1:14" ht="13.15" customHeight="1">
      <c r="A55" s="22" t="str">
        <f>$A25</f>
        <v>Mortgage C</v>
      </c>
      <c r="B55" s="3060">
        <f>IF('Part III-Sources of Funds'!$N$39="", 0,-'Part III-Sources of Funds'!$N$39)</f>
        <v>0</v>
      </c>
      <c r="C55" s="3060">
        <f>IF('Part III-Sources of Funds'!$N$39="", 0,-'Part III-Sources of Funds'!$N$39)</f>
        <v>0</v>
      </c>
      <c r="D55" s="3060">
        <f>IF('Part III-Sources of Funds'!$N$39="", 0,-'Part III-Sources of Funds'!$N$39)</f>
        <v>0</v>
      </c>
      <c r="E55" s="3060">
        <f>IF('Part III-Sources of Funds'!$N$39="", 0,-'Part III-Sources of Funds'!$N$39)</f>
        <v>0</v>
      </c>
      <c r="F55" s="3060">
        <f>IF('Part III-Sources of Funds'!$N$39="", 0,-'Part III-Sources of Funds'!$N$39)</f>
        <v>0</v>
      </c>
      <c r="G55" s="3060">
        <f>IF('Part III-Sources of Funds'!$N$39="", 0,-'Part III-Sources of Funds'!$N$39)</f>
        <v>0</v>
      </c>
      <c r="H55" s="3060">
        <f>IF('Part III-Sources of Funds'!$N$39="", 0,-'Part III-Sources of Funds'!$N$39)</f>
        <v>0</v>
      </c>
      <c r="I55" s="3060">
        <f>IF('Part III-Sources of Funds'!$N$39="", 0,-'Part III-Sources of Funds'!$N$39)</f>
        <v>0</v>
      </c>
      <c r="J55" s="3060">
        <f>IF('Part III-Sources of Funds'!$N$39="", 0,-'Part III-Sources of Funds'!$N$39)</f>
        <v>0</v>
      </c>
      <c r="K55" s="3060">
        <f>IF('Part III-Sources of Funds'!$N$39="", 0,-'Part III-Sources of Funds'!$N$39)</f>
        <v>0</v>
      </c>
      <c r="M55" s="2918"/>
      <c r="N55" s="2919"/>
    </row>
    <row r="56" spans="1:14" ht="13.15" customHeight="1">
      <c r="A56" s="22" t="str">
        <f>$A26</f>
        <v>D/S Other Source</v>
      </c>
      <c r="B56" s="3060">
        <f>IF('Part III-Sources of Funds'!$N$40="", 0,-'Part III-Sources of Funds'!$N$40)</f>
        <v>0</v>
      </c>
      <c r="C56" s="3060">
        <f>IF('Part III-Sources of Funds'!$N$40="", 0,-'Part III-Sources of Funds'!$N$40)</f>
        <v>0</v>
      </c>
      <c r="D56" s="3060">
        <f>IF('Part III-Sources of Funds'!$N$40="", 0,-'Part III-Sources of Funds'!$N$40)</f>
        <v>0</v>
      </c>
      <c r="E56" s="3060">
        <f>IF('Part III-Sources of Funds'!$N$40="", 0,-'Part III-Sources of Funds'!$N$40)</f>
        <v>0</v>
      </c>
      <c r="F56" s="3060">
        <f>IF('Part III-Sources of Funds'!$N$40="", 0,-'Part III-Sources of Funds'!$N$40)</f>
        <v>0</v>
      </c>
      <c r="G56" s="3060">
        <f>IF('Part III-Sources of Funds'!$N$40="", 0,-'Part III-Sources of Funds'!$N$40)</f>
        <v>0</v>
      </c>
      <c r="H56" s="3060">
        <f>IF('Part III-Sources of Funds'!$N$40="", 0,-'Part III-Sources of Funds'!$N$40)</f>
        <v>0</v>
      </c>
      <c r="I56" s="3060">
        <f>IF('Part III-Sources of Funds'!$N$40="", 0,-'Part III-Sources of Funds'!$N$40)</f>
        <v>0</v>
      </c>
      <c r="J56" s="3060">
        <f>IF('Part III-Sources of Funds'!$N$40="", 0,-'Part III-Sources of Funds'!$N$40)</f>
        <v>0</v>
      </c>
      <c r="K56" s="3060">
        <f>IF('Part III-Sources of Funds'!$N$40="", 0,-'Part III-Sources of Funds'!$N$40)</f>
        <v>0</v>
      </c>
      <c r="M56" s="2918"/>
      <c r="N56" s="2919"/>
    </row>
    <row r="57" spans="1:14" ht="13.15" customHeight="1">
      <c r="A57" s="22" t="s">
        <v>794</v>
      </c>
      <c r="B57" s="3061"/>
      <c r="C57" s="3061"/>
      <c r="D57" s="3061"/>
      <c r="E57" s="3061"/>
      <c r="F57" s="3061"/>
      <c r="G57" s="3061"/>
      <c r="H57" s="3061"/>
      <c r="I57" s="3061"/>
      <c r="J57" s="3061"/>
      <c r="K57" s="3061"/>
      <c r="M57" s="2918"/>
      <c r="N57" s="2919"/>
    </row>
    <row r="58" spans="1:14" ht="13.15" customHeight="1">
      <c r="A58" s="22" t="s">
        <v>1206</v>
      </c>
      <c r="B58" s="3060">
        <f>+K28</f>
        <v>-3000</v>
      </c>
      <c r="C58" s="3060">
        <f t="shared" ref="C58:K58" si="22">+B58</f>
        <v>-3000</v>
      </c>
      <c r="D58" s="3060">
        <f t="shared" si="22"/>
        <v>-3000</v>
      </c>
      <c r="E58" s="3060">
        <f t="shared" si="22"/>
        <v>-3000</v>
      </c>
      <c r="F58" s="3060">
        <f t="shared" si="22"/>
        <v>-3000</v>
      </c>
      <c r="G58" s="3060">
        <f t="shared" si="22"/>
        <v>-3000</v>
      </c>
      <c r="H58" s="3060">
        <f t="shared" si="22"/>
        <v>-3000</v>
      </c>
      <c r="I58" s="3060">
        <f t="shared" si="22"/>
        <v>-3000</v>
      </c>
      <c r="J58" s="3060">
        <f t="shared" si="22"/>
        <v>-3000</v>
      </c>
      <c r="K58" s="3060">
        <f t="shared" si="22"/>
        <v>-3000</v>
      </c>
      <c r="M58" s="2918"/>
      <c r="N58" s="2919"/>
    </row>
    <row r="59" spans="1:14" ht="13.15" customHeight="1">
      <c r="A59" s="22" t="s">
        <v>1249</v>
      </c>
      <c r="B59" s="3062">
        <f>IF('Part III-Sources of Funds'!$N$42="", 0,-'Part III-Sources of Funds'!$N$42)</f>
        <v>0</v>
      </c>
      <c r="C59" s="3062">
        <f>IF('Part III-Sources of Funds'!$N$42="", 0,-'Part III-Sources of Funds'!$N$42)</f>
        <v>0</v>
      </c>
      <c r="D59" s="3062">
        <f>IF('Part III-Sources of Funds'!$N$42="", 0,-'Part III-Sources of Funds'!$N$42)</f>
        <v>0</v>
      </c>
      <c r="E59" s="3062">
        <f>IF('Part III-Sources of Funds'!$N$42="", 0,-'Part III-Sources of Funds'!$N$42)</f>
        <v>0</v>
      </c>
      <c r="F59" s="3062">
        <f>IF('Part III-Sources of Funds'!$N$42="", 0,-'Part III-Sources of Funds'!$N$42)</f>
        <v>0</v>
      </c>
      <c r="G59" s="3062">
        <f>IF('Part III-Sources of Funds'!$N$42="", 0,-'Part III-Sources of Funds'!$N$42)</f>
        <v>0</v>
      </c>
      <c r="H59" s="3062">
        <f>IF('Part III-Sources of Funds'!$N$42="", 0,-'Part III-Sources of Funds'!$N$42)</f>
        <v>0</v>
      </c>
      <c r="I59" s="3062">
        <f>IF('Part III-Sources of Funds'!$N$42="", 0,-'Part III-Sources of Funds'!$N$42)</f>
        <v>0</v>
      </c>
      <c r="J59" s="3062">
        <f>IF('Part III-Sources of Funds'!$N$42="", 0,-'Part III-Sources of Funds'!$N$42)</f>
        <v>0</v>
      </c>
      <c r="K59" s="3060">
        <f>IF('Part III-Sources of Funds'!$N$42="", 0,-'Part III-Sources of Funds'!$N$42)</f>
        <v>0</v>
      </c>
      <c r="M59" s="2918"/>
      <c r="N59" s="2919"/>
    </row>
    <row r="60" spans="1:14" ht="13.15" customHeight="1">
      <c r="A60" s="22" t="s">
        <v>1207</v>
      </c>
      <c r="B60" s="23">
        <f t="shared" ref="B60:K60" si="23">SUM(B52:B59)</f>
        <v>37825.19696432013</v>
      </c>
      <c r="C60" s="23">
        <f t="shared" si="23"/>
        <v>36830.600167160301</v>
      </c>
      <c r="D60" s="23">
        <f t="shared" si="23"/>
        <v>35708.35863958855</v>
      </c>
      <c r="E60" s="23">
        <f t="shared" si="23"/>
        <v>34452.053703162324</v>
      </c>
      <c r="F60" s="23">
        <f t="shared" si="23"/>
        <v>33056.060932355584</v>
      </c>
      <c r="G60" s="23">
        <f t="shared" si="23"/>
        <v>121294.83041098376</v>
      </c>
      <c r="H60" s="23">
        <f t="shared" si="23"/>
        <v>119599.73029740712</v>
      </c>
      <c r="I60" s="23">
        <f t="shared" si="23"/>
        <v>117745.76307990481</v>
      </c>
      <c r="J60" s="23">
        <f t="shared" si="23"/>
        <v>115725.40866334908</v>
      </c>
      <c r="K60" s="21">
        <f t="shared" si="23"/>
        <v>113530.90366811739</v>
      </c>
      <c r="M60" s="2918"/>
      <c r="N60" s="2919"/>
    </row>
    <row r="61" spans="1:14" ht="13.15" customHeight="1">
      <c r="A61" s="22" t="str">
        <f>$A31</f>
        <v>DCR Mortgage A</v>
      </c>
      <c r="B61" s="25">
        <f>IF(B53=0,"",-B52/B53)</f>
        <v>1.4547183293472044</v>
      </c>
      <c r="C61" s="25">
        <f t="shared" ref="C61:K61" si="24">IF(C53=0,"",-C52/C53)</f>
        <v>1.4436403327272773</v>
      </c>
      <c r="D61" s="25">
        <f t="shared" si="24"/>
        <v>1.4311406063208751</v>
      </c>
      <c r="E61" s="25">
        <f t="shared" si="24"/>
        <v>1.4171476577420441</v>
      </c>
      <c r="F61" s="25">
        <f t="shared" si="24"/>
        <v>1.4015988411355549</v>
      </c>
      <c r="G61" s="25" t="str">
        <f t="shared" si="24"/>
        <v/>
      </c>
      <c r="H61" s="25" t="str">
        <f t="shared" si="24"/>
        <v/>
      </c>
      <c r="I61" s="25" t="str">
        <f t="shared" si="24"/>
        <v/>
      </c>
      <c r="J61" s="25" t="str">
        <f t="shared" si="24"/>
        <v/>
      </c>
      <c r="K61" s="26" t="str">
        <f t="shared" si="24"/>
        <v/>
      </c>
      <c r="M61" s="2918"/>
      <c r="N61" s="2919"/>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18"/>
      <c r="N62" s="2919"/>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18"/>
      <c r="N63" s="2919"/>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18"/>
      <c r="N64" s="2919"/>
    </row>
    <row r="65" spans="1:14" ht="13.15" customHeight="1">
      <c r="A65" s="467" t="s">
        <v>4190</v>
      </c>
      <c r="B65" s="25">
        <f>IF(AND(B53=0,B54=0,B55=0,B56=0),"",-B52/(B53+B54+B55+B56))</f>
        <v>1.4547183293472044</v>
      </c>
      <c r="C65" s="25">
        <f t="shared" ref="C65:K65" si="28">IF(AND(C53=0,C54=0,C55=0,C56=0),"",-C52/(C53+C54+C55+C56))</f>
        <v>1.4436403327272773</v>
      </c>
      <c r="D65" s="25">
        <f t="shared" si="28"/>
        <v>1.4311406063208751</v>
      </c>
      <c r="E65" s="25">
        <f t="shared" si="28"/>
        <v>1.4171476577420441</v>
      </c>
      <c r="F65" s="25">
        <f t="shared" si="28"/>
        <v>1.4015988411355549</v>
      </c>
      <c r="G65" s="25" t="str">
        <f t="shared" si="28"/>
        <v/>
      </c>
      <c r="H65" s="25" t="str">
        <f t="shared" si="28"/>
        <v/>
      </c>
      <c r="I65" s="25" t="str">
        <f t="shared" si="28"/>
        <v/>
      </c>
      <c r="J65" s="25" t="str">
        <f t="shared" si="28"/>
        <v/>
      </c>
      <c r="K65" s="26" t="str">
        <f t="shared" si="28"/>
        <v/>
      </c>
      <c r="M65" s="2918"/>
      <c r="N65" s="2919"/>
    </row>
    <row r="66" spans="1:14" ht="13.15" customHeight="1">
      <c r="A66" s="22" t="s">
        <v>801</v>
      </c>
      <c r="B66" s="293">
        <f>IF(OR(B50="Choose mgt fee",B50="Choose One!"),"",(B44+B45+B46+B47+B48) / -(B49+B50+B51))</f>
        <v>1.3191536173615674</v>
      </c>
      <c r="C66" s="293">
        <f t="shared" ref="C66:K66" si="29">IF(OR(C50="Choose mgt fee",C50="Choose One!"),"",(C44+C45+C46+C47+C48) / -(C49+C50+C51))</f>
        <v>1.3078528753445462</v>
      </c>
      <c r="D66" s="293">
        <f t="shared" si="29"/>
        <v>1.2966374766453497</v>
      </c>
      <c r="E66" s="293">
        <f t="shared" si="29"/>
        <v>1.2855051076328905</v>
      </c>
      <c r="F66" s="293">
        <f t="shared" si="29"/>
        <v>1.2744565210545766</v>
      </c>
      <c r="G66" s="293">
        <f t="shared" si="29"/>
        <v>1.2634896460832183</v>
      </c>
      <c r="H66" s="293">
        <f t="shared" si="29"/>
        <v>1.252605249167273</v>
      </c>
      <c r="I66" s="293">
        <f t="shared" si="29"/>
        <v>1.2418039524310829</v>
      </c>
      <c r="J66" s="293">
        <f t="shared" si="29"/>
        <v>1.2310838486898301</v>
      </c>
      <c r="K66" s="294">
        <f t="shared" si="29"/>
        <v>1.2204432577094229</v>
      </c>
      <c r="M66" s="2918"/>
      <c r="N66" s="2919"/>
    </row>
    <row r="67" spans="1:14" ht="13.15" customHeight="1">
      <c r="A67" s="467" t="s">
        <v>2705</v>
      </c>
      <c r="B67" s="3063">
        <f>IF('Part III-Sources of Funds'!$I$37="","",-FV('Part III-Sources of Funds'!$K$37/12,12,B53/12,K37))</f>
        <v>351893.77327376493</v>
      </c>
      <c r="C67" s="3063">
        <f>IF('Part III-Sources of Funds'!$I$37="","",-FV('Part III-Sources of Funds'!$K$37/12,12,C53/12,B67))</f>
        <v>265234.95430232462</v>
      </c>
      <c r="D67" s="3063">
        <f>IF('Part III-Sources of Funds'!$I$37="","",-FV('Part III-Sources of Funds'!$K$37/12,12,D53/12,C67))</f>
        <v>177705.56422496797</v>
      </c>
      <c r="E67" s="3063">
        <f>IF('Part III-Sources of Funds'!$I$37="","",-FV('Part III-Sources of Funds'!$K$37/12,12,E53/12,D67))</f>
        <v>89296.857318415423</v>
      </c>
      <c r="F67" s="3063">
        <f>IF('Part III-Sources of Funds'!$I$37="","",-FV('Part III-Sources of Funds'!$K$37/12,12,F53/12,E67))</f>
        <v>1.9345316104590893E-7</v>
      </c>
      <c r="G67" s="3063">
        <f>IF('Part III-Sources of Funds'!$I$37="","",-FV('Part III-Sources of Funds'!$K$37/12,12,G53/12,F67))</f>
        <v>1.9539658393527756E-7</v>
      </c>
      <c r="H67" s="3063">
        <f>IF('Part III-Sources of Funds'!$I$37="","",-FV('Part III-Sources of Funds'!$K$37/12,12,H53/12,G67))</f>
        <v>1.9735953037498006E-7</v>
      </c>
      <c r="I67" s="3063">
        <f>IF('Part III-Sources of Funds'!$I$37="","",-FV('Part III-Sources of Funds'!$K$37/12,12,I53/12,H67))</f>
        <v>1.9934219649783944E-7</v>
      </c>
      <c r="J67" s="3063">
        <f>IF('Part III-Sources of Funds'!$I$37="","",-FV('Part III-Sources of Funds'!$K$37/12,12,J53/12,I67))</f>
        <v>2.0134478040702141E-7</v>
      </c>
      <c r="K67" s="3063">
        <f>IF('Part III-Sources of Funds'!$I$37="","",-FV('Part III-Sources of Funds'!$K$37/12,12,K53/12,J67))</f>
        <v>2.033674821958283E-7</v>
      </c>
      <c r="M67" s="2918"/>
      <c r="N67" s="2919"/>
    </row>
    <row r="68" spans="1:14" ht="13.15" customHeight="1">
      <c r="A68" s="467" t="s">
        <v>2706</v>
      </c>
      <c r="B68" s="3060" t="str">
        <f>IF('Part III-Sources of Funds'!$I$38="","",-FV('Part III-Sources of Funds'!$K$38/12,12,B54/12,K38))</f>
        <v/>
      </c>
      <c r="C68" s="3060" t="str">
        <f>IF('Part III-Sources of Funds'!$I$38="","",-FV('Part III-Sources of Funds'!$K$38/12,12,C54/12,B68))</f>
        <v/>
      </c>
      <c r="D68" s="3060" t="str">
        <f>IF('Part III-Sources of Funds'!$I$38="","",-FV('Part III-Sources of Funds'!$K$38/12,12,D54/12,C68))</f>
        <v/>
      </c>
      <c r="E68" s="3060" t="str">
        <f>IF('Part III-Sources of Funds'!$I$38="","",-FV('Part III-Sources of Funds'!$K$38/12,12,E54/12,D68))</f>
        <v/>
      </c>
      <c r="F68" s="3060" t="str">
        <f>IF('Part III-Sources of Funds'!$I$38="","",-FV('Part III-Sources of Funds'!$K$38/12,12,F54/12,E68))</f>
        <v/>
      </c>
      <c r="G68" s="3060" t="str">
        <f>IF('Part III-Sources of Funds'!$I$38="","",-FV('Part III-Sources of Funds'!$K$38/12,12,G54/12,F68))</f>
        <v/>
      </c>
      <c r="H68" s="3060" t="str">
        <f>IF('Part III-Sources of Funds'!$I$38="","",-FV('Part III-Sources of Funds'!$K$38/12,12,H54/12,G68))</f>
        <v/>
      </c>
      <c r="I68" s="3060" t="str">
        <f>IF('Part III-Sources of Funds'!$I$38="","",-FV('Part III-Sources of Funds'!$K$38/12,12,I54/12,H68))</f>
        <v/>
      </c>
      <c r="J68" s="3060" t="str">
        <f>IF('Part III-Sources of Funds'!$I$38="","",-FV('Part III-Sources of Funds'!$K$38/12,12,J54/12,I68))</f>
        <v/>
      </c>
      <c r="K68" s="3060" t="str">
        <f>IF('Part III-Sources of Funds'!$I$38="","",-FV('Part III-Sources of Funds'!$K$38/12,12,K54/12,J68))</f>
        <v/>
      </c>
      <c r="M68" s="2918"/>
      <c r="N68" s="2919"/>
    </row>
    <row r="69" spans="1:14" ht="13.15" customHeight="1">
      <c r="A69" s="467" t="s">
        <v>2707</v>
      </c>
      <c r="B69" s="3060" t="str">
        <f>IF('Part III-Sources of Funds'!$I$39="","",-FV('Part III-Sources of Funds'!$K$39/12,12,B55/12,K39))</f>
        <v/>
      </c>
      <c r="C69" s="3060" t="str">
        <f>IF('Part III-Sources of Funds'!$I$39="","",-FV('Part III-Sources of Funds'!$K$39/12,12,C55/12,B69))</f>
        <v/>
      </c>
      <c r="D69" s="3060" t="str">
        <f>IF('Part III-Sources of Funds'!$I$39="","",-FV('Part III-Sources of Funds'!$K$39/12,12,D55/12,C69))</f>
        <v/>
      </c>
      <c r="E69" s="3060" t="str">
        <f>IF('Part III-Sources of Funds'!$I$39="","",-FV('Part III-Sources of Funds'!$K$39/12,12,E55/12,D69))</f>
        <v/>
      </c>
      <c r="F69" s="3060" t="str">
        <f>IF('Part III-Sources of Funds'!$I$39="","",-FV('Part III-Sources of Funds'!$K$39/12,12,F55/12,E69))</f>
        <v/>
      </c>
      <c r="G69" s="3060" t="str">
        <f>IF('Part III-Sources of Funds'!$I$39="","",-FV('Part III-Sources of Funds'!$K$39/12,12,G55/12,F69))</f>
        <v/>
      </c>
      <c r="H69" s="3060" t="str">
        <f>IF('Part III-Sources of Funds'!$I$39="","",-FV('Part III-Sources of Funds'!$K$39/12,12,H55/12,G69))</f>
        <v/>
      </c>
      <c r="I69" s="3060" t="str">
        <f>IF('Part III-Sources of Funds'!$I$39="","",-FV('Part III-Sources of Funds'!$K$39/12,12,I55/12,H69))</f>
        <v/>
      </c>
      <c r="J69" s="3060" t="str">
        <f>IF('Part III-Sources of Funds'!$I$39="","",-FV('Part III-Sources of Funds'!$K$39/12,12,J55/12,I69))</f>
        <v/>
      </c>
      <c r="K69" s="3060" t="str">
        <f>IF('Part III-Sources of Funds'!$I$39="","",-FV('Part III-Sources of Funds'!$K$39/12,12,K55/12,J69))</f>
        <v/>
      </c>
      <c r="M69" s="2918"/>
      <c r="N69" s="2919"/>
    </row>
    <row r="70" spans="1:14" ht="13.15" customHeight="1">
      <c r="A70" s="22" t="s">
        <v>816</v>
      </c>
      <c r="B70" s="3060" t="str">
        <f>IF('Part III-Sources of Funds'!$I$40="","",-FV('Part III-Sources of Funds'!$K$40/12,12,B56/12,K40))</f>
        <v/>
      </c>
      <c r="C70" s="3060" t="str">
        <f>IF('Part III-Sources of Funds'!$I$40="","",-FV('Part III-Sources of Funds'!$K$40/12,12,C56/12,B70))</f>
        <v/>
      </c>
      <c r="D70" s="3060" t="str">
        <f>IF('Part III-Sources of Funds'!$I$40="","",-FV('Part III-Sources of Funds'!$K$40/12,12,D56/12,C70))</f>
        <v/>
      </c>
      <c r="E70" s="3060" t="str">
        <f>IF('Part III-Sources of Funds'!$I$40="","",-FV('Part III-Sources of Funds'!$K$40/12,12,E56/12,D70))</f>
        <v/>
      </c>
      <c r="F70" s="3060" t="str">
        <f>IF('Part III-Sources of Funds'!$I$40="","",-FV('Part III-Sources of Funds'!$K$40/12,12,F56/12,E70))</f>
        <v/>
      </c>
      <c r="G70" s="3060" t="str">
        <f>IF('Part III-Sources of Funds'!$I$40="","",-FV('Part III-Sources of Funds'!$K$40/12,12,G56/12,F70))</f>
        <v/>
      </c>
      <c r="H70" s="3060" t="str">
        <f>IF('Part III-Sources of Funds'!$I$40="","",-FV('Part III-Sources of Funds'!$K$40/12,12,H56/12,G70))</f>
        <v/>
      </c>
      <c r="I70" s="3060" t="str">
        <f>IF('Part III-Sources of Funds'!$I$40="","",-FV('Part III-Sources of Funds'!$K$40/12,12,I56/12,H70))</f>
        <v/>
      </c>
      <c r="J70" s="3060" t="str">
        <f>IF('Part III-Sources of Funds'!$I$40="","",-FV('Part III-Sources of Funds'!$K$40/12,12,J56/12,I70))</f>
        <v/>
      </c>
      <c r="K70" s="3060" t="str">
        <f>IF('Part III-Sources of Funds'!$I$40="","",-FV('Part III-Sources of Funds'!$K$40/12,12,K56/12,J70))</f>
        <v/>
      </c>
      <c r="M70" s="2918"/>
      <c r="N70" s="2919"/>
    </row>
    <row r="71" spans="1:14" ht="13.15" customHeight="1">
      <c r="A71" s="27" t="s">
        <v>1284</v>
      </c>
      <c r="B71" s="3062" t="str">
        <f>IF('Part III-Sources of Funds'!$I$42="","",-FV('Part III-Sources of Funds'!$K$42/12,12,B59/12,K41))</f>
        <v/>
      </c>
      <c r="C71" s="3062" t="str">
        <f>IF('Part III-Sources of Funds'!$I$42="","",-FV('Part III-Sources of Funds'!$K$42/12,12,C59/12,B71))</f>
        <v/>
      </c>
      <c r="D71" s="3062" t="str">
        <f>IF('Part III-Sources of Funds'!$I$42="","",-FV('Part III-Sources of Funds'!$K$42/12,12,D59/12,C71))</f>
        <v/>
      </c>
      <c r="E71" s="3062" t="str">
        <f>IF('Part III-Sources of Funds'!$I$42="","",-FV('Part III-Sources of Funds'!$K$42/12,12,E59/12,D71))</f>
        <v/>
      </c>
      <c r="F71" s="3062" t="str">
        <f>IF('Part III-Sources of Funds'!$I$42="","",-FV('Part III-Sources of Funds'!$K$42/12,12,F59/12,E71))</f>
        <v/>
      </c>
      <c r="G71" s="3062" t="str">
        <f>IF('Part III-Sources of Funds'!$I$42="","",-FV('Part III-Sources of Funds'!$K$42/12,12,G59/12,F71))</f>
        <v/>
      </c>
      <c r="H71" s="3062" t="str">
        <f>IF('Part III-Sources of Funds'!$I$42="","",-FV('Part III-Sources of Funds'!$K$42/12,12,H59/12,G71))</f>
        <v/>
      </c>
      <c r="I71" s="3062" t="str">
        <f>IF('Part III-Sources of Funds'!$I$42="","",-FV('Part III-Sources of Funds'!$K$42/12,12,I59/12,H71))</f>
        <v/>
      </c>
      <c r="J71" s="3062" t="str">
        <f>IF('Part III-Sources of Funds'!$I$42="","",-FV('Part III-Sources of Funds'!$K$42/12,12,J59/12,I71))</f>
        <v/>
      </c>
      <c r="K71" s="3062" t="str">
        <f>IF('Part III-Sources of Funds'!$I$42="","",-FV('Part III-Sources of Funds'!$K$42/12,12,K59/12,J71))</f>
        <v/>
      </c>
      <c r="M71" s="2921"/>
      <c r="N71" s="2922"/>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0" t="s">
        <v>2711</v>
      </c>
      <c r="N73" s="1520"/>
    </row>
    <row r="74" spans="1:14" ht="13.15" customHeight="1">
      <c r="A74" s="19" t="s">
        <v>2489</v>
      </c>
      <c r="B74" s="20">
        <f t="shared" ref="B74:K74" si="31">$B$14*(1+$B$5)^(B73-1)</f>
        <v>693711.5699177027</v>
      </c>
      <c r="C74" s="20">
        <f t="shared" si="31"/>
        <v>707585.80131605675</v>
      </c>
      <c r="D74" s="20">
        <f t="shared" si="31"/>
        <v>721737.51734237792</v>
      </c>
      <c r="E74" s="20">
        <f t="shared" si="31"/>
        <v>736172.26768922526</v>
      </c>
      <c r="F74" s="20">
        <f t="shared" si="31"/>
        <v>750895.71304300986</v>
      </c>
      <c r="G74" s="20">
        <f t="shared" si="31"/>
        <v>765913.62730387005</v>
      </c>
      <c r="H74" s="20">
        <f t="shared" si="31"/>
        <v>781231.89984994754</v>
      </c>
      <c r="I74" s="20">
        <f t="shared" si="31"/>
        <v>796856.53784694639</v>
      </c>
      <c r="J74" s="20">
        <f t="shared" si="31"/>
        <v>812793.66860388545</v>
      </c>
      <c r="K74" s="21">
        <f t="shared" si="31"/>
        <v>829049.54197596305</v>
      </c>
      <c r="M74" s="2916"/>
      <c r="N74" s="2917"/>
    </row>
    <row r="75" spans="1:14" ht="13.15" customHeight="1">
      <c r="A75" s="22" t="s">
        <v>1053</v>
      </c>
      <c r="B75" s="23">
        <f t="shared" ref="B75:K75" si="32">$B$15*(1+$B$5)^(B73-1)</f>
        <v>13874.231398354055</v>
      </c>
      <c r="C75" s="23">
        <f t="shared" si="32"/>
        <v>14151.716026321135</v>
      </c>
      <c r="D75" s="23">
        <f t="shared" si="32"/>
        <v>14434.750346847559</v>
      </c>
      <c r="E75" s="23">
        <f t="shared" si="32"/>
        <v>14723.445353784507</v>
      </c>
      <c r="F75" s="23">
        <f t="shared" si="32"/>
        <v>15017.914260860198</v>
      </c>
      <c r="G75" s="23">
        <f t="shared" si="32"/>
        <v>15318.272546077404</v>
      </c>
      <c r="H75" s="23">
        <f t="shared" si="32"/>
        <v>15624.637996998952</v>
      </c>
      <c r="I75" s="23">
        <f t="shared" si="32"/>
        <v>15937.130756938928</v>
      </c>
      <c r="J75" s="23">
        <f t="shared" si="32"/>
        <v>16255.873372077711</v>
      </c>
      <c r="K75" s="24">
        <f t="shared" si="32"/>
        <v>16580.990839519261</v>
      </c>
      <c r="M75" s="2918"/>
      <c r="N75" s="2919"/>
    </row>
    <row r="76" spans="1:14" ht="13.15" customHeight="1">
      <c r="A76" s="22" t="s">
        <v>2490</v>
      </c>
      <c r="B76" s="23">
        <f t="shared" ref="B76:K76" si="33">-(B74+B75)*$B$8</f>
        <v>-49531.006092123978</v>
      </c>
      <c r="C76" s="23">
        <f t="shared" si="33"/>
        <v>-50521.626213966461</v>
      </c>
      <c r="D76" s="23">
        <f t="shared" si="33"/>
        <v>-51532.058738245789</v>
      </c>
      <c r="E76" s="23">
        <f t="shared" si="33"/>
        <v>-52562.699913010685</v>
      </c>
      <c r="F76" s="23">
        <f t="shared" si="33"/>
        <v>-53613.95391127091</v>
      </c>
      <c r="G76" s="23">
        <f t="shared" si="33"/>
        <v>-54686.232989496326</v>
      </c>
      <c r="H76" s="23">
        <f t="shared" si="33"/>
        <v>-55779.957649286262</v>
      </c>
      <c r="I76" s="23">
        <f t="shared" si="33"/>
        <v>-56895.556802271982</v>
      </c>
      <c r="J76" s="23">
        <f t="shared" si="33"/>
        <v>-58033.46793831743</v>
      </c>
      <c r="K76" s="24">
        <f t="shared" si="33"/>
        <v>-59194.137297083769</v>
      </c>
      <c r="M76" s="2918"/>
      <c r="N76" s="2919"/>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18"/>
      <c r="N77" s="291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18"/>
      <c r="N78" s="2919"/>
    </row>
    <row r="79" spans="1:14" ht="13.15" customHeight="1">
      <c r="A79" s="22" t="s">
        <v>638</v>
      </c>
      <c r="B79" s="23">
        <f t="shared" ref="B79:K79" si="34">$B$19*(1+$B$6)^(B73-1)</f>
        <v>-452163.55982195697</v>
      </c>
      <c r="C79" s="23">
        <f t="shared" si="34"/>
        <v>-465728.46661661559</v>
      </c>
      <c r="D79" s="23">
        <f t="shared" si="34"/>
        <v>-479700.32061511412</v>
      </c>
      <c r="E79" s="23">
        <f t="shared" si="34"/>
        <v>-494091.33023356757</v>
      </c>
      <c r="F79" s="23">
        <f t="shared" si="34"/>
        <v>-508914.07014057453</v>
      </c>
      <c r="G79" s="23">
        <f t="shared" si="34"/>
        <v>-524181.49224479176</v>
      </c>
      <c r="H79" s="23">
        <f t="shared" si="34"/>
        <v>-539906.93701213552</v>
      </c>
      <c r="I79" s="23">
        <f t="shared" si="34"/>
        <v>-556104.14512249955</v>
      </c>
      <c r="J79" s="23">
        <f t="shared" si="34"/>
        <v>-572787.26947617461</v>
      </c>
      <c r="K79" s="24">
        <f t="shared" si="34"/>
        <v>-589970.88756045979</v>
      </c>
      <c r="M79" s="2918"/>
      <c r="N79" s="2919"/>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-59225</v>
      </c>
      <c r="C80" s="23">
        <f>IF(AND('Part VII-Pro Forma'!$G$8="Yes",'Part VII-Pro Forma'!$G$9="Yes"),"Choose One!",IF('Part VII-Pro Forma'!$G$8="Yes",ROUND((-$K$8*(1+'Part VII-Pro Forma'!$B$6)^('Part VII-Pro Forma'!C73-1)),),IF('Part VII-Pro Forma'!$G$9="Yes",ROUND((-(SUM(C74:C77)*'Part VII-Pro Forma'!$K$9)),),"Choose mgt fee")))</f>
        <v>-60409</v>
      </c>
      <c r="D80" s="23">
        <f>IF(AND('Part VII-Pro Forma'!$G$8="Yes",'Part VII-Pro Forma'!$G$9="Yes"),"Choose One!",IF('Part VII-Pro Forma'!$G$8="Yes",ROUND((-$K$8*(1+'Part VII-Pro Forma'!$B$6)^('Part VII-Pro Forma'!D73-1)),),IF('Part VII-Pro Forma'!$G$9="Yes",ROUND((-(SUM(D74:D77)*'Part VII-Pro Forma'!$K$9)),),"Choose mgt fee")))</f>
        <v>-61618</v>
      </c>
      <c r="E80" s="23">
        <f>IF(AND('Part VII-Pro Forma'!$G$8="Yes",'Part VII-Pro Forma'!$G$9="Yes"),"Choose One!",IF('Part VII-Pro Forma'!$G$8="Yes",ROUND((-$K$8*(1+'Part VII-Pro Forma'!$B$6)^('Part VII-Pro Forma'!E73-1)),),IF('Part VII-Pro Forma'!$G$9="Yes",ROUND((-(SUM(E74:E77)*'Part VII-Pro Forma'!$K$9)),),"Choose mgt fee")))</f>
        <v>-62850</v>
      </c>
      <c r="F80" s="23">
        <f>IF(AND('Part VII-Pro Forma'!$G$8="Yes",'Part VII-Pro Forma'!$G$9="Yes"),"Choose One!",IF('Part VII-Pro Forma'!$G$8="Yes",ROUND((-$K$8*(1+'Part VII-Pro Forma'!$B$6)^('Part VII-Pro Forma'!F73-1)),),IF('Part VII-Pro Forma'!$G$9="Yes",ROUND((-(SUM(F74:F77)*'Part VII-Pro Forma'!$K$9)),),"Choose mgt fee")))</f>
        <v>-64107</v>
      </c>
      <c r="G80" s="23">
        <f>IF(AND('Part VII-Pro Forma'!$G$8="Yes",'Part VII-Pro Forma'!$G$9="Yes"),"Choose One!",IF('Part VII-Pro Forma'!$G$8="Yes",ROUND((-$K$8*(1+'Part VII-Pro Forma'!$B$6)^('Part VII-Pro Forma'!G73-1)),),IF('Part VII-Pro Forma'!$G$9="Yes",ROUND((-(SUM(G74:G77)*'Part VII-Pro Forma'!$K$9)),),"Choose mgt fee")))</f>
        <v>-65389</v>
      </c>
      <c r="H80" s="23">
        <f>IF(AND('Part VII-Pro Forma'!$G$8="Yes",'Part VII-Pro Forma'!$G$9="Yes"),"Choose One!",IF('Part VII-Pro Forma'!$G$8="Yes",ROUND((-$K$8*(1+'Part VII-Pro Forma'!$B$6)^('Part VII-Pro Forma'!H73-1)),),IF('Part VII-Pro Forma'!$G$9="Yes",ROUND((-(SUM(H74:H77)*'Part VII-Pro Forma'!$K$9)),),"Choose mgt fee")))</f>
        <v>-66697</v>
      </c>
      <c r="I80" s="23">
        <f>IF(AND('Part VII-Pro Forma'!$G$8="Yes",'Part VII-Pro Forma'!$G$9="Yes"),"Choose One!",IF('Part VII-Pro Forma'!$G$8="Yes",ROUND((-$K$8*(1+'Part VII-Pro Forma'!$B$6)^('Part VII-Pro Forma'!I73-1)),),IF('Part VII-Pro Forma'!$G$9="Yes",ROUND((-(SUM(I74:I77)*'Part VII-Pro Forma'!$K$9)),),"Choose mgt fee")))</f>
        <v>-68031</v>
      </c>
      <c r="J80" s="23">
        <f>IF(AND('Part VII-Pro Forma'!$G$8="Yes",'Part VII-Pro Forma'!$G$9="Yes"),"Choose One!",IF('Part VII-Pro Forma'!$G$8="Yes",ROUND((-$K$8*(1+'Part VII-Pro Forma'!$B$6)^('Part VII-Pro Forma'!J73-1)),),IF('Part VII-Pro Forma'!$G$9="Yes",ROUND((-(SUM(J74:J77)*'Part VII-Pro Forma'!$K$9)),),"Choose mgt fee")))</f>
        <v>-69391</v>
      </c>
      <c r="K80" s="23">
        <f>IF(AND('Part VII-Pro Forma'!$G$8="Yes",'Part VII-Pro Forma'!$G$9="Yes"),"Choose One!",IF('Part VII-Pro Forma'!$G$8="Yes",ROUND((-$K$8*(1+'Part VII-Pro Forma'!$B$6)^('Part VII-Pro Forma'!K73-1)),),IF('Part VII-Pro Forma'!$G$9="Yes",ROUND((-(SUM(K74:K77)*'Part VII-Pro Forma'!$K$9)),),"Choose mgt fee")))</f>
        <v>-70779</v>
      </c>
      <c r="M80" s="2918"/>
      <c r="N80" s="2919"/>
    </row>
    <row r="81" spans="1:14" ht="13.15" customHeight="1">
      <c r="A81" s="22" t="s">
        <v>1247</v>
      </c>
      <c r="B81" s="23">
        <f t="shared" ref="B81:K81" si="35">$B$21*(1+$B$7)^(B73-1)</f>
        <v>-32510.00222404944</v>
      </c>
      <c r="C81" s="23">
        <f t="shared" si="35"/>
        <v>-33485.302290770916</v>
      </c>
      <c r="D81" s="23">
        <f t="shared" si="35"/>
        <v>-34489.861359494047</v>
      </c>
      <c r="E81" s="23">
        <f t="shared" si="35"/>
        <v>-35524.557200278869</v>
      </c>
      <c r="F81" s="23">
        <f t="shared" si="35"/>
        <v>-36590.293916287235</v>
      </c>
      <c r="G81" s="23">
        <f t="shared" si="35"/>
        <v>-37688.002733775851</v>
      </c>
      <c r="H81" s="23">
        <f t="shared" si="35"/>
        <v>-38818.642815789128</v>
      </c>
      <c r="I81" s="23">
        <f t="shared" si="35"/>
        <v>-39983.202100262803</v>
      </c>
      <c r="J81" s="23">
        <f t="shared" si="35"/>
        <v>-41182.698163270681</v>
      </c>
      <c r="K81" s="24">
        <f t="shared" si="35"/>
        <v>-42418.179108168799</v>
      </c>
      <c r="M81" s="2918"/>
      <c r="N81" s="2919"/>
    </row>
    <row r="82" spans="1:14" ht="13.15" customHeight="1">
      <c r="A82" s="22" t="s">
        <v>1248</v>
      </c>
      <c r="B82" s="23">
        <f t="shared" ref="B82:K82" si="36">SUM(B74:B81)</f>
        <v>114156.2331779263</v>
      </c>
      <c r="C82" s="23">
        <f t="shared" si="36"/>
        <v>111593.122221025</v>
      </c>
      <c r="D82" s="23">
        <f t="shared" si="36"/>
        <v>108832.02697637159</v>
      </c>
      <c r="E82" s="23">
        <f t="shared" si="36"/>
        <v>105867.12569615261</v>
      </c>
      <c r="F82" s="23">
        <f t="shared" si="36"/>
        <v>102688.30933573733</v>
      </c>
      <c r="G82" s="23">
        <f t="shared" si="36"/>
        <v>99287.171881883492</v>
      </c>
      <c r="H82" s="23">
        <f t="shared" si="36"/>
        <v>95654.000369735615</v>
      </c>
      <c r="I82" s="23">
        <f t="shared" si="36"/>
        <v>91779.764578850998</v>
      </c>
      <c r="J82" s="23">
        <f t="shared" si="36"/>
        <v>87655.106398200413</v>
      </c>
      <c r="K82" s="24">
        <f t="shared" si="36"/>
        <v>83268.328849770027</v>
      </c>
      <c r="M82" s="2918"/>
      <c r="N82" s="2919"/>
    </row>
    <row r="83" spans="1:14" ht="13.15" customHeight="1">
      <c r="A83" s="22" t="str">
        <f>$A53</f>
        <v>Mortgage A</v>
      </c>
      <c r="B83" s="3059">
        <f>IF('Part III-Sources of Funds'!$N$37="", 0,-'Part III-Sources of Funds'!$N$37)*0</f>
        <v>0</v>
      </c>
      <c r="C83" s="3059">
        <f>IF('Part III-Sources of Funds'!$N$37="", 0,-'Part III-Sources of Funds'!$N$37)*0</f>
        <v>0</v>
      </c>
      <c r="D83" s="3059">
        <f>IF('Part III-Sources of Funds'!$N$37="", 0,-'Part III-Sources of Funds'!$N$37)*0</f>
        <v>0</v>
      </c>
      <c r="E83" s="3059">
        <f>IF('Part III-Sources of Funds'!$N$37="", 0,-'Part III-Sources of Funds'!$N$37)*0</f>
        <v>0</v>
      </c>
      <c r="F83" s="3059">
        <f>IF('Part III-Sources of Funds'!$N$37="", 0,-'Part III-Sources of Funds'!$N$37)*0</f>
        <v>0</v>
      </c>
      <c r="G83" s="3059">
        <f>IF('Part III-Sources of Funds'!$N$37="", 0,-'Part III-Sources of Funds'!$N$37)*0</f>
        <v>0</v>
      </c>
      <c r="H83" s="3059">
        <f>IF('Part III-Sources of Funds'!$N$37="", 0,-'Part III-Sources of Funds'!$N$37)*0</f>
        <v>0</v>
      </c>
      <c r="I83" s="3059">
        <f>IF('Part III-Sources of Funds'!$N$37="", 0,-'Part III-Sources of Funds'!$N$37)*0</f>
        <v>0</v>
      </c>
      <c r="J83" s="3059">
        <f>IF('Part III-Sources of Funds'!$N$37="", 0,-'Part III-Sources of Funds'!$N$37)*0</f>
        <v>0</v>
      </c>
      <c r="K83" s="3059">
        <f>IF('Part III-Sources of Funds'!$N$37="", 0,-'Part III-Sources of Funds'!$N$37)*0</f>
        <v>0</v>
      </c>
      <c r="M83" s="2918"/>
      <c r="N83" s="2919"/>
    </row>
    <row r="84" spans="1:14" ht="13.15" customHeight="1">
      <c r="A84" s="22" t="str">
        <f>$A54</f>
        <v>Mortgage B</v>
      </c>
      <c r="B84" s="3060">
        <f>IF('Part III-Sources of Funds'!$N$38="", 0,-'Part III-Sources of Funds'!$N$38)</f>
        <v>0</v>
      </c>
      <c r="C84" s="3060">
        <f>IF('Part III-Sources of Funds'!$N$38="", 0,-'Part III-Sources of Funds'!$N$38)</f>
        <v>0</v>
      </c>
      <c r="D84" s="3060">
        <f>IF('Part III-Sources of Funds'!$N$38="", 0,-'Part III-Sources of Funds'!$N$38)</f>
        <v>0</v>
      </c>
      <c r="E84" s="3060">
        <f>IF('Part III-Sources of Funds'!$N$38="", 0,-'Part III-Sources of Funds'!$N$38)</f>
        <v>0</v>
      </c>
      <c r="F84" s="3060">
        <f>IF('Part III-Sources of Funds'!$N$38="", 0,-'Part III-Sources of Funds'!$N$38)</f>
        <v>0</v>
      </c>
      <c r="G84" s="3060">
        <f>IF('Part III-Sources of Funds'!$N$38="", 0,-'Part III-Sources of Funds'!$N$38)</f>
        <v>0</v>
      </c>
      <c r="H84" s="3060">
        <f>IF('Part III-Sources of Funds'!$N$38="", 0,-'Part III-Sources of Funds'!$N$38)</f>
        <v>0</v>
      </c>
      <c r="I84" s="3060">
        <f>IF('Part III-Sources of Funds'!$N$38="", 0,-'Part III-Sources of Funds'!$N$38)</f>
        <v>0</v>
      </c>
      <c r="J84" s="3060">
        <f>IF('Part III-Sources of Funds'!$N$38="", 0,-'Part III-Sources of Funds'!$N$38)</f>
        <v>0</v>
      </c>
      <c r="K84" s="3060">
        <f>IF('Part III-Sources of Funds'!$N$38="", 0,-'Part III-Sources of Funds'!$N$38)</f>
        <v>0</v>
      </c>
      <c r="M84" s="2918"/>
      <c r="N84" s="2919"/>
    </row>
    <row r="85" spans="1:14" ht="13.15" customHeight="1">
      <c r="A85" s="22" t="str">
        <f>$A55</f>
        <v>Mortgage C</v>
      </c>
      <c r="B85" s="3060">
        <f>IF('Part III-Sources of Funds'!$N$39="", 0,-'Part III-Sources of Funds'!$N$39)</f>
        <v>0</v>
      </c>
      <c r="C85" s="3060">
        <f>IF('Part III-Sources of Funds'!$N$39="", 0,-'Part III-Sources of Funds'!$N$39)</f>
        <v>0</v>
      </c>
      <c r="D85" s="3060">
        <f>IF('Part III-Sources of Funds'!$N$39="", 0,-'Part III-Sources of Funds'!$N$39)</f>
        <v>0</v>
      </c>
      <c r="E85" s="3060">
        <f>IF('Part III-Sources of Funds'!$N$39="", 0,-'Part III-Sources of Funds'!$N$39)</f>
        <v>0</v>
      </c>
      <c r="F85" s="3060">
        <f>IF('Part III-Sources of Funds'!$N$39="", 0,-'Part III-Sources of Funds'!$N$39)</f>
        <v>0</v>
      </c>
      <c r="G85" s="3060">
        <f>IF('Part III-Sources of Funds'!$N$39="", 0,-'Part III-Sources of Funds'!$N$39)</f>
        <v>0</v>
      </c>
      <c r="H85" s="3060">
        <f>IF('Part III-Sources of Funds'!$N$39="", 0,-'Part III-Sources of Funds'!$N$39)</f>
        <v>0</v>
      </c>
      <c r="I85" s="3060">
        <f>IF('Part III-Sources of Funds'!$N$39="", 0,-'Part III-Sources of Funds'!$N$39)</f>
        <v>0</v>
      </c>
      <c r="J85" s="3060">
        <f>IF('Part III-Sources of Funds'!$N$39="", 0,-'Part III-Sources of Funds'!$N$39)</f>
        <v>0</v>
      </c>
      <c r="K85" s="3060">
        <f>IF('Part III-Sources of Funds'!$N$39="", 0,-'Part III-Sources of Funds'!$N$39)</f>
        <v>0</v>
      </c>
      <c r="M85" s="2918"/>
      <c r="N85" s="2919"/>
    </row>
    <row r="86" spans="1:14" ht="13.15" customHeight="1">
      <c r="A86" s="22" t="str">
        <f>$A56</f>
        <v>D/S Other Source</v>
      </c>
      <c r="B86" s="3060">
        <f>IF('Part III-Sources of Funds'!$N$40="", 0,-'Part III-Sources of Funds'!$N$40)</f>
        <v>0</v>
      </c>
      <c r="C86" s="3060">
        <f>IF('Part III-Sources of Funds'!$N$40="", 0,-'Part III-Sources of Funds'!$N$40)</f>
        <v>0</v>
      </c>
      <c r="D86" s="3060">
        <f>IF('Part III-Sources of Funds'!$N$40="", 0,-'Part III-Sources of Funds'!$N$40)</f>
        <v>0</v>
      </c>
      <c r="E86" s="3060">
        <f>IF('Part III-Sources of Funds'!$N$40="", 0,-'Part III-Sources of Funds'!$N$40)</f>
        <v>0</v>
      </c>
      <c r="F86" s="3060">
        <f>IF('Part III-Sources of Funds'!$N$40="", 0,-'Part III-Sources of Funds'!$N$40)</f>
        <v>0</v>
      </c>
      <c r="G86" s="3060">
        <f>IF('Part III-Sources of Funds'!$N$40="", 0,-'Part III-Sources of Funds'!$N$40)</f>
        <v>0</v>
      </c>
      <c r="H86" s="3060">
        <f>IF('Part III-Sources of Funds'!$N$40="", 0,-'Part III-Sources of Funds'!$N$40)</f>
        <v>0</v>
      </c>
      <c r="I86" s="3060">
        <f>IF('Part III-Sources of Funds'!$N$40="", 0,-'Part III-Sources of Funds'!$N$40)</f>
        <v>0</v>
      </c>
      <c r="J86" s="3060">
        <f>IF('Part III-Sources of Funds'!$N$40="", 0,-'Part III-Sources of Funds'!$N$40)</f>
        <v>0</v>
      </c>
      <c r="K86" s="3060">
        <f>IF('Part III-Sources of Funds'!$N$40="", 0,-'Part III-Sources of Funds'!$N$40)</f>
        <v>0</v>
      </c>
      <c r="M86" s="2918"/>
      <c r="N86" s="2919"/>
    </row>
    <row r="87" spans="1:14" ht="13.15" customHeight="1">
      <c r="A87" s="22" t="s">
        <v>794</v>
      </c>
      <c r="B87" s="3061"/>
      <c r="C87" s="3061"/>
      <c r="D87" s="3061"/>
      <c r="E87" s="3061"/>
      <c r="F87" s="3061"/>
      <c r="G87" s="3061"/>
      <c r="H87" s="3061"/>
      <c r="I87" s="3061"/>
      <c r="J87" s="3061"/>
      <c r="K87" s="3061"/>
      <c r="M87" s="2918"/>
      <c r="N87" s="2919"/>
    </row>
    <row r="88" spans="1:14" ht="13.15" customHeight="1">
      <c r="A88" s="22" t="s">
        <v>1206</v>
      </c>
      <c r="B88" s="3060">
        <f>+K58</f>
        <v>-3000</v>
      </c>
      <c r="C88" s="3060">
        <f t="shared" ref="C88:K88" si="37">+B88</f>
        <v>-3000</v>
      </c>
      <c r="D88" s="3060">
        <f t="shared" si="37"/>
        <v>-3000</v>
      </c>
      <c r="E88" s="3060">
        <f t="shared" si="37"/>
        <v>-3000</v>
      </c>
      <c r="F88" s="3060">
        <f t="shared" si="37"/>
        <v>-3000</v>
      </c>
      <c r="G88" s="3060">
        <f t="shared" si="37"/>
        <v>-3000</v>
      </c>
      <c r="H88" s="3060">
        <f t="shared" si="37"/>
        <v>-3000</v>
      </c>
      <c r="I88" s="3060">
        <f t="shared" si="37"/>
        <v>-3000</v>
      </c>
      <c r="J88" s="3060">
        <f t="shared" si="37"/>
        <v>-3000</v>
      </c>
      <c r="K88" s="3060">
        <f t="shared" si="37"/>
        <v>-3000</v>
      </c>
      <c r="M88" s="2918"/>
      <c r="N88" s="2919"/>
    </row>
    <row r="89" spans="1:14" ht="13.15" customHeight="1">
      <c r="A89" s="22" t="s">
        <v>1249</v>
      </c>
      <c r="B89" s="3062">
        <f>IF('Part III-Sources of Funds'!$N$42="", 0,-'Part III-Sources of Funds'!$N$42)</f>
        <v>0</v>
      </c>
      <c r="C89" s="3062">
        <f>IF('Part III-Sources of Funds'!$N$42="", 0,-'Part III-Sources of Funds'!$N$42)</f>
        <v>0</v>
      </c>
      <c r="D89" s="3062">
        <f>IF('Part III-Sources of Funds'!$N$42="", 0,-'Part III-Sources of Funds'!$N$42)</f>
        <v>0</v>
      </c>
      <c r="E89" s="3062">
        <f>IF('Part III-Sources of Funds'!$N$42="", 0,-'Part III-Sources of Funds'!$N$42)</f>
        <v>0</v>
      </c>
      <c r="F89" s="3062">
        <f>IF('Part III-Sources of Funds'!$N$42="", 0,-'Part III-Sources of Funds'!$N$42)</f>
        <v>0</v>
      </c>
      <c r="G89" s="3062">
        <f>IF('Part III-Sources of Funds'!$N$42="", 0,-'Part III-Sources of Funds'!$N$42)</f>
        <v>0</v>
      </c>
      <c r="H89" s="3062">
        <f>IF('Part III-Sources of Funds'!$N$42="", 0,-'Part III-Sources of Funds'!$N$42)</f>
        <v>0</v>
      </c>
      <c r="I89" s="3062">
        <f>IF('Part III-Sources of Funds'!$N$42="", 0,-'Part III-Sources of Funds'!$N$42)</f>
        <v>0</v>
      </c>
      <c r="J89" s="3062">
        <f>IF('Part III-Sources of Funds'!$N$42="", 0,-'Part III-Sources of Funds'!$N$42)</f>
        <v>0</v>
      </c>
      <c r="K89" s="3060">
        <f>IF('Part III-Sources of Funds'!$N$42="", 0,-'Part III-Sources of Funds'!$N$42)</f>
        <v>0</v>
      </c>
      <c r="M89" s="2918"/>
      <c r="N89" s="2919"/>
    </row>
    <row r="90" spans="1:14" ht="13.15" customHeight="1">
      <c r="A90" s="22" t="s">
        <v>1207</v>
      </c>
      <c r="B90" s="23">
        <f t="shared" ref="B90:K90" si="38">SUM(B82:B89)</f>
        <v>111156.2331779263</v>
      </c>
      <c r="C90" s="23">
        <f t="shared" si="38"/>
        <v>108593.122221025</v>
      </c>
      <c r="D90" s="23">
        <f t="shared" si="38"/>
        <v>105832.02697637159</v>
      </c>
      <c r="E90" s="23">
        <f t="shared" si="38"/>
        <v>102867.12569615261</v>
      </c>
      <c r="F90" s="23">
        <f t="shared" si="38"/>
        <v>99688.309335737329</v>
      </c>
      <c r="G90" s="23">
        <f t="shared" si="38"/>
        <v>96287.171881883492</v>
      </c>
      <c r="H90" s="23">
        <f t="shared" si="38"/>
        <v>92654.000369735615</v>
      </c>
      <c r="I90" s="23">
        <f t="shared" si="38"/>
        <v>88779.764578850998</v>
      </c>
      <c r="J90" s="23">
        <f t="shared" si="38"/>
        <v>84655.106398200413</v>
      </c>
      <c r="K90" s="21">
        <f t="shared" si="38"/>
        <v>80268.328849770027</v>
      </c>
      <c r="M90" s="2918"/>
      <c r="N90" s="2919"/>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18"/>
      <c r="N91" s="2919"/>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18"/>
      <c r="N92" s="2919"/>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18"/>
      <c r="N93" s="2919"/>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18"/>
      <c r="N94" s="2919"/>
    </row>
    <row r="95" spans="1:14" ht="13.15" customHeight="1">
      <c r="A95" s="467" t="s">
        <v>4190</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918"/>
      <c r="N95" s="2919"/>
    </row>
    <row r="96" spans="1:14" ht="13.15" customHeight="1">
      <c r="A96" s="22" t="s">
        <v>801</v>
      </c>
      <c r="B96" s="293">
        <f>IF(OR(B80="Choose mgt fee",B80="Choose One!"),"",(B74+B75+B76+B77+B78) / -(B79+B80+B81))</f>
        <v>1.2098851534898345</v>
      </c>
      <c r="C96" s="293">
        <f t="shared" ref="C96:K96" si="44">IF(OR(C80="Choose mgt fee",C80="Choose One!"),"",(C74+C75+C76+C77+C78) / -(C79+C80+C81))</f>
        <v>1.1994077589782499</v>
      </c>
      <c r="D96" s="293">
        <f t="shared" si="44"/>
        <v>1.1890074340436705</v>
      </c>
      <c r="E96" s="293">
        <f t="shared" si="44"/>
        <v>1.1786889809887553</v>
      </c>
      <c r="F96" s="293">
        <f t="shared" si="44"/>
        <v>1.1684488108167206</v>
      </c>
      <c r="G96" s="293">
        <f t="shared" si="44"/>
        <v>1.1582874886138863</v>
      </c>
      <c r="H96" s="293">
        <f t="shared" si="44"/>
        <v>1.1482036782711225</v>
      </c>
      <c r="I96" s="293">
        <f t="shared" si="44"/>
        <v>1.1381979054827491</v>
      </c>
      <c r="J96" s="293">
        <f t="shared" si="44"/>
        <v>1.1282705781411397</v>
      </c>
      <c r="K96" s="294">
        <f t="shared" si="44"/>
        <v>1.1184188145008733</v>
      </c>
      <c r="M96" s="2918"/>
      <c r="N96" s="2919"/>
    </row>
    <row r="97" spans="1:14" ht="13.15" customHeight="1">
      <c r="A97" s="467" t="s">
        <v>2705</v>
      </c>
      <c r="B97" s="3063">
        <f>IF('Part III-Sources of Funds'!$I$37="","",-FV('Part III-Sources of Funds'!$K$37/12,12,B83/12,K67))</f>
        <v>2.0541050396769198E-7</v>
      </c>
      <c r="C97" s="3063">
        <f>IF('Part III-Sources of Funds'!$I$37="","",-FV('Part III-Sources of Funds'!$K$37/12,12,C83/12,B97))</f>
        <v>2.0747404985636745E-7</v>
      </c>
      <c r="D97" s="3063">
        <f>IF('Part III-Sources of Funds'!$I$37="","",-FV('Part III-Sources of Funds'!$K$37/12,12,D83/12,C97))</f>
        <v>2.0955832604632947E-7</v>
      </c>
      <c r="E97" s="3063">
        <f>IF('Part III-Sources of Funds'!$I$37="","",-FV('Part III-Sources of Funds'!$K$37/12,12,E83/12,D97))</f>
        <v>2.1166354079337392E-7</v>
      </c>
      <c r="F97" s="3063">
        <f>IF('Part III-Sources of Funds'!$I$37="","",-FV('Part III-Sources of Funds'!$K$37/12,12,F83/12,E97))</f>
        <v>2.1378990444542631E-7</v>
      </c>
      <c r="G97" s="3063">
        <f>IF('Part III-Sources of Funds'!$I$37="","",-FV('Part III-Sources of Funds'!$K$37/12,12,G83/12,F97))</f>
        <v>2.1593762946355912E-7</v>
      </c>
      <c r="H97" s="3063">
        <f>IF('Part III-Sources of Funds'!$I$37="","",-FV('Part III-Sources of Funds'!$K$37/12,12,H83/12,G97))</f>
        <v>2.1810693044322052E-7</v>
      </c>
      <c r="I97" s="3063">
        <f>IF('Part III-Sources of Funds'!$I$37="","",-FV('Part III-Sources of Funds'!$K$37/12,12,I83/12,H97))</f>
        <v>2.2029802413567614E-7</v>
      </c>
      <c r="J97" s="3063">
        <f>IF('Part III-Sources of Funds'!$I$37="","",-FV('Part III-Sources of Funds'!$K$37/12,12,J83/12,I97))</f>
        <v>2.2251112946966629E-7</v>
      </c>
      <c r="K97" s="3063">
        <f>IF('Part III-Sources of Funds'!$I$37="","",-FV('Part III-Sources of Funds'!$K$37/12,12,K83/12,J97))</f>
        <v>2.2474646757328092E-7</v>
      </c>
      <c r="M97" s="2918"/>
      <c r="N97" s="2919"/>
    </row>
    <row r="98" spans="1:14" ht="13.15" customHeight="1">
      <c r="A98" s="467" t="s">
        <v>2706</v>
      </c>
      <c r="B98" s="3060" t="str">
        <f>IF('Part III-Sources of Funds'!$I$38="","",-FV('Part III-Sources of Funds'!$K$38/12,12,B84/12,K68))</f>
        <v/>
      </c>
      <c r="C98" s="3060" t="str">
        <f>IF('Part III-Sources of Funds'!$I$38="","",-FV('Part III-Sources of Funds'!$K$38/12,12,C84/12,B98))</f>
        <v/>
      </c>
      <c r="D98" s="3060" t="str">
        <f>IF('Part III-Sources of Funds'!$I$38="","",-FV('Part III-Sources of Funds'!$K$38/12,12,D84/12,C98))</f>
        <v/>
      </c>
      <c r="E98" s="3060" t="str">
        <f>IF('Part III-Sources of Funds'!$I$38="","",-FV('Part III-Sources of Funds'!$K$38/12,12,E84/12,D98))</f>
        <v/>
      </c>
      <c r="F98" s="3060" t="str">
        <f>IF('Part III-Sources of Funds'!$I$38="","",-FV('Part III-Sources of Funds'!$K$38/12,12,F84/12,E98))</f>
        <v/>
      </c>
      <c r="G98" s="3060" t="str">
        <f>IF('Part III-Sources of Funds'!$I$38="","",-FV('Part III-Sources of Funds'!$K$38/12,12,G84/12,F98))</f>
        <v/>
      </c>
      <c r="H98" s="3060" t="str">
        <f>IF('Part III-Sources of Funds'!$I$38="","",-FV('Part III-Sources of Funds'!$K$38/12,12,H84/12,G98))</f>
        <v/>
      </c>
      <c r="I98" s="3060" t="str">
        <f>IF('Part III-Sources of Funds'!$I$38="","",-FV('Part III-Sources of Funds'!$K$38/12,12,I84/12,H98))</f>
        <v/>
      </c>
      <c r="J98" s="3060" t="str">
        <f>IF('Part III-Sources of Funds'!$I$38="","",-FV('Part III-Sources of Funds'!$K$38/12,12,J84/12,I98))</f>
        <v/>
      </c>
      <c r="K98" s="3060" t="str">
        <f>IF('Part III-Sources of Funds'!$I$38="","",-FV('Part III-Sources of Funds'!$K$38/12,12,K84/12,J98))</f>
        <v/>
      </c>
      <c r="M98" s="2918"/>
      <c r="N98" s="2919"/>
    </row>
    <row r="99" spans="1:14" ht="13.15" customHeight="1">
      <c r="A99" s="467" t="s">
        <v>2707</v>
      </c>
      <c r="B99" s="3060" t="str">
        <f>IF('Part III-Sources of Funds'!$I$39="","",-FV('Part III-Sources of Funds'!$K$39/12,12,B85/12,K69))</f>
        <v/>
      </c>
      <c r="C99" s="3060" t="str">
        <f>IF('Part III-Sources of Funds'!$I$39="","",-FV('Part III-Sources of Funds'!$K$39/12,12,C85/12,B99))</f>
        <v/>
      </c>
      <c r="D99" s="3060" t="str">
        <f>IF('Part III-Sources of Funds'!$I$39="","",-FV('Part III-Sources of Funds'!$K$39/12,12,D85/12,C99))</f>
        <v/>
      </c>
      <c r="E99" s="3060" t="str">
        <f>IF('Part III-Sources of Funds'!$I$39="","",-FV('Part III-Sources of Funds'!$K$39/12,12,E85/12,D99))</f>
        <v/>
      </c>
      <c r="F99" s="3060" t="str">
        <f>IF('Part III-Sources of Funds'!$I$39="","",-FV('Part III-Sources of Funds'!$K$39/12,12,F85/12,E99))</f>
        <v/>
      </c>
      <c r="G99" s="3060" t="str">
        <f>IF('Part III-Sources of Funds'!$I$39="","",-FV('Part III-Sources of Funds'!$K$39/12,12,G85/12,F99))</f>
        <v/>
      </c>
      <c r="H99" s="3060" t="str">
        <f>IF('Part III-Sources of Funds'!$I$39="","",-FV('Part III-Sources of Funds'!$K$39/12,12,H85/12,G99))</f>
        <v/>
      </c>
      <c r="I99" s="3060" t="str">
        <f>IF('Part III-Sources of Funds'!$I$39="","",-FV('Part III-Sources of Funds'!$K$39/12,12,I85/12,H99))</f>
        <v/>
      </c>
      <c r="J99" s="3060" t="str">
        <f>IF('Part III-Sources of Funds'!$I$39="","",-FV('Part III-Sources of Funds'!$K$39/12,12,J85/12,I99))</f>
        <v/>
      </c>
      <c r="K99" s="3060" t="str">
        <f>IF('Part III-Sources of Funds'!$I$39="","",-FV('Part III-Sources of Funds'!$K$39/12,12,K85/12,J99))</f>
        <v/>
      </c>
      <c r="M99" s="2918"/>
      <c r="N99" s="2919"/>
    </row>
    <row r="100" spans="1:14" ht="13.15" customHeight="1">
      <c r="A100" s="22" t="s">
        <v>816</v>
      </c>
      <c r="B100" s="3060" t="str">
        <f>IF('Part III-Sources of Funds'!$I$40="","",-FV('Part III-Sources of Funds'!$K$40/12,12,B86/12,K70))</f>
        <v/>
      </c>
      <c r="C100" s="3060" t="str">
        <f>IF('Part III-Sources of Funds'!$I$40="","",-FV('Part III-Sources of Funds'!$K$40/12,12,C86/12,B100))</f>
        <v/>
      </c>
      <c r="D100" s="3060" t="str">
        <f>IF('Part III-Sources of Funds'!$I$40="","",-FV('Part III-Sources of Funds'!$K$40/12,12,D86/12,C100))</f>
        <v/>
      </c>
      <c r="E100" s="3060" t="str">
        <f>IF('Part III-Sources of Funds'!$I$40="","",-FV('Part III-Sources of Funds'!$K$40/12,12,E86/12,D100))</f>
        <v/>
      </c>
      <c r="F100" s="3060" t="str">
        <f>IF('Part III-Sources of Funds'!$I$40="","",-FV('Part III-Sources of Funds'!$K$40/12,12,F86/12,E100))</f>
        <v/>
      </c>
      <c r="G100" s="3060" t="str">
        <f>IF('Part III-Sources of Funds'!$I$40="","",-FV('Part III-Sources of Funds'!$K$40/12,12,G86/12,F100))</f>
        <v/>
      </c>
      <c r="H100" s="3060" t="str">
        <f>IF('Part III-Sources of Funds'!$I$40="","",-FV('Part III-Sources of Funds'!$K$40/12,12,H86/12,G100))</f>
        <v/>
      </c>
      <c r="I100" s="3060" t="str">
        <f>IF('Part III-Sources of Funds'!$I$40="","",-FV('Part III-Sources of Funds'!$K$40/12,12,I86/12,H100))</f>
        <v/>
      </c>
      <c r="J100" s="3060" t="str">
        <f>IF('Part III-Sources of Funds'!$I$40="","",-FV('Part III-Sources of Funds'!$K$40/12,12,J86/12,I100))</f>
        <v/>
      </c>
      <c r="K100" s="3060" t="str">
        <f>IF('Part III-Sources of Funds'!$I$40="","",-FV('Part III-Sources of Funds'!$K$40/12,12,K86/12,J100))</f>
        <v/>
      </c>
      <c r="M100" s="2918"/>
      <c r="N100" s="2919"/>
    </row>
    <row r="101" spans="1:14" ht="13.15" customHeight="1">
      <c r="A101" s="27" t="s">
        <v>1284</v>
      </c>
      <c r="B101" s="3062" t="str">
        <f>IF('Part III-Sources of Funds'!$I$42="","",-FV('Part III-Sources of Funds'!$K$42/12,12,B89/12,K71))</f>
        <v/>
      </c>
      <c r="C101" s="3062" t="str">
        <f>IF('Part III-Sources of Funds'!$I$42="","",-FV('Part III-Sources of Funds'!$K$42/12,12,C89/12,B101))</f>
        <v/>
      </c>
      <c r="D101" s="3062" t="str">
        <f>IF('Part III-Sources of Funds'!$I$42="","",-FV('Part III-Sources of Funds'!$K$42/12,12,D89/12,C101))</f>
        <v/>
      </c>
      <c r="E101" s="3062" t="str">
        <f>IF('Part III-Sources of Funds'!$I$42="","",-FV('Part III-Sources of Funds'!$K$42/12,12,E89/12,D101))</f>
        <v/>
      </c>
      <c r="F101" s="3062" t="str">
        <f>IF('Part III-Sources of Funds'!$I$42="","",-FV('Part III-Sources of Funds'!$K$42/12,12,F89/12,E101))</f>
        <v/>
      </c>
      <c r="G101" s="3062" t="str">
        <f>IF('Part III-Sources of Funds'!$I$42="","",-FV('Part III-Sources of Funds'!$K$42/12,12,G89/12,F101))</f>
        <v/>
      </c>
      <c r="H101" s="3062" t="str">
        <f>IF('Part III-Sources of Funds'!$I$42="","",-FV('Part III-Sources of Funds'!$K$42/12,12,H89/12,G101))</f>
        <v/>
      </c>
      <c r="I101" s="3062" t="str">
        <f>IF('Part III-Sources of Funds'!$I$42="","",-FV('Part III-Sources of Funds'!$K$42/12,12,I89/12,H101))</f>
        <v/>
      </c>
      <c r="J101" s="3062" t="str">
        <f>IF('Part III-Sources of Funds'!$I$42="","",-FV('Part III-Sources of Funds'!$K$42/12,12,J89/12,I101))</f>
        <v/>
      </c>
      <c r="K101" s="3062" t="str">
        <f>IF('Part III-Sources of Funds'!$I$42="","",-FV('Part III-Sources of Funds'!$K$42/12,12,K89/12,J101))</f>
        <v/>
      </c>
      <c r="M101" s="2921"/>
      <c r="N101" s="2922"/>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0" t="s">
        <v>4154</v>
      </c>
      <c r="N103" s="1520"/>
    </row>
    <row r="104" spans="1:14" ht="13.15" customHeight="1">
      <c r="A104" s="19" t="s">
        <v>2489</v>
      </c>
      <c r="B104" s="20">
        <f>$B$14*(1+$B$5)^(B103-1)</f>
        <v>845630.53281548235</v>
      </c>
      <c r="C104" s="20">
        <f>$B$14*(1+$B$5)^(C103-1)</f>
        <v>862543.14347179176</v>
      </c>
      <c r="D104" s="20">
        <f>$B$14*(1+$B$5)^(D103-1)</f>
        <v>879794.0063412278</v>
      </c>
      <c r="E104" s="20">
        <f>$B$14*(1+$B$5)^(E103-1)</f>
        <v>897389.8864680524</v>
      </c>
      <c r="F104" s="848">
        <f>$B$14*(1+$B$5)^(F103-1)</f>
        <v>915337.68419741339</v>
      </c>
      <c r="G104" s="18"/>
      <c r="H104" s="18"/>
      <c r="I104" s="18"/>
      <c r="J104" s="18"/>
      <c r="K104" s="18"/>
      <c r="M104" s="2916"/>
      <c r="N104" s="2917"/>
    </row>
    <row r="105" spans="1:14" ht="13.15" customHeight="1">
      <c r="A105" s="22" t="s">
        <v>1053</v>
      </c>
      <c r="B105" s="23">
        <f>$B$15*(1+$B$5)^(B103-1)</f>
        <v>16912.610656309647</v>
      </c>
      <c r="C105" s="23">
        <f>$B$15*(1+$B$5)^(C103-1)</f>
        <v>17250.862869435838</v>
      </c>
      <c r="D105" s="23">
        <f>$B$15*(1+$B$5)^(D103-1)</f>
        <v>17595.880126824559</v>
      </c>
      <c r="E105" s="23">
        <f>$B$15*(1+$B$5)^(E103-1)</f>
        <v>17947.797729361049</v>
      </c>
      <c r="F105" s="24">
        <f>$B$15*(1+$B$5)^(F103-1)</f>
        <v>18306.753683948271</v>
      </c>
      <c r="G105" s="18"/>
      <c r="H105" s="18"/>
      <c r="I105" s="18"/>
      <c r="J105" s="18"/>
      <c r="K105" s="18"/>
      <c r="M105" s="2918"/>
      <c r="N105" s="2919"/>
    </row>
    <row r="106" spans="1:14" ht="13.15" customHeight="1">
      <c r="A106" s="22" t="s">
        <v>2490</v>
      </c>
      <c r="B106" s="23">
        <f>-(B104+B105)*$B$8</f>
        <v>-60378.020043025448</v>
      </c>
      <c r="C106" s="23">
        <f>-(C104+C105)*$B$8</f>
        <v>-61585.580443885934</v>
      </c>
      <c r="D106" s="23">
        <f>-(D104+D105)*$B$8</f>
        <v>-62817.292052763674</v>
      </c>
      <c r="E106" s="23">
        <f>-(E104+E105)*$B$8</f>
        <v>-64073.637893818952</v>
      </c>
      <c r="F106" s="24">
        <f>-(F104+F105)*$B$8</f>
        <v>-65355.110651695322</v>
      </c>
      <c r="G106" s="18"/>
      <c r="H106" s="18"/>
      <c r="I106" s="18"/>
      <c r="J106" s="18"/>
      <c r="K106" s="18"/>
      <c r="M106" s="2918"/>
      <c r="N106" s="2919"/>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18"/>
      <c r="N107" s="291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18"/>
      <c r="N108" s="2919"/>
    </row>
    <row r="109" spans="1:14" ht="13.15" customHeight="1">
      <c r="A109" s="22" t="s">
        <v>638</v>
      </c>
      <c r="B109" s="23">
        <f>$B$19*(1+$B$6)^(B103-1)</f>
        <v>-607670.01418727357</v>
      </c>
      <c r="C109" s="23">
        <f>$B$19*(1+$B$6)^(C103-1)</f>
        <v>-625900.1146128918</v>
      </c>
      <c r="D109" s="23">
        <f>$B$19*(1+$B$6)^(D103-1)</f>
        <v>-644677.11805127852</v>
      </c>
      <c r="E109" s="23">
        <f>$B$19*(1+$B$6)^(E103-1)</f>
        <v>-664017.43159281684</v>
      </c>
      <c r="F109" s="24">
        <f>$B$19*(1+$B$6)^(F103-1)</f>
        <v>-683937.95454060123</v>
      </c>
      <c r="G109" s="18"/>
      <c r="H109" s="18"/>
      <c r="I109" s="18"/>
      <c r="J109" s="18"/>
      <c r="K109" s="18"/>
      <c r="M109" s="2918"/>
      <c r="N109" s="2919"/>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-72195</v>
      </c>
      <c r="C110" s="23">
        <f>IF(AND('Part VII-Pro Forma'!$G$8="Yes",'Part VII-Pro Forma'!$G$9="Yes"),"Choose One!",IF('Part VII-Pro Forma'!$G$8="Yes",ROUND((-$K$8*(1+'Part VII-Pro Forma'!$B$6)^('Part VII-Pro Forma'!C103-1)),),IF('Part VII-Pro Forma'!$G$9="Yes",ROUND((-(SUM(C104:C107)*'Part VII-Pro Forma'!$K$9)),),"Choose mgt fee")))</f>
        <v>-73639</v>
      </c>
      <c r="D110" s="23">
        <f>IF(AND('Part VII-Pro Forma'!$G$8="Yes",'Part VII-Pro Forma'!$G$9="Yes"),"Choose One!",IF('Part VII-Pro Forma'!$G$8="Yes",ROUND((-$K$8*(1+'Part VII-Pro Forma'!$B$6)^('Part VII-Pro Forma'!D103-1)),),IF('Part VII-Pro Forma'!$G$9="Yes",ROUND((-(SUM(D104:D107)*'Part VII-Pro Forma'!$K$9)),),"Choose mgt fee")))</f>
        <v>-75112</v>
      </c>
      <c r="E110" s="23">
        <f>IF(AND('Part VII-Pro Forma'!$G$8="Yes",'Part VII-Pro Forma'!$G$9="Yes"),"Choose One!",IF('Part VII-Pro Forma'!$G$8="Yes",ROUND((-$K$8*(1+'Part VII-Pro Forma'!$B$6)^('Part VII-Pro Forma'!E103-1)),),IF('Part VII-Pro Forma'!$G$9="Yes",ROUND((-(SUM(E104:E107)*'Part VII-Pro Forma'!$K$9)),),"Choose mgt fee")))</f>
        <v>-76614</v>
      </c>
      <c r="F110" s="24">
        <f>IF(AND('Part VII-Pro Forma'!$G$8="Yes",'Part VII-Pro Forma'!$G$9="Yes"),"Choose One!",IF('Part VII-Pro Forma'!$G$8="Yes",ROUND((-$K$8*(1+'Part VII-Pro Forma'!$B$6)^('Part VII-Pro Forma'!F103-1)),),IF('Part VII-Pro Forma'!$G$9="Yes",ROUND((-(SUM(F104:F107)*'Part VII-Pro Forma'!$K$9)),),"Choose mgt fee")))</f>
        <v>-78146</v>
      </c>
      <c r="G110" s="18"/>
      <c r="H110" s="18"/>
      <c r="I110" s="18"/>
      <c r="J110" s="18"/>
      <c r="K110" s="18"/>
      <c r="M110" s="2918"/>
      <c r="N110" s="2919"/>
    </row>
    <row r="111" spans="1:14" ht="13.15" customHeight="1">
      <c r="A111" s="22" t="s">
        <v>1247</v>
      </c>
      <c r="B111" s="23">
        <f>$B$21*(1+$B$7)^(B103-1)</f>
        <v>-43690.724481413861</v>
      </c>
      <c r="C111" s="23">
        <f>$B$21*(1+$B$7)^(C103-1)</f>
        <v>-45001.446215856289</v>
      </c>
      <c r="D111" s="23">
        <f>$B$21*(1+$B$7)^(D103-1)</f>
        <v>-46351.489602331967</v>
      </c>
      <c r="E111" s="23">
        <f>$B$21*(1+$B$7)^(E103-1)</f>
        <v>-47742.034290401927</v>
      </c>
      <c r="F111" s="24">
        <f>$B$21*(1+$B$7)^(F103-1)</f>
        <v>-49174.295319113975</v>
      </c>
      <c r="G111" s="18"/>
      <c r="H111" s="18"/>
      <c r="I111" s="18"/>
      <c r="J111" s="18"/>
      <c r="K111" s="18"/>
      <c r="M111" s="2918"/>
      <c r="N111" s="2919"/>
    </row>
    <row r="112" spans="1:14" ht="13.15" customHeight="1">
      <c r="A112" s="22" t="s">
        <v>1248</v>
      </c>
      <c r="B112" s="23">
        <f>SUM(B104:B111)</f>
        <v>78609.384760079061</v>
      </c>
      <c r="C112" s="23">
        <f>SUM(C104:C111)</f>
        <v>73667.865068593586</v>
      </c>
      <c r="D112" s="23">
        <f>SUM(D104:D111)</f>
        <v>68431.986761678272</v>
      </c>
      <c r="E112" s="23">
        <f>SUM(E104:E111)</f>
        <v>62890.580420375838</v>
      </c>
      <c r="F112" s="24">
        <f>SUM(F104:F111)</f>
        <v>57031.077369951199</v>
      </c>
      <c r="G112" s="18"/>
      <c r="H112" s="18"/>
      <c r="I112" s="18"/>
      <c r="J112" s="18"/>
      <c r="K112" s="18"/>
      <c r="M112" s="2918"/>
      <c r="N112" s="2919"/>
    </row>
    <row r="113" spans="1:14" ht="13.15" customHeight="1">
      <c r="A113" s="22" t="str">
        <f>$A83</f>
        <v>Mortgage A</v>
      </c>
      <c r="B113" s="3059">
        <f>IF('Part III-Sources of Funds'!$N$37="", 0,-'Part III-Sources of Funds'!$N$37)*0</f>
        <v>0</v>
      </c>
      <c r="C113" s="3059">
        <f>IF('Part III-Sources of Funds'!$N$37="", 0,-'Part III-Sources of Funds'!$N$37)*0</f>
        <v>0</v>
      </c>
      <c r="D113" s="3059">
        <f>IF('Part III-Sources of Funds'!$N$37="", 0,-'Part III-Sources of Funds'!$N$37)*0</f>
        <v>0</v>
      </c>
      <c r="E113" s="3059">
        <f>IF('Part III-Sources of Funds'!$N$37="", 0,-'Part III-Sources of Funds'!$N$37)*0</f>
        <v>0</v>
      </c>
      <c r="F113" s="3059">
        <f>IF('Part III-Sources of Funds'!$N$37="", 0,-'Part III-Sources of Funds'!$N$37)*0</f>
        <v>0</v>
      </c>
      <c r="G113" s="18"/>
      <c r="H113" s="18"/>
      <c r="I113" s="18"/>
      <c r="J113" s="18"/>
      <c r="K113" s="18"/>
      <c r="M113" s="2918"/>
      <c r="N113" s="2919"/>
    </row>
    <row r="114" spans="1:14" ht="13.15" customHeight="1">
      <c r="A114" s="22" t="str">
        <f>$A84</f>
        <v>Mortgage B</v>
      </c>
      <c r="B114" s="3060">
        <f>IF('Part III-Sources of Funds'!$N$38="", 0,-'Part III-Sources of Funds'!$N$38)</f>
        <v>0</v>
      </c>
      <c r="C114" s="3060">
        <f>IF('Part III-Sources of Funds'!$N$38="", 0,-'Part III-Sources of Funds'!$N$38)</f>
        <v>0</v>
      </c>
      <c r="D114" s="3060">
        <f>IF('Part III-Sources of Funds'!$N$38="", 0,-'Part III-Sources of Funds'!$N$38)</f>
        <v>0</v>
      </c>
      <c r="E114" s="3060">
        <f>IF('Part III-Sources of Funds'!$N$38="", 0,-'Part III-Sources of Funds'!$N$38)</f>
        <v>0</v>
      </c>
      <c r="F114" s="3060">
        <f>IF('Part III-Sources of Funds'!$N$38="", 0,-'Part III-Sources of Funds'!$N$38)</f>
        <v>0</v>
      </c>
      <c r="G114" s="18"/>
      <c r="H114" s="18"/>
      <c r="I114" s="18"/>
      <c r="J114" s="18"/>
      <c r="K114" s="18"/>
      <c r="M114" s="2918"/>
      <c r="N114" s="2919"/>
    </row>
    <row r="115" spans="1:14" ht="13.15" customHeight="1">
      <c r="A115" s="22" t="str">
        <f>$A85</f>
        <v>Mortgage C</v>
      </c>
      <c r="B115" s="3060">
        <f>IF('Part III-Sources of Funds'!$N$39="", 0,-'Part III-Sources of Funds'!$N$39)</f>
        <v>0</v>
      </c>
      <c r="C115" s="3060">
        <f>IF('Part III-Sources of Funds'!$N$39="", 0,-'Part III-Sources of Funds'!$N$39)</f>
        <v>0</v>
      </c>
      <c r="D115" s="3060">
        <f>IF('Part III-Sources of Funds'!$N$39="", 0,-'Part III-Sources of Funds'!$N$39)</f>
        <v>0</v>
      </c>
      <c r="E115" s="3060">
        <f>IF('Part III-Sources of Funds'!$N$39="", 0,-'Part III-Sources of Funds'!$N$39)</f>
        <v>0</v>
      </c>
      <c r="F115" s="3060">
        <f>IF('Part III-Sources of Funds'!$N$39="", 0,-'Part III-Sources of Funds'!$N$39)</f>
        <v>0</v>
      </c>
      <c r="G115" s="18"/>
      <c r="H115" s="18"/>
      <c r="I115" s="18"/>
      <c r="J115" s="18"/>
      <c r="K115" s="18"/>
      <c r="M115" s="2918"/>
      <c r="N115" s="2919"/>
    </row>
    <row r="116" spans="1:14" ht="13.15" customHeight="1">
      <c r="A116" s="22" t="str">
        <f>$A86</f>
        <v>D/S Other Source</v>
      </c>
      <c r="B116" s="3060">
        <f>IF('Part III-Sources of Funds'!$N$40="", 0,-'Part III-Sources of Funds'!$N$40)</f>
        <v>0</v>
      </c>
      <c r="C116" s="3060">
        <f>IF('Part III-Sources of Funds'!$N$40="", 0,-'Part III-Sources of Funds'!$N$40)</f>
        <v>0</v>
      </c>
      <c r="D116" s="3060">
        <f>IF('Part III-Sources of Funds'!$N$40="", 0,-'Part III-Sources of Funds'!$N$40)</f>
        <v>0</v>
      </c>
      <c r="E116" s="3060">
        <f>IF('Part III-Sources of Funds'!$N$40="", 0,-'Part III-Sources of Funds'!$N$40)</f>
        <v>0</v>
      </c>
      <c r="F116" s="3060">
        <f>IF('Part III-Sources of Funds'!$N$40="", 0,-'Part III-Sources of Funds'!$N$40)</f>
        <v>0</v>
      </c>
      <c r="G116" s="18"/>
      <c r="H116" s="18"/>
      <c r="I116" s="18"/>
      <c r="J116" s="18"/>
      <c r="K116" s="18"/>
      <c r="M116" s="2918"/>
      <c r="N116" s="2919"/>
    </row>
    <row r="117" spans="1:14" ht="13.15" customHeight="1">
      <c r="A117" s="22" t="s">
        <v>794</v>
      </c>
      <c r="B117" s="3061"/>
      <c r="C117" s="3061"/>
      <c r="D117" s="3061"/>
      <c r="E117" s="3061"/>
      <c r="F117" s="3061"/>
      <c r="G117" s="18"/>
      <c r="H117" s="18"/>
      <c r="I117" s="18"/>
      <c r="J117" s="18"/>
      <c r="K117" s="18"/>
      <c r="M117" s="2918"/>
      <c r="N117" s="2919"/>
    </row>
    <row r="118" spans="1:14" ht="13.15" customHeight="1">
      <c r="A118" s="22" t="s">
        <v>1206</v>
      </c>
      <c r="B118" s="3060">
        <f>+K88</f>
        <v>-3000</v>
      </c>
      <c r="C118" s="3060">
        <f>+B118</f>
        <v>-3000</v>
      </c>
      <c r="D118" s="3060">
        <f>+C118</f>
        <v>-3000</v>
      </c>
      <c r="E118" s="3060">
        <f>+D118</f>
        <v>-3000</v>
      </c>
      <c r="F118" s="3060">
        <f>+E118</f>
        <v>-3000</v>
      </c>
      <c r="G118" s="18"/>
      <c r="H118" s="18"/>
      <c r="I118" s="18"/>
      <c r="J118" s="18"/>
      <c r="K118" s="18"/>
      <c r="M118" s="2918"/>
      <c r="N118" s="2919"/>
    </row>
    <row r="119" spans="1:14" ht="13.15" customHeight="1">
      <c r="A119" s="22" t="s">
        <v>1249</v>
      </c>
      <c r="B119" s="3062">
        <f>IF('Part III-Sources of Funds'!$N$42="", 0,-'Part III-Sources of Funds'!$N$42)</f>
        <v>0</v>
      </c>
      <c r="C119" s="3062">
        <f>IF('Part III-Sources of Funds'!$N$42="", 0,-'Part III-Sources of Funds'!$N$42)</f>
        <v>0</v>
      </c>
      <c r="D119" s="3062">
        <f>IF('Part III-Sources of Funds'!$N$42="", 0,-'Part III-Sources of Funds'!$N$42)</f>
        <v>0</v>
      </c>
      <c r="E119" s="3062">
        <f>IF('Part III-Sources of Funds'!$N$42="", 0,-'Part III-Sources of Funds'!$N$42)</f>
        <v>0</v>
      </c>
      <c r="F119" s="3062">
        <f>IF('Part III-Sources of Funds'!$N$42="", 0,-'Part III-Sources of Funds'!$N$42)</f>
        <v>0</v>
      </c>
      <c r="G119" s="18"/>
      <c r="H119" s="18"/>
      <c r="I119" s="18"/>
      <c r="J119" s="18"/>
      <c r="K119" s="18"/>
      <c r="M119" s="2918"/>
      <c r="N119" s="2919"/>
    </row>
    <row r="120" spans="1:14" ht="13.15" customHeight="1">
      <c r="A120" s="22" t="s">
        <v>1207</v>
      </c>
      <c r="B120" s="23">
        <f>SUM(B112:B119)</f>
        <v>75609.384760079061</v>
      </c>
      <c r="C120" s="23">
        <f>SUM(C112:C119)</f>
        <v>70667.865068593586</v>
      </c>
      <c r="D120" s="23">
        <f>SUM(D112:D119)</f>
        <v>65431.986761678272</v>
      </c>
      <c r="E120" s="23">
        <f>SUM(E112:E119)</f>
        <v>59890.580420375838</v>
      </c>
      <c r="F120" s="24">
        <f>SUM(F112:F119)</f>
        <v>54031.077369951199</v>
      </c>
      <c r="G120" s="18"/>
      <c r="H120" s="18"/>
      <c r="I120" s="18"/>
      <c r="J120" s="18"/>
      <c r="K120" s="18"/>
      <c r="M120" s="2918"/>
      <c r="N120" s="2919"/>
    </row>
    <row r="121" spans="1:14" ht="13.15" customHeight="1">
      <c r="A121" s="22" t="str">
        <f>$A91</f>
        <v>DCR Mortgage A</v>
      </c>
      <c r="B121" s="25" t="str">
        <f>IF(B113=0,"",-B112/B113)</f>
        <v/>
      </c>
      <c r="C121" s="25" t="str">
        <f>IF(C113=0,"",-C112/C113)</f>
        <v/>
      </c>
      <c r="D121" s="25" t="str">
        <f>IF(D113=0,"",-D112/D113)</f>
        <v/>
      </c>
      <c r="E121" s="25" t="str">
        <f>IF(E113=0,"",-E112/E113)</f>
        <v/>
      </c>
      <c r="F121" s="26" t="str">
        <f>IF(F113=0,"",-F112/F113)</f>
        <v/>
      </c>
      <c r="G121" s="18"/>
      <c r="H121" s="18"/>
      <c r="I121" s="18"/>
      <c r="J121" s="18"/>
      <c r="K121" s="18"/>
      <c r="M121" s="2918"/>
      <c r="N121" s="2919"/>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18"/>
      <c r="N122" s="2919"/>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18"/>
      <c r="N123" s="2919"/>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18"/>
      <c r="N124" s="2919"/>
    </row>
    <row r="125" spans="1:14" ht="13.15" customHeight="1">
      <c r="A125" s="467" t="s">
        <v>4190</v>
      </c>
      <c r="B125" s="25" t="str">
        <f>IF(AND(B113=0,B114=0,B115=0,B116=0),"",-B112/(B113+B114+B115+B116))</f>
        <v/>
      </c>
      <c r="C125" s="25" t="str">
        <f>IF(AND(C113=0,C114=0,C115=0,C116=0),"",-C112/(C113+C114+C115+C116))</f>
        <v/>
      </c>
      <c r="D125" s="25" t="str">
        <f>IF(AND(D113=0,D114=0,D115=0,D116=0),"",-D112/(D113+D114+D115+D116))</f>
        <v/>
      </c>
      <c r="E125" s="25" t="str">
        <f>IF(AND(E113=0,E114=0,E115=0,E116=0),"",-E112/(E113+E114+E115+E116))</f>
        <v/>
      </c>
      <c r="F125" s="26" t="str">
        <f>IF(AND(F113=0,F114=0,F115=0,F116=0),"",-F112/(F113+F114+F115+F116))</f>
        <v/>
      </c>
      <c r="G125" s="18"/>
      <c r="H125" s="18"/>
      <c r="I125" s="18"/>
      <c r="J125" s="18"/>
      <c r="K125" s="18"/>
      <c r="M125" s="2918"/>
      <c r="N125" s="2919"/>
    </row>
    <row r="126" spans="1:14" ht="13.15" customHeight="1">
      <c r="A126" s="22" t="s">
        <v>801</v>
      </c>
      <c r="B126" s="293">
        <f>IF(OR(B110="Choose mgt fee",B110="Choose One!"),"",(B104+B105+B106+B107+B108) / -(B109+B110+B111))</f>
        <v>1.1086431639734031</v>
      </c>
      <c r="C126" s="293">
        <f>IF(OR(C110="Choose mgt fee",C110="Choose One!"),"",(C104+C105+C106+C107+C108) / -(C109+C110+C111))</f>
        <v>1.0989440588523396</v>
      </c>
      <c r="D126" s="293">
        <f>IF(OR(D110="Choose mgt fee",D110="Choose One!"),"",(D104+D105+D106+D107+D108) / -(D109+D110+D111))</f>
        <v>1.0893204016052076</v>
      </c>
      <c r="E126" s="293">
        <f>IF(OR(E110="Choose mgt fee",E110="Choose One!"),"",(E104+E105+E106+E107+E108) / -(E109+E110+E111))</f>
        <v>1.0797725737127888</v>
      </c>
      <c r="F126" s="849">
        <f>IF(OR(F110="Choose mgt fee",F110="Choose One!"),"",(F104+F105+F106+F107+F108) / -(F109+F110+F111))</f>
        <v>1.0702995345561208</v>
      </c>
      <c r="G126" s="18"/>
      <c r="H126" s="18"/>
      <c r="I126" s="18"/>
      <c r="J126" s="18"/>
      <c r="K126" s="18"/>
      <c r="M126" s="2918"/>
      <c r="N126" s="2919"/>
    </row>
    <row r="127" spans="1:14" ht="13.15" customHeight="1">
      <c r="A127" s="467" t="s">
        <v>2705</v>
      </c>
      <c r="B127" s="3063">
        <f>IF('Part III-Sources of Funds'!$I$37="","",-FV('Part III-Sources of Funds'!$K$37/12,12,B113/12,K97))</f>
        <v>2.2700426179605409E-7</v>
      </c>
      <c r="C127" s="3063">
        <f>IF('Part III-Sources of Funds'!$I$37="","",-FV('Part III-Sources of Funds'!$K$37/12,12,C113/12,B127))</f>
        <v>2.2928473773128055E-7</v>
      </c>
      <c r="D127" s="3063">
        <f>IF('Part III-Sources of Funds'!$I$37="","",-FV('Part III-Sources of Funds'!$K$37/12,12,D113/12,C127))</f>
        <v>2.3158812323855645E-7</v>
      </c>
      <c r="E127" s="3063">
        <f>IF('Part III-Sources of Funds'!$I$37="","",-FV('Part III-Sources of Funds'!$K$37/12,12,E113/12,D127))</f>
        <v>2.3391464846654655E-7</v>
      </c>
      <c r="F127" s="3063">
        <f>IF('Part III-Sources of Funds'!$I$37="","",-FV('Part III-Sources of Funds'!$K$37/12,12,F113/12,E127))</f>
        <v>2.3626454587598006E-7</v>
      </c>
      <c r="G127" s="18"/>
      <c r="H127" s="18"/>
      <c r="I127" s="18"/>
      <c r="J127" s="18"/>
      <c r="K127" s="18"/>
      <c r="M127" s="2918"/>
      <c r="N127" s="2919"/>
    </row>
    <row r="128" spans="1:14" ht="13.15" customHeight="1">
      <c r="A128" s="467" t="s">
        <v>2706</v>
      </c>
      <c r="B128" s="3060" t="str">
        <f>IF('Part III-Sources of Funds'!$I$38="","",-FV('Part III-Sources of Funds'!$K$38/12,12,B114/12,K98))</f>
        <v/>
      </c>
      <c r="C128" s="3060" t="str">
        <f>IF('Part III-Sources of Funds'!$I$38="","",-FV('Part III-Sources of Funds'!$K$38/12,12,C114/12,B128))</f>
        <v/>
      </c>
      <c r="D128" s="3060" t="str">
        <f>IF('Part III-Sources of Funds'!$I$38="","",-FV('Part III-Sources of Funds'!$K$38/12,12,D114/12,C128))</f>
        <v/>
      </c>
      <c r="E128" s="3060" t="str">
        <f>IF('Part III-Sources of Funds'!$I$38="","",-FV('Part III-Sources of Funds'!$K$38/12,12,E114/12,D128))</f>
        <v/>
      </c>
      <c r="F128" s="3060" t="str">
        <f>IF('Part III-Sources of Funds'!$I$38="","",-FV('Part III-Sources of Funds'!$K$38/12,12,F114/12,E128))</f>
        <v/>
      </c>
      <c r="G128" s="18"/>
      <c r="H128" s="18"/>
      <c r="I128" s="18"/>
      <c r="J128" s="18"/>
      <c r="K128" s="18"/>
      <c r="M128" s="2918"/>
      <c r="N128" s="2919"/>
    </row>
    <row r="129" spans="1:14" ht="13.15" customHeight="1">
      <c r="A129" s="467" t="s">
        <v>2707</v>
      </c>
      <c r="B129" s="3060" t="str">
        <f>IF('Part III-Sources of Funds'!$I$39="","",-FV('Part III-Sources of Funds'!$K$39/12,12,B115/12,K99))</f>
        <v/>
      </c>
      <c r="C129" s="3060" t="str">
        <f>IF('Part III-Sources of Funds'!$I$39="","",-FV('Part III-Sources of Funds'!$K$39/12,12,C115/12,B129))</f>
        <v/>
      </c>
      <c r="D129" s="3060" t="str">
        <f>IF('Part III-Sources of Funds'!$I$39="","",-FV('Part III-Sources of Funds'!$K$39/12,12,D115/12,C129))</f>
        <v/>
      </c>
      <c r="E129" s="3060" t="str">
        <f>IF('Part III-Sources of Funds'!$I$39="","",-FV('Part III-Sources of Funds'!$K$39/12,12,E115/12,D129))</f>
        <v/>
      </c>
      <c r="F129" s="3060" t="str">
        <f>IF('Part III-Sources of Funds'!$I$39="","",-FV('Part III-Sources of Funds'!$K$39/12,12,F115/12,E129))</f>
        <v/>
      </c>
      <c r="G129" s="18"/>
      <c r="H129" s="18"/>
      <c r="I129" s="18"/>
      <c r="J129" s="18"/>
      <c r="K129" s="18"/>
      <c r="M129" s="2918"/>
      <c r="N129" s="2919"/>
    </row>
    <row r="130" spans="1:14" ht="13.15" customHeight="1">
      <c r="A130" s="22" t="s">
        <v>816</v>
      </c>
      <c r="B130" s="3060" t="str">
        <f>IF('Part III-Sources of Funds'!$I$40="","",-FV('Part III-Sources of Funds'!$K$40/12,12,B116/12,K100))</f>
        <v/>
      </c>
      <c r="C130" s="3060" t="str">
        <f>IF('Part III-Sources of Funds'!$I$40="","",-FV('Part III-Sources of Funds'!$K$40/12,12,C116/12,B130))</f>
        <v/>
      </c>
      <c r="D130" s="3060" t="str">
        <f>IF('Part III-Sources of Funds'!$I$40="","",-FV('Part III-Sources of Funds'!$K$40/12,12,D116/12,C130))</f>
        <v/>
      </c>
      <c r="E130" s="3060" t="str">
        <f>IF('Part III-Sources of Funds'!$I$40="","",-FV('Part III-Sources of Funds'!$K$40/12,12,E116/12,D130))</f>
        <v/>
      </c>
      <c r="F130" s="3060" t="str">
        <f>IF('Part III-Sources of Funds'!$I$40="","",-FV('Part III-Sources of Funds'!$K$40/12,12,F116/12,E130))</f>
        <v/>
      </c>
      <c r="G130" s="18"/>
      <c r="H130" s="18"/>
      <c r="I130" s="18"/>
      <c r="J130" s="18"/>
      <c r="K130" s="18"/>
      <c r="M130" s="2918"/>
      <c r="N130" s="2919"/>
    </row>
    <row r="131" spans="1:14" ht="13.15" customHeight="1">
      <c r="A131" s="27" t="s">
        <v>1284</v>
      </c>
      <c r="B131" s="3062" t="str">
        <f>IF('Part III-Sources of Funds'!$I$42="","",-FV('Part III-Sources of Funds'!$K$42/12,12,B119/12,K101))</f>
        <v/>
      </c>
      <c r="C131" s="3062" t="str">
        <f>IF('Part III-Sources of Funds'!$I$42="","",-FV('Part III-Sources of Funds'!$K$42/12,12,C119/12,B131))</f>
        <v/>
      </c>
      <c r="D131" s="3062" t="str">
        <f>IF('Part III-Sources of Funds'!$I$42="","",-FV('Part III-Sources of Funds'!$K$42/12,12,D119/12,C131))</f>
        <v/>
      </c>
      <c r="E131" s="3062" t="str">
        <f>IF('Part III-Sources of Funds'!$I$42="","",-FV('Part III-Sources of Funds'!$K$42/12,12,E119/12,D131))</f>
        <v/>
      </c>
      <c r="F131" s="3062" t="str">
        <f>IF('Part III-Sources of Funds'!$I$42="","",-FV('Part III-Sources of Funds'!$K$42/12,12,F119/12,E131))</f>
        <v/>
      </c>
      <c r="G131" s="18"/>
      <c r="H131" s="18"/>
      <c r="I131" s="18"/>
      <c r="J131" s="18"/>
      <c r="K131" s="18"/>
      <c r="M131" s="2921"/>
      <c r="N131" s="2922"/>
    </row>
    <row r="132" spans="1:14" ht="4.1500000000000004" customHeight="1"/>
    <row r="133" spans="1:14" ht="12" customHeight="1">
      <c r="A133" s="14" t="s">
        <v>592</v>
      </c>
      <c r="B133" s="14"/>
      <c r="G133" s="14" t="s">
        <v>1068</v>
      </c>
    </row>
    <row r="134" spans="1:14" ht="12" customHeight="1">
      <c r="B134" s="32"/>
    </row>
    <row r="135" spans="1:14" ht="210" customHeight="1">
      <c r="A135" s="2746" t="s">
        <v>4379</v>
      </c>
      <c r="B135" s="3064"/>
      <c r="C135" s="3064"/>
      <c r="D135" s="3064"/>
      <c r="E135" s="3064"/>
      <c r="F135" s="3065"/>
      <c r="G135" s="3066"/>
      <c r="H135" s="3067"/>
      <c r="I135" s="3067"/>
      <c r="J135" s="3067"/>
      <c r="K135" s="3068"/>
      <c r="M135" s="1534" t="s">
        <v>2796</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BF+b8xHadH220IK6zUc/FFkNRrJJhHgJd8IO1k9W9tv+G4qpylmexXzSBBRKK7nQT0ZABFjtUpy03gmOfKOb6g==" saltValue="J/C+CbN+C0DZgfFKEb3ffg=="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4:K89 B97:K101 B114:F119 B127:F131" unlockedFormula="1"/>
    <ignoredError sqref="B54:K59 B53:E53"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3" zoomScale="136" zoomScaleNormal="136" zoomScaleSheetLayoutView="40" workbookViewId="0">
      <pane ySplit="1620"/>
      <selection activeCell="A43" sqref="A1:XFD1048576"/>
      <selection pane="bottomLeft" activeCell="A12" sqref="A12:Q12"/>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2016-010 The Preserve at Newport, Kingsland, Camden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3" t="s">
        <v>1912</v>
      </c>
    </row>
    <row r="4" spans="1:32" ht="3" customHeight="1" thickBot="1">
      <c r="A4" s="1411"/>
      <c r="B4" s="1723"/>
      <c r="C4" s="1723"/>
      <c r="D4" s="1723"/>
      <c r="E4" s="1411"/>
      <c r="F4" s="1411"/>
      <c r="G4" s="1411"/>
      <c r="H4" s="1411"/>
      <c r="I4" s="1411"/>
      <c r="J4" s="1411"/>
      <c r="K4" s="1411"/>
      <c r="L4" s="1411"/>
      <c r="M4" s="1411"/>
      <c r="N4" s="1411"/>
      <c r="P4" s="1411"/>
      <c r="Q4" s="1411"/>
    </row>
    <row r="5" spans="1:32" ht="10.9" hidden="1" customHeight="1">
      <c r="A5" s="1411"/>
      <c r="B5" s="1411"/>
      <c r="C5" s="1411"/>
      <c r="D5" s="1411"/>
      <c r="E5" s="1411"/>
      <c r="F5" s="1411"/>
      <c r="G5" s="1411"/>
      <c r="H5" s="1411"/>
      <c r="I5" s="1411"/>
      <c r="J5" s="1411"/>
      <c r="K5" s="1411"/>
      <c r="L5" s="1411"/>
      <c r="M5" s="1411"/>
      <c r="N5" s="1411"/>
      <c r="P5" s="1411"/>
      <c r="Q5" s="1411"/>
    </row>
    <row r="6" spans="1:32" ht="15" customHeight="1" thickBot="1">
      <c r="A6" s="136" t="s">
        <v>586</v>
      </c>
      <c r="J6" s="1411"/>
      <c r="K6" s="1464" t="s">
        <v>4195</v>
      </c>
      <c r="L6" s="1465"/>
      <c r="M6" s="1466"/>
      <c r="N6" s="1411"/>
      <c r="P6" s="1724"/>
      <c r="Q6" s="1725"/>
    </row>
    <row r="7" spans="1:32" ht="12.6" customHeight="1">
      <c r="A7" s="137" t="s">
        <v>3694</v>
      </c>
      <c r="C7" s="138"/>
      <c r="D7" s="138"/>
      <c r="J7" s="1411"/>
      <c r="K7" s="1411"/>
      <c r="L7" s="1411"/>
      <c r="M7" s="1411"/>
      <c r="N7" s="1411"/>
    </row>
    <row r="8" spans="1:32" ht="24.6" customHeight="1">
      <c r="A8" s="1726" t="s">
        <v>1462</v>
      </c>
      <c r="B8" s="1727"/>
      <c r="C8" s="1727"/>
      <c r="D8" s="1727"/>
      <c r="E8" s="1727"/>
      <c r="F8" s="1727"/>
      <c r="G8" s="1727"/>
      <c r="H8" s="1727"/>
      <c r="I8" s="1727"/>
      <c r="J8" s="1727"/>
      <c r="K8" s="1727"/>
      <c r="L8" s="1727"/>
      <c r="M8" s="1727"/>
      <c r="N8" s="1727"/>
      <c r="O8" s="1727"/>
      <c r="P8" s="1727"/>
      <c r="Q8" s="1728"/>
      <c r="R8" s="1733" t="s">
        <v>2107</v>
      </c>
      <c r="S8" s="1444"/>
    </row>
    <row r="9" spans="1:32" ht="24.6" customHeight="1">
      <c r="A9" s="1696" t="s">
        <v>235</v>
      </c>
      <c r="B9" s="1697"/>
      <c r="C9" s="1697"/>
      <c r="D9" s="1697"/>
      <c r="E9" s="1697"/>
      <c r="F9" s="1697"/>
      <c r="G9" s="1697"/>
      <c r="H9" s="1697"/>
      <c r="I9" s="1697"/>
      <c r="J9" s="1697"/>
      <c r="K9" s="1697"/>
      <c r="L9" s="1697"/>
      <c r="M9" s="1697"/>
      <c r="N9" s="1697"/>
      <c r="O9" s="1697"/>
      <c r="P9" s="1697"/>
      <c r="Q9" s="1698"/>
      <c r="R9" s="1733"/>
      <c r="S9" s="1444"/>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4"/>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4"/>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5"/>
      <c r="S12" s="1385"/>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5"/>
      <c r="S13" s="1385"/>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ht="11.25" customHeight="1">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2100</v>
      </c>
      <c r="B21" s="1697"/>
      <c r="C21" s="1697"/>
      <c r="D21" s="1697"/>
      <c r="E21" s="1697"/>
      <c r="F21" s="1697"/>
      <c r="G21" s="1697"/>
      <c r="H21" s="1697"/>
      <c r="I21" s="1697"/>
      <c r="J21" s="1697"/>
      <c r="K21" s="1697"/>
      <c r="L21" s="1697"/>
      <c r="M21" s="1697"/>
      <c r="N21" s="1697"/>
      <c r="O21" s="1697"/>
      <c r="P21" s="1697"/>
      <c r="Q21" s="1698"/>
    </row>
    <row r="22" spans="1:19" ht="11.25" customHeight="1">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ht="11.25" customHeight="1">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19"/>
      <c r="J29" s="1419"/>
      <c r="K29" s="1419"/>
      <c r="L29" s="1411"/>
      <c r="M29" s="1411"/>
      <c r="O29" s="142" t="s">
        <v>1938</v>
      </c>
      <c r="P29" s="1711"/>
      <c r="Q29" s="1712"/>
    </row>
    <row r="30" spans="1:19" ht="3" customHeight="1"/>
    <row r="31" spans="1:19" ht="12" customHeight="1">
      <c r="B31" s="152" t="s">
        <v>2058</v>
      </c>
      <c r="C31" s="54" t="s">
        <v>3882</v>
      </c>
      <c r="E31" s="1219"/>
      <c r="F31" s="1219"/>
      <c r="G31" s="1219"/>
      <c r="H31" s="1219"/>
      <c r="I31" s="43"/>
      <c r="J31" s="34"/>
      <c r="K31" s="43"/>
      <c r="L31" s="34"/>
      <c r="M31" s="34"/>
      <c r="O31" s="70" t="s">
        <v>618</v>
      </c>
      <c r="P31" s="3069" t="s">
        <v>3156</v>
      </c>
      <c r="Q31" s="623"/>
    </row>
    <row r="32" spans="1:19" ht="12" customHeight="1">
      <c r="B32" s="48" t="s">
        <v>2061</v>
      </c>
      <c r="C32" s="54" t="s">
        <v>746</v>
      </c>
      <c r="E32" s="1219"/>
      <c r="F32" s="1219"/>
      <c r="G32" s="1219"/>
      <c r="H32" s="1219"/>
      <c r="J32" s="3070" t="s">
        <v>4151</v>
      </c>
      <c r="K32" s="3071"/>
      <c r="L32" s="3071"/>
      <c r="M32" s="3071"/>
      <c r="N32" s="3072"/>
      <c r="O32" s="70"/>
      <c r="P32" s="70"/>
      <c r="Q32" s="70"/>
    </row>
    <row r="33" spans="1:295" ht="11.25" customHeight="1">
      <c r="B33" s="71" t="s">
        <v>1936</v>
      </c>
      <c r="C33" s="71"/>
      <c r="D33" s="71"/>
      <c r="E33" s="71"/>
      <c r="F33" s="71"/>
      <c r="G33" s="1419"/>
      <c r="H33" s="1419"/>
      <c r="I33" s="1419"/>
      <c r="J33" s="1419"/>
      <c r="K33" s="1411"/>
      <c r="L33" s="1411"/>
      <c r="M33" s="1411"/>
      <c r="N33" s="1411"/>
      <c r="O33" s="1411"/>
      <c r="P33" s="1218"/>
      <c r="S33" s="171"/>
      <c r="T33" s="171"/>
    </row>
    <row r="34" spans="1:295" ht="36" customHeight="1">
      <c r="A34" s="3073" t="s">
        <v>4283</v>
      </c>
      <c r="B34" s="3074"/>
      <c r="C34" s="3074"/>
      <c r="D34" s="3074"/>
      <c r="E34" s="3074"/>
      <c r="F34" s="3074"/>
      <c r="G34" s="3074"/>
      <c r="H34" s="3074"/>
      <c r="I34" s="3074"/>
      <c r="J34" s="3074"/>
      <c r="K34" s="3074"/>
      <c r="L34" s="3074"/>
      <c r="M34" s="3074"/>
      <c r="N34" s="3074"/>
      <c r="O34" s="3074"/>
      <c r="P34" s="3074"/>
      <c r="Q34" s="3075"/>
      <c r="R34" s="496" t="s">
        <v>1301</v>
      </c>
      <c r="S34" s="497"/>
      <c r="T34" s="171"/>
      <c r="U34" s="146"/>
      <c r="V34" s="146"/>
      <c r="W34" s="146"/>
      <c r="X34" s="146"/>
      <c r="Y34" s="146"/>
      <c r="Z34" s="146"/>
      <c r="AA34" s="146"/>
      <c r="AB34" s="146"/>
      <c r="AC34" s="146"/>
      <c r="AD34" s="146"/>
      <c r="AE34" s="523"/>
    </row>
    <row r="35" spans="1:295" ht="11.25" customHeight="1">
      <c r="B35" s="147" t="s">
        <v>1937</v>
      </c>
      <c r="C35" s="148"/>
      <c r="D35" s="1418"/>
      <c r="E35" s="1418"/>
      <c r="F35" s="1418"/>
      <c r="G35" s="1418"/>
      <c r="H35" s="1418"/>
      <c r="I35" s="1418"/>
      <c r="J35" s="1418"/>
      <c r="K35" s="1418"/>
      <c r="L35" s="1418"/>
      <c r="M35" s="1418"/>
      <c r="N35" s="1418"/>
      <c r="O35" s="1418"/>
      <c r="P35" s="1418"/>
    </row>
    <row r="36" spans="1:295" ht="36" customHeight="1">
      <c r="A36" s="1740"/>
      <c r="B36" s="1740"/>
      <c r="C36" s="1740"/>
      <c r="D36" s="1740"/>
      <c r="E36" s="1740"/>
      <c r="F36" s="1740"/>
      <c r="G36" s="1740"/>
      <c r="H36" s="1740"/>
      <c r="I36" s="1740"/>
      <c r="J36" s="1740"/>
      <c r="K36" s="1740"/>
      <c r="L36" s="1740"/>
      <c r="M36" s="1740"/>
      <c r="N36" s="1740"/>
      <c r="O36" s="1740"/>
      <c r="P36" s="1740"/>
      <c r="Q36" s="1740"/>
      <c r="R36" s="496" t="s">
        <v>1301</v>
      </c>
      <c r="S36" s="497"/>
    </row>
    <row r="37" spans="1:295" ht="3" customHeight="1">
      <c r="B37" s="1419"/>
      <c r="C37" s="1418"/>
      <c r="D37" s="1418"/>
      <c r="E37" s="1418"/>
      <c r="F37" s="1418"/>
      <c r="G37" s="1418"/>
      <c r="H37" s="1418"/>
      <c r="I37" s="1418"/>
      <c r="J37" s="1418"/>
      <c r="K37" s="1418"/>
      <c r="L37" s="1418"/>
      <c r="M37" s="1418"/>
      <c r="N37" s="1418"/>
      <c r="O37" s="1418"/>
      <c r="P37" s="1418"/>
      <c r="Q37" s="1411"/>
    </row>
    <row r="38" spans="1:295" ht="12.75" customHeight="1">
      <c r="A38" s="1425">
        <v>2</v>
      </c>
      <c r="B38" s="4" t="s">
        <v>2817</v>
      </c>
      <c r="C38" s="4"/>
      <c r="D38" s="4"/>
      <c r="E38" s="1418"/>
      <c r="G38" s="820"/>
      <c r="H38" s="820"/>
      <c r="I38" s="820"/>
      <c r="J38" s="43"/>
      <c r="L38" s="821"/>
      <c r="M38" s="821"/>
      <c r="N38" s="821"/>
      <c r="O38" s="142" t="s">
        <v>1938</v>
      </c>
      <c r="P38" s="1711"/>
      <c r="Q38" s="1712"/>
    </row>
    <row r="39" spans="1:295" ht="11.25" customHeight="1">
      <c r="A39" s="1699" t="s">
        <v>3695</v>
      </c>
      <c r="B39" s="1699"/>
      <c r="C39" s="1699"/>
      <c r="D39" s="1699"/>
      <c r="E39" s="1699"/>
      <c r="F39" s="1699"/>
      <c r="G39" s="1786" t="s">
        <v>2821</v>
      </c>
      <c r="H39" s="1787"/>
      <c r="I39" s="827"/>
      <c r="J39" s="43"/>
      <c r="K39" s="1713" t="s">
        <v>4045</v>
      </c>
      <c r="L39" s="1714"/>
      <c r="M39" s="1714"/>
      <c r="N39" s="1715"/>
    </row>
    <row r="40" spans="1:295" ht="11.25" customHeight="1">
      <c r="A40" s="1699"/>
      <c r="B40" s="1699"/>
      <c r="C40" s="1699"/>
      <c r="D40" s="1699"/>
      <c r="E40" s="1699"/>
      <c r="F40" s="1699"/>
      <c r="G40" s="1721" t="s">
        <v>359</v>
      </c>
      <c r="H40" s="1722"/>
      <c r="I40" s="827"/>
      <c r="J40" s="43"/>
      <c r="K40" s="1708" t="s">
        <v>4046</v>
      </c>
      <c r="L40" s="1709"/>
      <c r="M40" s="1709"/>
      <c r="N40" s="1710"/>
      <c r="P40" s="604" t="s">
        <v>2849</v>
      </c>
      <c r="Q40" s="3069" t="s">
        <v>3153</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28" t="s">
        <v>2820</v>
      </c>
      <c r="E42" s="36"/>
      <c r="F42" s="829" t="s">
        <v>3697</v>
      </c>
      <c r="G42" s="1796" t="s">
        <v>3696</v>
      </c>
      <c r="H42" s="1796"/>
      <c r="I42" s="1796"/>
      <c r="J42" s="36"/>
      <c r="K42" s="829" t="s">
        <v>3697</v>
      </c>
      <c r="L42" s="1796" t="s">
        <v>3696</v>
      </c>
      <c r="M42" s="1796"/>
      <c r="N42" s="1796"/>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3545</v>
      </c>
      <c r="B43" s="1717"/>
      <c r="C43" s="1717"/>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7">
        <f>K43*L43</f>
        <v>0</v>
      </c>
      <c r="O43" s="1418"/>
      <c r="P43" s="1700" t="s">
        <v>3547</v>
      </c>
      <c r="Q43" s="1700"/>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3" t="s">
        <v>2525</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7">
        <f>K44*L44</f>
        <v>0</v>
      </c>
      <c r="O44" s="1418"/>
      <c r="P44" s="1700"/>
      <c r="Q44" s="1700"/>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3" t="s">
        <v>2526</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7">
        <f>K45*L45</f>
        <v>0</v>
      </c>
      <c r="O45" s="1418"/>
      <c r="P45" s="1700"/>
      <c r="Q45" s="1700"/>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3" t="s">
        <v>2527</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7">
        <f>K46*L46</f>
        <v>0</v>
      </c>
      <c r="O46" s="1418"/>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8"/>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2528</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7">
        <f>K47*L47</f>
        <v>0</v>
      </c>
      <c r="O47" s="1418"/>
      <c r="P47" s="1779"/>
      <c r="Q47" s="1780"/>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3556</v>
      </c>
      <c r="E48" s="36"/>
      <c r="F48" s="811">
        <f>SUM(F43:F47)</f>
        <v>0</v>
      </c>
      <c r="G48" s="830"/>
      <c r="H48" s="812"/>
      <c r="I48" s="813">
        <f>SUM(I43:I47)</f>
        <v>0</v>
      </c>
      <c r="J48" s="814"/>
      <c r="K48" s="811">
        <f>SUM(K43:K47)</f>
        <v>0</v>
      </c>
      <c r="L48" s="814"/>
      <c r="M48" s="812"/>
      <c r="N48" s="813">
        <f>SUM(N43:N47)</f>
        <v>0</v>
      </c>
      <c r="O48" s="1418"/>
      <c r="P48" s="1784" t="s">
        <v>4040</v>
      </c>
      <c r="Q48" s="1784"/>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8"/>
      <c r="N49" s="1142"/>
      <c r="O49" s="1418"/>
      <c r="P49" s="1781" t="str">
        <f>IF('Part IV-Uses of Funds'!$G$131&gt;P65,"CHECK TDC !!!","")</f>
        <v/>
      </c>
      <c r="Q49" s="1781"/>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3540</v>
      </c>
      <c r="B50" s="1717"/>
      <c r="C50" s="1717"/>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7">
        <f>K50*L50</f>
        <v>0</v>
      </c>
      <c r="P50" s="1792">
        <f>'Part IV-Uses of Funds'!$G$131</f>
        <v>11097534</v>
      </c>
      <c r="Q50" s="1793"/>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3" t="s">
        <v>2525</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7">
        <f>K51*L51</f>
        <v>0</v>
      </c>
      <c r="P51" s="1794"/>
      <c r="Q51" s="1795"/>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3" t="s">
        <v>2526</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7">
        <f>K52*L52</f>
        <v>0</v>
      </c>
      <c r="O52" s="739"/>
      <c r="P52" s="1784" t="s">
        <v>4047</v>
      </c>
      <c r="Q52" s="1784"/>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2527</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7">
        <f>K53*L53</f>
        <v>0</v>
      </c>
      <c r="O53" s="739"/>
      <c r="P53" s="1788"/>
      <c r="Q53" s="1789"/>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2528</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7">
        <f>K54*L54</f>
        <v>0</v>
      </c>
      <c r="O54" s="739"/>
      <c r="P54" s="1790"/>
      <c r="Q54" s="1791"/>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3556</v>
      </c>
      <c r="E55" s="36"/>
      <c r="F55" s="811">
        <f>SUM(F50:F54)</f>
        <v>0</v>
      </c>
      <c r="G55" s="830"/>
      <c r="H55" s="812"/>
      <c r="I55" s="813">
        <f>SUM(I50:I54)</f>
        <v>0</v>
      </c>
      <c r="J55" s="814"/>
      <c r="K55" s="811">
        <f>SUM(K50:K54)</f>
        <v>0</v>
      </c>
      <c r="L55" s="814"/>
      <c r="M55" s="812"/>
      <c r="N55" s="813">
        <f>SUM(N50:N54)</f>
        <v>0</v>
      </c>
      <c r="O55" s="739"/>
      <c r="P55" s="1774" t="s">
        <v>4038</v>
      </c>
      <c r="Q55" s="1774"/>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8"/>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3541</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7">
        <f>K57*L57</f>
        <v>0</v>
      </c>
      <c r="O57" s="739"/>
      <c r="P57" s="1775">
        <f>'Part IX A-Scoring Criteria'!O314</f>
        <v>0</v>
      </c>
      <c r="Q57" s="1776"/>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2525</v>
      </c>
      <c r="E58" s="1134">
        <v>1</v>
      </c>
      <c r="F58" s="1135">
        <f>'Part VI-Revenues &amp; Expenses'!$K$108</f>
        <v>12</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12 units = </v>
      </c>
      <c r="I58" s="1137">
        <f>F58*G58</f>
        <v>1487376</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7">
        <f>K58*L58</f>
        <v>0</v>
      </c>
      <c r="P58" s="1774" t="s">
        <v>4039</v>
      </c>
      <c r="Q58" s="1774"/>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2526</v>
      </c>
      <c r="E59" s="1134">
        <v>2</v>
      </c>
      <c r="F59" s="1135">
        <f>'Part VI-Revenues &amp; Expenses'!$L$108</f>
        <v>40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40 units = </v>
      </c>
      <c r="I59" s="1137">
        <f>F59*G59</f>
        <v>6282240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7">
        <f>K59*L59</f>
        <v>0</v>
      </c>
      <c r="P59" s="1775">
        <f>'Part IX A-Scoring Criteria'!O56</f>
        <v>2</v>
      </c>
      <c r="Q59" s="1776"/>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2527</v>
      </c>
      <c r="E60" s="1134">
        <v>3</v>
      </c>
      <c r="F60" s="1135">
        <f>'Part VI-Revenues &amp; Expenses'!$M$108</f>
        <v>20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20 units = </v>
      </c>
      <c r="I60" s="1137">
        <f>F60*G60</f>
        <v>4096100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2528</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7">
        <f>K61*L61</f>
        <v>0</v>
      </c>
      <c r="O61" s="739"/>
      <c r="P61" s="1782" t="s">
        <v>2887</v>
      </c>
      <c r="Q61" s="1782"/>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3556</v>
      </c>
      <c r="E62" s="36"/>
      <c r="F62" s="811">
        <f>SUM(F57:F61)</f>
        <v>72</v>
      </c>
      <c r="G62" s="830"/>
      <c r="H62" s="812"/>
      <c r="I62" s="813">
        <f>SUM(I57:I61)</f>
        <v>11865716</v>
      </c>
      <c r="J62" s="814"/>
      <c r="K62" s="811">
        <f>SUM(K57:K61)</f>
        <v>0</v>
      </c>
      <c r="L62" s="814"/>
      <c r="M62" s="812"/>
      <c r="N62" s="813">
        <f>SUM(N57:N61)</f>
        <v>0</v>
      </c>
      <c r="O62" s="739"/>
      <c r="P62" s="1782"/>
      <c r="Q62" s="1782"/>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8"/>
      <c r="N63" s="1142"/>
      <c r="O63" s="739"/>
      <c r="P63" s="1782"/>
      <c r="Q63" s="1782"/>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3542</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7">
        <f>K64*L64</f>
        <v>0</v>
      </c>
      <c r="O64" s="739"/>
      <c r="P64" s="1783"/>
      <c r="Q64" s="1783"/>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2525</v>
      </c>
      <c r="E65" s="1134">
        <v>1</v>
      </c>
      <c r="F65" s="1135">
        <f>'Part VI-Revenues &amp; Expenses'!$K$110</f>
        <v>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37">
        <f>F65*G65</f>
        <v>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37">
        <f>K65*L65</f>
        <v>0</v>
      </c>
      <c r="O65" s="739"/>
      <c r="P65" s="1701">
        <f>IF(P53&gt;1,P53, IF(AND('Part IV-Uses of Funds'!$T$164="Yes",'Part IX A-Scoring Criteria'!$O$314&gt;0),I71+N71,I71))</f>
        <v>11865716</v>
      </c>
      <c r="Q65" s="1702"/>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2526</v>
      </c>
      <c r="E66" s="1134">
        <v>2</v>
      </c>
      <c r="F66" s="1135">
        <f>'Part VI-Revenues &amp; Expenses'!$L$110</f>
        <v>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37">
        <f>F66*G66</f>
        <v>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37">
        <f>K66*L66</f>
        <v>0</v>
      </c>
      <c r="P66" s="1703"/>
      <c r="Q66" s="1704"/>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2527</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7">
        <f>K67*L67</f>
        <v>0</v>
      </c>
      <c r="P67" s="1785" t="s">
        <v>2846</v>
      </c>
      <c r="Q67" s="1785"/>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2528</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7">
        <f>K68*L68</f>
        <v>0</v>
      </c>
      <c r="O68" s="739"/>
      <c r="P68" s="1785"/>
      <c r="Q68" s="1785"/>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3556</v>
      </c>
      <c r="E69" s="36"/>
      <c r="F69" s="811">
        <f>SUM(F64:F68)</f>
        <v>0</v>
      </c>
      <c r="G69" s="830"/>
      <c r="H69" s="812"/>
      <c r="I69" s="813">
        <f>SUM(I64:I68)</f>
        <v>0</v>
      </c>
      <c r="J69" s="814"/>
      <c r="K69" s="811">
        <f>SUM(K64:K68)</f>
        <v>0</v>
      </c>
      <c r="L69" s="814"/>
      <c r="M69" s="812"/>
      <c r="N69" s="813">
        <f>SUM(N64:N68)</f>
        <v>0</v>
      </c>
      <c r="O69" s="739"/>
      <c r="P69" s="1785"/>
      <c r="Q69" s="1785"/>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2"/>
      <c r="O70" s="739"/>
      <c r="P70" s="1785"/>
      <c r="Q70" s="1785"/>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18">
        <f>F48+F55+F62+F69</f>
        <v>72</v>
      </c>
      <c r="G71" s="366"/>
      <c r="H71" s="819"/>
      <c r="I71" s="818">
        <f>I48+I55+I62+I69</f>
        <v>11865716</v>
      </c>
      <c r="J71" s="819"/>
      <c r="K71" s="818">
        <f>K48+K55+K62+K69</f>
        <v>0</v>
      </c>
      <c r="L71" s="819"/>
      <c r="M71" s="819"/>
      <c r="N71" s="818">
        <f>N48+N55+N62+N69</f>
        <v>0</v>
      </c>
      <c r="O71" s="739"/>
      <c r="P71" s="1785"/>
      <c r="Q71" s="1785"/>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19"/>
      <c r="J72" s="1419"/>
      <c r="K72" s="147" t="s">
        <v>1937</v>
      </c>
      <c r="L72" s="1411"/>
      <c r="M72" s="1411"/>
      <c r="N72" s="1411"/>
      <c r="O72" s="1411"/>
      <c r="P72" s="1411"/>
      <c r="Q72" s="1218"/>
    </row>
    <row r="73" spans="1:295" ht="10.5" customHeight="1">
      <c r="A73" s="3073" t="s">
        <v>4284</v>
      </c>
      <c r="B73" s="3074"/>
      <c r="C73" s="3074"/>
      <c r="D73" s="3074"/>
      <c r="E73" s="3074"/>
      <c r="F73" s="3074"/>
      <c r="G73" s="3074"/>
      <c r="H73" s="3074"/>
      <c r="I73" s="3074"/>
      <c r="J73" s="3075"/>
      <c r="K73" s="1705"/>
      <c r="L73" s="1706"/>
      <c r="M73" s="1706"/>
      <c r="N73" s="1706"/>
      <c r="O73" s="1706"/>
      <c r="P73" s="1706"/>
      <c r="Q73" s="1707"/>
      <c r="R73" s="496" t="s">
        <v>1301</v>
      </c>
      <c r="U73" s="146"/>
      <c r="V73" s="146"/>
      <c r="W73" s="146"/>
      <c r="X73" s="146"/>
      <c r="Y73" s="146"/>
      <c r="Z73" s="146"/>
      <c r="AA73" s="146"/>
      <c r="AB73" s="146"/>
      <c r="AC73" s="146"/>
      <c r="AD73" s="146"/>
      <c r="AE73" s="523"/>
    </row>
    <row r="74" spans="1:295" ht="3" customHeight="1">
      <c r="B74" s="1419"/>
      <c r="C74" s="1418"/>
      <c r="D74" s="1418"/>
      <c r="E74" s="1418"/>
      <c r="F74" s="1418"/>
      <c r="G74" s="1418"/>
      <c r="H74" s="1418"/>
      <c r="I74" s="1418"/>
      <c r="J74" s="1418"/>
      <c r="K74" s="1418"/>
      <c r="L74" s="1418"/>
      <c r="M74" s="1418"/>
      <c r="N74" s="1418"/>
      <c r="O74" s="1418"/>
      <c r="P74" s="1418"/>
      <c r="Q74" s="1411"/>
    </row>
    <row r="75" spans="1:295" ht="12.75" customHeight="1">
      <c r="A75" s="1425">
        <v>3</v>
      </c>
      <c r="B75" s="4" t="s">
        <v>1234</v>
      </c>
      <c r="C75" s="4"/>
      <c r="D75" s="4"/>
      <c r="E75" s="1418"/>
      <c r="F75" s="1418"/>
      <c r="G75" s="150" t="s">
        <v>101</v>
      </c>
      <c r="H75" s="1418"/>
      <c r="J75" s="3076" t="str">
        <f>'Part I-Project Information'!$H$67</f>
        <v>Family</v>
      </c>
      <c r="K75" s="3077"/>
      <c r="L75" s="3078"/>
      <c r="O75" s="142" t="s">
        <v>1938</v>
      </c>
      <c r="P75" s="1711"/>
      <c r="Q75" s="1712"/>
    </row>
    <row r="76" spans="1:295" ht="10.5" customHeight="1">
      <c r="B76" s="101" t="s">
        <v>1936</v>
      </c>
      <c r="D76" s="101"/>
      <c r="E76" s="101"/>
      <c r="F76" s="101"/>
      <c r="G76" s="101"/>
      <c r="H76" s="41"/>
      <c r="I76" s="1419"/>
      <c r="J76" s="1419"/>
      <c r="K76" s="147" t="s">
        <v>1937</v>
      </c>
      <c r="L76" s="1411"/>
      <c r="M76" s="1411"/>
      <c r="N76" s="1411"/>
      <c r="O76" s="1411"/>
      <c r="P76" s="1411"/>
      <c r="Q76" s="1218"/>
    </row>
    <row r="77" spans="1:295" ht="10.5" customHeight="1">
      <c r="A77" s="3073" t="s">
        <v>4285</v>
      </c>
      <c r="B77" s="3074"/>
      <c r="C77" s="3074"/>
      <c r="D77" s="3074"/>
      <c r="E77" s="3074"/>
      <c r="F77" s="3074"/>
      <c r="G77" s="3074"/>
      <c r="H77" s="3074"/>
      <c r="I77" s="3074"/>
      <c r="J77" s="3075"/>
      <c r="K77" s="1705"/>
      <c r="L77" s="1706"/>
      <c r="M77" s="1706"/>
      <c r="N77" s="1706"/>
      <c r="O77" s="1706"/>
      <c r="P77" s="1706"/>
      <c r="Q77" s="1707"/>
      <c r="R77" s="496" t="s">
        <v>1301</v>
      </c>
      <c r="U77" s="146"/>
      <c r="V77" s="146"/>
      <c r="W77" s="146"/>
      <c r="X77" s="146"/>
      <c r="Y77" s="146"/>
      <c r="Z77" s="146"/>
      <c r="AA77" s="146"/>
      <c r="AB77" s="146"/>
      <c r="AC77" s="146"/>
      <c r="AD77" s="146"/>
      <c r="AE77" s="523"/>
    </row>
    <row r="78" spans="1:295" ht="3" customHeight="1">
      <c r="A78" s="1411"/>
      <c r="B78" s="1419"/>
      <c r="C78" s="1418"/>
      <c r="D78" s="1418"/>
      <c r="E78" s="1418"/>
      <c r="F78" s="1418"/>
      <c r="G78" s="1418"/>
      <c r="H78" s="1418"/>
      <c r="I78" s="1418"/>
      <c r="J78" s="1418"/>
      <c r="K78" s="1418"/>
      <c r="L78" s="1418"/>
      <c r="M78" s="1418"/>
      <c r="N78" s="1418"/>
      <c r="O78" s="1418"/>
      <c r="P78" s="1418"/>
      <c r="Q78" s="1411"/>
    </row>
    <row r="79" spans="1:295" ht="12.75" customHeight="1">
      <c r="A79" s="1425">
        <v>4</v>
      </c>
      <c r="B79" s="1425" t="s">
        <v>2745</v>
      </c>
      <c r="C79" s="121"/>
      <c r="D79" s="1418"/>
      <c r="E79" s="1418"/>
      <c r="F79" s="1418"/>
      <c r="G79" s="1418"/>
      <c r="H79" s="1418"/>
      <c r="I79" s="1418"/>
      <c r="J79" s="1418"/>
      <c r="K79" s="1418"/>
      <c r="L79" s="1418"/>
      <c r="M79" s="1418"/>
      <c r="O79" s="142" t="s">
        <v>1938</v>
      </c>
      <c r="P79" s="1711"/>
      <c r="Q79" s="1712"/>
    </row>
    <row r="80" spans="1:295" ht="1.5" customHeight="1"/>
    <row r="81" spans="1:31" ht="10.5" customHeight="1">
      <c r="B81" s="861" t="s">
        <v>2058</v>
      </c>
      <c r="C81" s="431" t="s">
        <v>4146</v>
      </c>
      <c r="D81" s="1345"/>
      <c r="E81" s="1345"/>
      <c r="F81" s="1345"/>
      <c r="G81" s="1345"/>
      <c r="H81" s="1345"/>
      <c r="I81" s="1345"/>
      <c r="J81" s="1346" t="s">
        <v>4147</v>
      </c>
      <c r="K81" s="1345"/>
      <c r="L81" s="1345"/>
      <c r="M81" s="1345"/>
      <c r="O81" s="153"/>
      <c r="P81" s="3069" t="s">
        <v>4288</v>
      </c>
    </row>
    <row r="82" spans="1:31" ht="10.5" customHeight="1">
      <c r="B82" s="121" t="s">
        <v>2061</v>
      </c>
      <c r="C82" s="1219" t="s">
        <v>3886</v>
      </c>
      <c r="D82" s="1219"/>
      <c r="E82" s="1219"/>
      <c r="F82" s="1219"/>
      <c r="G82" s="1219"/>
      <c r="H82" s="1219"/>
      <c r="I82" s="1219"/>
      <c r="J82" s="1219"/>
      <c r="K82" s="1219"/>
      <c r="L82" s="1219"/>
      <c r="M82" s="1219"/>
      <c r="O82" s="1219"/>
      <c r="P82" s="1219"/>
      <c r="Q82" s="1219"/>
    </row>
    <row r="83" spans="1:31" ht="10.9" customHeight="1">
      <c r="A83" s="154"/>
      <c r="B83" s="70" t="s">
        <v>1803</v>
      </c>
      <c r="C83" s="1219" t="s">
        <v>3754</v>
      </c>
      <c r="E83" s="1423"/>
      <c r="F83" s="1423"/>
      <c r="G83" s="1423"/>
      <c r="H83" s="34"/>
      <c r="I83" s="37" t="s">
        <v>2809</v>
      </c>
      <c r="J83" s="3079" t="s">
        <v>4286</v>
      </c>
      <c r="K83" s="3080"/>
      <c r="L83" s="3080"/>
      <c r="M83" s="3080"/>
      <c r="N83" s="3080"/>
      <c r="O83" s="3080"/>
      <c r="P83" s="3080"/>
      <c r="Q83" s="3081"/>
    </row>
    <row r="84" spans="1:31" ht="10.9" customHeight="1">
      <c r="A84" s="154"/>
      <c r="B84" s="70" t="s">
        <v>1804</v>
      </c>
      <c r="C84" s="1219" t="s">
        <v>3884</v>
      </c>
      <c r="E84" s="1423"/>
      <c r="F84" s="1423"/>
      <c r="G84" s="1423"/>
      <c r="H84" s="34"/>
      <c r="I84" s="37" t="s">
        <v>2809</v>
      </c>
      <c r="J84" s="3082" t="s">
        <v>4287</v>
      </c>
      <c r="K84" s="3083"/>
      <c r="L84" s="3083"/>
      <c r="M84" s="3083"/>
      <c r="N84" s="3083"/>
      <c r="O84" s="3083"/>
      <c r="P84" s="3083"/>
      <c r="Q84" s="3084"/>
    </row>
    <row r="85" spans="1:31" ht="10.9" customHeight="1">
      <c r="A85" s="154"/>
      <c r="B85" s="70" t="s">
        <v>1805</v>
      </c>
      <c r="C85" s="1219" t="s">
        <v>3885</v>
      </c>
      <c r="E85" s="1423"/>
      <c r="F85" s="1423"/>
      <c r="G85" s="1423"/>
      <c r="H85" s="34"/>
      <c r="I85" s="37" t="s">
        <v>2809</v>
      </c>
      <c r="J85" s="3082"/>
      <c r="K85" s="3083"/>
      <c r="L85" s="3083"/>
      <c r="M85" s="3083"/>
      <c r="N85" s="3083"/>
      <c r="O85" s="3083"/>
      <c r="P85" s="3083"/>
      <c r="Q85" s="3084"/>
    </row>
    <row r="86" spans="1:31" ht="10.9" customHeight="1">
      <c r="A86" s="154"/>
      <c r="B86" s="521" t="s">
        <v>2448</v>
      </c>
      <c r="C86" s="1219" t="s">
        <v>3558</v>
      </c>
      <c r="E86" s="1423"/>
      <c r="I86" s="37" t="s">
        <v>2809</v>
      </c>
      <c r="J86" s="3085"/>
      <c r="K86" s="3086"/>
      <c r="L86" s="3086"/>
      <c r="M86" s="3086"/>
      <c r="N86" s="3086"/>
      <c r="O86" s="3086"/>
      <c r="P86" s="3086"/>
      <c r="Q86" s="3087"/>
    </row>
    <row r="87" spans="1:31" ht="10.9" customHeight="1">
      <c r="A87" s="154"/>
      <c r="B87" s="121" t="s">
        <v>779</v>
      </c>
      <c r="C87" s="41" t="s">
        <v>3853</v>
      </c>
      <c r="D87" s="1219"/>
      <c r="E87" s="1423"/>
      <c r="J87" s="37"/>
      <c r="K87" s="37"/>
      <c r="L87" s="37"/>
      <c r="M87" s="37"/>
      <c r="N87" s="37"/>
      <c r="O87" s="37"/>
      <c r="P87" s="37"/>
      <c r="Q87" s="37"/>
    </row>
    <row r="88" spans="1:31" ht="10.9" customHeight="1">
      <c r="A88" s="154"/>
      <c r="B88" s="48"/>
      <c r="C88" s="57" t="s">
        <v>3887</v>
      </c>
      <c r="D88" s="144"/>
      <c r="E88" s="144"/>
      <c r="F88" s="144"/>
      <c r="G88" s="144"/>
      <c r="H88" s="144"/>
      <c r="I88" s="43"/>
      <c r="J88" s="43"/>
      <c r="K88" s="521" t="s">
        <v>779</v>
      </c>
      <c r="L88" s="3088" t="s">
        <v>1006</v>
      </c>
      <c r="M88" s="3089"/>
      <c r="N88" s="3089"/>
      <c r="O88" s="3089"/>
      <c r="P88" s="3090"/>
      <c r="Q88" s="624"/>
    </row>
    <row r="89" spans="1:31" ht="10.5" customHeight="1">
      <c r="B89" s="101" t="s">
        <v>1936</v>
      </c>
      <c r="D89" s="101"/>
      <c r="E89" s="101"/>
      <c r="F89" s="101"/>
      <c r="G89" s="101"/>
      <c r="H89" s="41"/>
      <c r="I89" s="1419"/>
      <c r="J89" s="1419"/>
      <c r="K89" s="147" t="s">
        <v>1937</v>
      </c>
      <c r="L89" s="1411"/>
      <c r="M89" s="1411"/>
      <c r="N89" s="1411"/>
      <c r="O89" s="1411"/>
      <c r="P89" s="1411"/>
      <c r="Q89" s="1218"/>
    </row>
    <row r="90" spans="1:31" ht="36.75" customHeight="1">
      <c r="A90" s="3073" t="s">
        <v>4289</v>
      </c>
      <c r="B90" s="3074"/>
      <c r="C90" s="3074"/>
      <c r="D90" s="3074"/>
      <c r="E90" s="3074"/>
      <c r="F90" s="3074"/>
      <c r="G90" s="3074"/>
      <c r="H90" s="3074"/>
      <c r="I90" s="3074"/>
      <c r="J90" s="3075"/>
      <c r="K90" s="1705"/>
      <c r="L90" s="1706"/>
      <c r="M90" s="1706"/>
      <c r="N90" s="1706"/>
      <c r="O90" s="1706"/>
      <c r="P90" s="1706"/>
      <c r="Q90" s="1707"/>
      <c r="R90" s="496" t="s">
        <v>1301</v>
      </c>
      <c r="U90" s="146"/>
      <c r="V90" s="146"/>
      <c r="W90" s="146"/>
      <c r="X90" s="146"/>
      <c r="Y90" s="146"/>
      <c r="Z90" s="146"/>
      <c r="AA90" s="146"/>
      <c r="AB90" s="146"/>
      <c r="AC90" s="146"/>
      <c r="AD90" s="146"/>
      <c r="AE90" s="523"/>
    </row>
    <row r="91" spans="1:31" ht="3" customHeight="1">
      <c r="A91" s="1411"/>
      <c r="B91" s="1419"/>
      <c r="C91" s="1418"/>
      <c r="D91" s="1418"/>
      <c r="E91" s="1418"/>
      <c r="F91" s="1418"/>
      <c r="G91" s="1418"/>
      <c r="H91" s="1418"/>
      <c r="I91" s="1418"/>
      <c r="J91" s="1418"/>
      <c r="K91" s="1418"/>
      <c r="L91" s="1418"/>
      <c r="M91" s="1418"/>
      <c r="N91" s="1418"/>
      <c r="O91" s="1418"/>
      <c r="P91" s="1418"/>
      <c r="Q91" s="1411"/>
    </row>
    <row r="92" spans="1:31" ht="13.9" customHeight="1">
      <c r="A92" s="1425">
        <v>5</v>
      </c>
      <c r="B92" s="1425" t="s">
        <v>2746</v>
      </c>
      <c r="C92" s="1425"/>
      <c r="D92" s="1418"/>
      <c r="E92" s="1418"/>
      <c r="F92" s="1418"/>
      <c r="G92" s="1418"/>
      <c r="H92" s="1418"/>
      <c r="I92" s="1418"/>
      <c r="J92" s="1418"/>
      <c r="K92" s="1418"/>
      <c r="O92" s="142" t="s">
        <v>1938</v>
      </c>
      <c r="P92" s="1711"/>
      <c r="Q92" s="1712"/>
    </row>
    <row r="93" spans="1:31" ht="3" customHeight="1"/>
    <row r="94" spans="1:31" ht="12" customHeight="1">
      <c r="B94" s="48" t="s">
        <v>2058</v>
      </c>
      <c r="C94" s="155" t="s">
        <v>2545</v>
      </c>
      <c r="D94" s="144"/>
      <c r="E94" s="144"/>
      <c r="F94" s="144"/>
      <c r="G94" s="144"/>
      <c r="H94" s="144"/>
      <c r="I94" s="43"/>
      <c r="J94" s="43"/>
      <c r="K94" s="43"/>
      <c r="L94" s="521" t="s">
        <v>2058</v>
      </c>
      <c r="M94" s="3091" t="s">
        <v>4290</v>
      </c>
      <c r="N94" s="3092"/>
      <c r="O94" s="3092"/>
      <c r="P94" s="3093"/>
      <c r="Q94" s="626"/>
    </row>
    <row r="95" spans="1:31" ht="12" customHeight="1">
      <c r="B95" s="48" t="s">
        <v>2061</v>
      </c>
      <c r="C95" s="54" t="s">
        <v>2113</v>
      </c>
      <c r="D95" s="144"/>
      <c r="E95" s="144"/>
      <c r="F95" s="144"/>
      <c r="L95" s="521" t="s">
        <v>2061</v>
      </c>
      <c r="M95" s="3094" t="s">
        <v>4346</v>
      </c>
      <c r="N95" s="3095"/>
      <c r="O95" s="3095"/>
      <c r="P95" s="3096"/>
      <c r="Q95" s="627"/>
    </row>
    <row r="96" spans="1:31" ht="12" customHeight="1">
      <c r="B96" s="48" t="s">
        <v>779</v>
      </c>
      <c r="C96" s="54" t="s">
        <v>3018</v>
      </c>
      <c r="D96" s="144"/>
      <c r="E96" s="144"/>
      <c r="F96" s="144"/>
      <c r="L96" s="521" t="s">
        <v>779</v>
      </c>
      <c r="M96" s="3097">
        <v>0.99099999999999999</v>
      </c>
      <c r="N96" s="3098"/>
      <c r="O96" s="3098"/>
      <c r="P96" s="3099"/>
      <c r="Q96" s="627"/>
    </row>
    <row r="97" spans="1:31" ht="12" customHeight="1">
      <c r="B97" s="48" t="s">
        <v>2193</v>
      </c>
      <c r="C97" s="54" t="s">
        <v>4048</v>
      </c>
      <c r="D97" s="144"/>
      <c r="E97" s="144"/>
      <c r="F97" s="144"/>
      <c r="L97" s="521" t="s">
        <v>2193</v>
      </c>
      <c r="M97" s="3100">
        <v>0.10100000000000001</v>
      </c>
      <c r="N97" s="3101"/>
      <c r="O97" s="3101"/>
      <c r="P97" s="3102"/>
      <c r="Q97" s="628"/>
    </row>
    <row r="98" spans="1:31" ht="12" customHeight="1">
      <c r="B98" s="152" t="s">
        <v>1801</v>
      </c>
      <c r="C98" s="1718" t="s">
        <v>3717</v>
      </c>
      <c r="D98" s="1718"/>
      <c r="E98" s="1718"/>
      <c r="F98" s="1718"/>
      <c r="G98" s="1718"/>
      <c r="H98" s="1718"/>
      <c r="I98" s="1718"/>
      <c r="J98" s="1718"/>
      <c r="K98" s="1718"/>
      <c r="L98" s="1718"/>
      <c r="M98" s="1718"/>
      <c r="N98" s="1718"/>
      <c r="O98" s="1718"/>
      <c r="P98" s="1718"/>
      <c r="Q98" s="1718"/>
    </row>
    <row r="99" spans="1:31" ht="12" customHeight="1">
      <c r="B99" s="48"/>
      <c r="C99" s="54"/>
      <c r="D99" s="1436" t="s">
        <v>2463</v>
      </c>
      <c r="E99" s="1219" t="s">
        <v>641</v>
      </c>
      <c r="F99" s="1219"/>
      <c r="H99" s="54"/>
      <c r="I99" s="1436" t="s">
        <v>2463</v>
      </c>
      <c r="J99" s="1219" t="s">
        <v>641</v>
      </c>
      <c r="K99" s="1219"/>
      <c r="M99" s="54"/>
      <c r="N99" s="1436" t="s">
        <v>2463</v>
      </c>
      <c r="O99" s="1219" t="s">
        <v>641</v>
      </c>
      <c r="P99" s="1219"/>
      <c r="Q99" s="521"/>
    </row>
    <row r="100" spans="1:31" ht="12" customHeight="1">
      <c r="B100" s="48"/>
      <c r="C100" s="54">
        <v>1</v>
      </c>
      <c r="D100" s="3103" t="s">
        <v>1006</v>
      </c>
      <c r="E100" s="3104"/>
      <c r="F100" s="3104"/>
      <c r="G100" s="3104"/>
      <c r="H100" s="54">
        <v>3</v>
      </c>
      <c r="I100" s="3103" t="s">
        <v>1006</v>
      </c>
      <c r="J100" s="3104"/>
      <c r="K100" s="3104"/>
      <c r="L100" s="3104"/>
      <c r="M100" s="54">
        <v>5</v>
      </c>
      <c r="N100" s="3103" t="s">
        <v>1006</v>
      </c>
      <c r="O100" s="3104"/>
      <c r="P100" s="3104"/>
      <c r="Q100" s="3104"/>
    </row>
    <row r="101" spans="1:31" ht="12" customHeight="1">
      <c r="B101" s="48"/>
      <c r="C101" s="54">
        <v>2</v>
      </c>
      <c r="D101" s="3105" t="s">
        <v>1006</v>
      </c>
      <c r="E101" s="3106"/>
      <c r="F101" s="3106"/>
      <c r="G101" s="3106"/>
      <c r="H101" s="54">
        <v>4</v>
      </c>
      <c r="I101" s="3105" t="s">
        <v>1006</v>
      </c>
      <c r="J101" s="3106"/>
      <c r="K101" s="3106"/>
      <c r="L101" s="3106"/>
      <c r="M101" s="54">
        <v>6</v>
      </c>
      <c r="N101" s="3105" t="s">
        <v>1006</v>
      </c>
      <c r="O101" s="3106"/>
      <c r="P101" s="3106"/>
      <c r="Q101" s="3106"/>
    </row>
    <row r="102" spans="1:31" ht="12" customHeight="1">
      <c r="B102" s="48" t="s">
        <v>1802</v>
      </c>
      <c r="C102" s="54" t="s">
        <v>0</v>
      </c>
      <c r="D102" s="144"/>
      <c r="E102" s="144"/>
      <c r="F102" s="144"/>
      <c r="G102" s="144"/>
      <c r="H102" s="144"/>
      <c r="I102" s="43"/>
      <c r="J102" s="43"/>
      <c r="K102" s="144"/>
      <c r="L102" s="1423"/>
      <c r="M102" s="1423"/>
      <c r="O102" s="521" t="s">
        <v>1802</v>
      </c>
      <c r="P102" s="3107" t="s">
        <v>3153</v>
      </c>
      <c r="Q102" s="634"/>
    </row>
    <row r="103" spans="1:31" ht="11.25" customHeight="1">
      <c r="B103" s="151" t="s">
        <v>1936</v>
      </c>
      <c r="D103" s="151"/>
      <c r="E103" s="151"/>
      <c r="F103" s="151"/>
      <c r="G103" s="151"/>
      <c r="H103" s="41"/>
      <c r="I103" s="1419"/>
      <c r="J103" s="1419"/>
      <c r="K103" s="1419"/>
      <c r="L103" s="1411"/>
      <c r="M103" s="1411"/>
      <c r="N103" s="1411"/>
      <c r="O103" s="1411"/>
      <c r="P103" s="1411"/>
      <c r="Q103" s="1218"/>
    </row>
    <row r="104" spans="1:31" ht="44.25" customHeight="1">
      <c r="A104" s="3073" t="s">
        <v>4361</v>
      </c>
      <c r="B104" s="3074"/>
      <c r="C104" s="3074"/>
      <c r="D104" s="3074"/>
      <c r="E104" s="3074"/>
      <c r="F104" s="3074"/>
      <c r="G104" s="3074"/>
      <c r="H104" s="3074"/>
      <c r="I104" s="3074"/>
      <c r="J104" s="3074"/>
      <c r="K104" s="3074"/>
      <c r="L104" s="3074"/>
      <c r="M104" s="3074"/>
      <c r="N104" s="3074"/>
      <c r="O104" s="3074"/>
      <c r="P104" s="3074"/>
      <c r="Q104" s="3075"/>
      <c r="U104" s="146"/>
      <c r="V104" s="146"/>
      <c r="W104" s="146"/>
      <c r="X104" s="146"/>
      <c r="Y104" s="146"/>
      <c r="Z104" s="146"/>
      <c r="AA104" s="146"/>
      <c r="AB104" s="146"/>
      <c r="AC104" s="146"/>
      <c r="AD104" s="146"/>
      <c r="AE104" s="523"/>
    </row>
    <row r="105" spans="1:31" ht="11.25" customHeight="1">
      <c r="B105" s="147" t="s">
        <v>1937</v>
      </c>
      <c r="C105" s="148"/>
      <c r="D105" s="1418"/>
      <c r="E105" s="1418"/>
      <c r="F105" s="1418"/>
      <c r="G105" s="1418"/>
      <c r="H105" s="1418"/>
      <c r="I105" s="1418"/>
      <c r="J105" s="1418"/>
      <c r="K105" s="1418"/>
      <c r="L105" s="1418"/>
      <c r="M105" s="1418"/>
      <c r="N105" s="1418"/>
      <c r="O105" s="1418"/>
      <c r="P105" s="1418"/>
      <c r="Q105" s="1418"/>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5">
        <v>6</v>
      </c>
      <c r="B107" s="1425" t="s">
        <v>2747</v>
      </c>
      <c r="C107" s="1425"/>
      <c r="D107" s="1418"/>
      <c r="E107" s="1418"/>
      <c r="F107" s="1418"/>
      <c r="G107" s="1418"/>
      <c r="H107" s="1418"/>
      <c r="I107" s="1418"/>
      <c r="J107" s="1418"/>
      <c r="K107" s="1418"/>
      <c r="L107" s="1418"/>
      <c r="M107" s="1418"/>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108" t="s">
        <v>3156</v>
      </c>
      <c r="Q109" s="626"/>
    </row>
    <row r="110" spans="1:31" ht="12" customHeight="1">
      <c r="B110" s="48" t="s">
        <v>2061</v>
      </c>
      <c r="C110" s="54" t="s">
        <v>1353</v>
      </c>
      <c r="D110" s="54"/>
      <c r="E110" s="54"/>
      <c r="F110" s="54"/>
      <c r="G110" s="54"/>
      <c r="H110" s="54"/>
      <c r="I110" s="54"/>
      <c r="J110" s="54"/>
      <c r="K110" s="54"/>
      <c r="L110" s="1219"/>
      <c r="M110" s="1219"/>
      <c r="O110" s="521" t="s">
        <v>2061</v>
      </c>
      <c r="P110" s="3109" t="s">
        <v>3156</v>
      </c>
      <c r="Q110" s="627"/>
    </row>
    <row r="111" spans="1:31" ht="12" customHeight="1">
      <c r="A111" s="143"/>
      <c r="B111" s="37"/>
      <c r="D111" s="40" t="s">
        <v>573</v>
      </c>
      <c r="E111" s="43"/>
      <c r="F111" s="43"/>
      <c r="G111" s="43"/>
      <c r="H111" s="43"/>
      <c r="I111" s="43"/>
      <c r="L111" s="70" t="s">
        <v>574</v>
      </c>
      <c r="M111" s="3088" t="s">
        <v>1006</v>
      </c>
      <c r="N111" s="3089"/>
      <c r="O111" s="3089"/>
      <c r="P111" s="3110"/>
      <c r="Q111" s="627"/>
    </row>
    <row r="112" spans="1:31">
      <c r="A112" s="154"/>
      <c r="B112" s="1419"/>
      <c r="C112" s="160" t="s">
        <v>1803</v>
      </c>
      <c r="D112" s="1719" t="s">
        <v>3730</v>
      </c>
      <c r="E112" s="1720"/>
      <c r="F112" s="1720"/>
      <c r="G112" s="1720"/>
      <c r="H112" s="1720"/>
      <c r="I112" s="1720"/>
      <c r="J112" s="1720"/>
      <c r="K112" s="1720"/>
      <c r="L112" s="1720"/>
      <c r="M112" s="1720"/>
      <c r="N112" s="1720"/>
      <c r="O112" s="160" t="s">
        <v>1803</v>
      </c>
      <c r="P112" s="3108"/>
      <c r="Q112" s="627"/>
    </row>
    <row r="113" spans="1:32" ht="12" customHeight="1">
      <c r="A113" s="154"/>
      <c r="B113" s="1419"/>
      <c r="C113" s="70" t="s">
        <v>1804</v>
      </c>
      <c r="D113" s="1719" t="s">
        <v>3731</v>
      </c>
      <c r="E113" s="1720"/>
      <c r="F113" s="1720"/>
      <c r="G113" s="1720"/>
      <c r="H113" s="1720"/>
      <c r="I113" s="1720"/>
      <c r="J113" s="1720"/>
      <c r="K113" s="1720"/>
      <c r="L113" s="1720"/>
      <c r="M113" s="1720"/>
      <c r="N113" s="1720"/>
      <c r="O113" s="70" t="s">
        <v>1804</v>
      </c>
      <c r="P113" s="3111"/>
      <c r="Q113" s="627"/>
    </row>
    <row r="114" spans="1:32" ht="12" customHeight="1">
      <c r="A114" s="154"/>
      <c r="B114" s="1419"/>
      <c r="C114" s="160" t="s">
        <v>1805</v>
      </c>
      <c r="D114" s="54" t="s">
        <v>3019</v>
      </c>
      <c r="E114" s="54"/>
      <c r="F114" s="54"/>
      <c r="G114" s="54"/>
      <c r="H114" s="54"/>
      <c r="I114" s="54"/>
      <c r="J114" s="54"/>
      <c r="K114" s="54"/>
      <c r="L114" s="54"/>
      <c r="M114" s="54"/>
      <c r="O114" s="160" t="s">
        <v>1805</v>
      </c>
      <c r="P114" s="3111"/>
      <c r="Q114" s="627"/>
    </row>
    <row r="115" spans="1:32" s="143" customFormat="1" ht="24.75" customHeight="1">
      <c r="A115" s="154"/>
      <c r="B115" s="483"/>
      <c r="C115" s="174" t="s">
        <v>2448</v>
      </c>
      <c r="D115" s="1718" t="s">
        <v>2789</v>
      </c>
      <c r="E115" s="1718"/>
      <c r="F115" s="1718"/>
      <c r="G115" s="1718"/>
      <c r="H115" s="1718"/>
      <c r="I115" s="1718"/>
      <c r="J115" s="1718"/>
      <c r="K115" s="1718"/>
      <c r="L115" s="1718"/>
      <c r="M115" s="1718"/>
      <c r="N115" s="1718"/>
      <c r="O115" s="174" t="s">
        <v>2448</v>
      </c>
      <c r="P115" s="3112"/>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109" t="s">
        <v>3156</v>
      </c>
      <c r="Q116" s="628"/>
    </row>
    <row r="117" spans="1:32" ht="12" customHeight="1">
      <c r="B117" s="48" t="s">
        <v>2193</v>
      </c>
      <c r="C117" s="54" t="s">
        <v>1482</v>
      </c>
      <c r="D117" s="54"/>
      <c r="E117" s="54"/>
      <c r="G117" s="54"/>
      <c r="I117" s="54"/>
      <c r="K117" s="54"/>
      <c r="L117" s="1219"/>
      <c r="M117" s="1219"/>
      <c r="N117" s="1219"/>
      <c r="O117" s="1219"/>
      <c r="P117" s="1219"/>
      <c r="Q117" s="1219"/>
    </row>
    <row r="118" spans="1:32" ht="12" customHeight="1">
      <c r="B118" s="48"/>
      <c r="C118" s="70" t="s">
        <v>1803</v>
      </c>
      <c r="D118" s="54" t="s">
        <v>1483</v>
      </c>
      <c r="E118" s="54"/>
      <c r="F118" s="54"/>
      <c r="G118" s="54"/>
      <c r="H118" s="54"/>
      <c r="I118" s="54"/>
      <c r="J118" s="54"/>
      <c r="K118" s="54"/>
      <c r="L118" s="1219"/>
      <c r="M118" s="1219"/>
      <c r="O118" s="70" t="s">
        <v>1803</v>
      </c>
      <c r="P118" s="3108" t="s">
        <v>3156</v>
      </c>
      <c r="Q118" s="626"/>
    </row>
    <row r="119" spans="1:32" ht="12" customHeight="1">
      <c r="B119" s="48"/>
      <c r="C119" s="70" t="s">
        <v>1804</v>
      </c>
      <c r="D119" s="54" t="s">
        <v>1484</v>
      </c>
      <c r="E119" s="54"/>
      <c r="F119" s="54"/>
      <c r="G119" s="54"/>
      <c r="H119" s="54"/>
      <c r="I119" s="54"/>
      <c r="J119" s="54"/>
      <c r="K119" s="54"/>
      <c r="L119" s="1219"/>
      <c r="M119" s="1219"/>
      <c r="O119" s="70" t="s">
        <v>1804</v>
      </c>
      <c r="P119" s="3111" t="s">
        <v>3156</v>
      </c>
      <c r="Q119" s="627"/>
    </row>
    <row r="120" spans="1:32" ht="12" customHeight="1">
      <c r="B120" s="48"/>
      <c r="C120" s="70" t="s">
        <v>1805</v>
      </c>
      <c r="D120" s="54" t="s">
        <v>1485</v>
      </c>
      <c r="E120" s="54"/>
      <c r="F120" s="54"/>
      <c r="G120" s="54"/>
      <c r="H120" s="54"/>
      <c r="I120" s="54"/>
      <c r="J120" s="54"/>
      <c r="K120" s="54"/>
      <c r="L120" s="1219"/>
      <c r="M120" s="1219"/>
      <c r="O120" s="70" t="s">
        <v>1805</v>
      </c>
      <c r="P120" s="3109" t="s">
        <v>3156</v>
      </c>
      <c r="Q120" s="628"/>
    </row>
    <row r="121" spans="1:32" ht="11.25" customHeight="1">
      <c r="B121" s="151" t="s">
        <v>1936</v>
      </c>
      <c r="D121" s="151"/>
      <c r="E121" s="151"/>
      <c r="F121" s="151"/>
      <c r="G121" s="151"/>
      <c r="H121" s="41"/>
      <c r="I121" s="1419"/>
      <c r="J121" s="1419"/>
      <c r="K121" s="1419"/>
      <c r="L121" s="1411"/>
      <c r="M121" s="1411"/>
      <c r="N121" s="1411"/>
      <c r="O121" s="1411"/>
      <c r="P121" s="1411"/>
      <c r="Q121" s="1218"/>
    </row>
    <row r="122" spans="1:32" ht="24" customHeight="1">
      <c r="A122" s="3073" t="s">
        <v>4381</v>
      </c>
      <c r="B122" s="3074"/>
      <c r="C122" s="3074"/>
      <c r="D122" s="3074"/>
      <c r="E122" s="3074"/>
      <c r="F122" s="3074"/>
      <c r="G122" s="3074"/>
      <c r="H122" s="3074"/>
      <c r="I122" s="3074"/>
      <c r="J122" s="3074"/>
      <c r="K122" s="3074"/>
      <c r="L122" s="3074"/>
      <c r="M122" s="3074"/>
      <c r="N122" s="3074"/>
      <c r="O122" s="3074"/>
      <c r="P122" s="3074"/>
      <c r="Q122" s="3075"/>
      <c r="U122" s="146"/>
      <c r="V122" s="146"/>
      <c r="W122" s="146"/>
      <c r="X122" s="146"/>
      <c r="Y122" s="146"/>
      <c r="Z122" s="146"/>
      <c r="AA122" s="146"/>
      <c r="AB122" s="146"/>
      <c r="AC122" s="146"/>
      <c r="AD122" s="146"/>
      <c r="AE122" s="523"/>
    </row>
    <row r="123" spans="1:32" ht="11.25" customHeight="1">
      <c r="B123" s="147" t="s">
        <v>1937</v>
      </c>
      <c r="C123" s="148"/>
      <c r="D123" s="1418"/>
      <c r="E123" s="1418"/>
      <c r="F123" s="1418"/>
      <c r="G123" s="1418"/>
      <c r="H123" s="1418"/>
      <c r="I123" s="1418"/>
      <c r="J123" s="1418"/>
      <c r="K123" s="1418"/>
      <c r="L123" s="1418"/>
      <c r="M123" s="1418"/>
      <c r="N123" s="1418"/>
      <c r="O123" s="1418"/>
      <c r="P123" s="1418"/>
      <c r="Q123" s="1418"/>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1"/>
      <c r="B125" s="1419"/>
      <c r="C125" s="1418"/>
      <c r="D125" s="1418"/>
      <c r="E125" s="1418"/>
      <c r="F125" s="1418"/>
      <c r="G125" s="1418"/>
      <c r="H125" s="1418"/>
      <c r="I125" s="1418"/>
      <c r="J125" s="1418"/>
      <c r="K125" s="1418"/>
      <c r="L125" s="1418"/>
      <c r="M125" s="1418"/>
      <c r="N125" s="1418"/>
      <c r="O125" s="1418"/>
      <c r="P125" s="1418"/>
      <c r="Q125" s="1411"/>
    </row>
    <row r="126" spans="1:32" ht="13.9" customHeight="1">
      <c r="A126" s="1425">
        <v>7</v>
      </c>
      <c r="B126" s="1425" t="s">
        <v>2748</v>
      </c>
      <c r="C126" s="41"/>
      <c r="D126" s="1418"/>
      <c r="E126" s="1418"/>
      <c r="F126" s="1418"/>
      <c r="G126" s="1418"/>
      <c r="H126" s="1418"/>
      <c r="I126" s="1418"/>
      <c r="J126" s="1418"/>
      <c r="K126" s="1418"/>
      <c r="L126" s="1418"/>
      <c r="M126" s="1418"/>
      <c r="O126" s="142" t="s">
        <v>1938</v>
      </c>
      <c r="P126" s="1711"/>
      <c r="Q126" s="1712"/>
    </row>
    <row r="127" spans="1:32" ht="6.6" customHeight="1"/>
    <row r="128" spans="1:32" ht="12" customHeight="1">
      <c r="B128" s="48" t="s">
        <v>2058</v>
      </c>
      <c r="C128" s="54" t="s">
        <v>4049</v>
      </c>
      <c r="D128" s="144"/>
      <c r="E128" s="144"/>
      <c r="F128" s="144"/>
      <c r="G128" s="144"/>
      <c r="H128" s="144"/>
      <c r="I128" s="43"/>
      <c r="J128" s="43"/>
      <c r="K128" s="43"/>
      <c r="L128" s="521" t="s">
        <v>2058</v>
      </c>
      <c r="M128" s="3113" t="s">
        <v>4291</v>
      </c>
      <c r="N128" s="3114"/>
      <c r="O128" s="3114"/>
      <c r="P128" s="3115"/>
      <c r="Q128" s="624"/>
    </row>
    <row r="129" spans="2:17" ht="12" customHeight="1">
      <c r="B129" s="48" t="s">
        <v>2061</v>
      </c>
      <c r="C129" s="54" t="s">
        <v>1595</v>
      </c>
      <c r="D129" s="144"/>
      <c r="E129" s="144"/>
      <c r="F129" s="144"/>
      <c r="G129" s="144"/>
      <c r="H129" s="144"/>
      <c r="I129" s="43"/>
      <c r="J129" s="43"/>
      <c r="K129" s="144"/>
      <c r="L129" s="144"/>
      <c r="M129" s="1423"/>
      <c r="O129" s="521" t="s">
        <v>2061</v>
      </c>
      <c r="P129" s="3108" t="s">
        <v>3156</v>
      </c>
      <c r="Q129" s="1347"/>
    </row>
    <row r="130" spans="2:17" ht="12" customHeight="1">
      <c r="B130" s="48" t="s">
        <v>779</v>
      </c>
      <c r="C130" s="54" t="s">
        <v>156</v>
      </c>
      <c r="D130" s="144"/>
      <c r="E130" s="144"/>
      <c r="F130" s="144"/>
      <c r="G130" s="144"/>
      <c r="H130" s="144"/>
      <c r="I130" s="43"/>
      <c r="J130" s="43"/>
      <c r="K130" s="144"/>
      <c r="L130" s="1423"/>
      <c r="M130" s="1423"/>
      <c r="O130" s="521" t="s">
        <v>779</v>
      </c>
      <c r="P130" s="3109" t="s">
        <v>3153</v>
      </c>
      <c r="Q130" s="1261"/>
    </row>
    <row r="131" spans="2:17" ht="12" customHeight="1">
      <c r="B131" s="48"/>
      <c r="C131" s="69" t="s">
        <v>1803</v>
      </c>
      <c r="D131" s="54" t="s">
        <v>2788</v>
      </c>
      <c r="E131" s="144"/>
      <c r="F131" s="144"/>
      <c r="G131" s="144"/>
      <c r="H131" s="144"/>
      <c r="I131" s="43"/>
      <c r="J131" s="43"/>
      <c r="K131" s="144"/>
      <c r="L131" s="70" t="s">
        <v>1803</v>
      </c>
      <c r="M131" s="3113" t="s">
        <v>4292</v>
      </c>
      <c r="N131" s="3114"/>
      <c r="O131" s="3114"/>
      <c r="P131" s="3115"/>
      <c r="Q131" s="624"/>
    </row>
    <row r="132" spans="2:17" ht="12" customHeight="1">
      <c r="B132" s="149"/>
      <c r="C132" s="70" t="s">
        <v>1804</v>
      </c>
      <c r="D132" s="37" t="s">
        <v>3732</v>
      </c>
      <c r="E132" s="43"/>
      <c r="F132" s="43"/>
      <c r="G132" s="43"/>
      <c r="H132" s="54"/>
      <c r="I132" s="43"/>
      <c r="J132" s="43"/>
      <c r="K132" s="144"/>
      <c r="L132" s="1423"/>
      <c r="M132" s="1423"/>
      <c r="O132" s="521" t="s">
        <v>1804</v>
      </c>
      <c r="P132" s="3107">
        <v>60.5</v>
      </c>
      <c r="Q132" s="634"/>
    </row>
    <row r="133" spans="2:17" ht="12" customHeight="1">
      <c r="B133" s="149"/>
      <c r="C133" s="521" t="s">
        <v>1805</v>
      </c>
      <c r="D133" s="54" t="s">
        <v>1433</v>
      </c>
      <c r="E133" s="43"/>
      <c r="F133" s="43"/>
      <c r="G133" s="43"/>
      <c r="H133" s="54"/>
      <c r="I133" s="43"/>
      <c r="J133" s="43"/>
      <c r="K133" s="144"/>
      <c r="L133" s="1423"/>
      <c r="M133" s="1423"/>
      <c r="N133" s="1423"/>
      <c r="O133" s="1423"/>
    </row>
    <row r="134" spans="2:17" ht="11.45" customHeight="1">
      <c r="B134" s="1411"/>
      <c r="C134" s="70"/>
      <c r="D134" s="3116" t="s">
        <v>4382</v>
      </c>
      <c r="E134" s="3117"/>
      <c r="F134" s="3117"/>
      <c r="G134" s="3117"/>
      <c r="H134" s="3117"/>
      <c r="I134" s="3117"/>
      <c r="J134" s="3117"/>
      <c r="K134" s="3117"/>
      <c r="L134" s="3117"/>
      <c r="M134" s="3117"/>
      <c r="N134" s="3117"/>
      <c r="O134" s="3117"/>
      <c r="P134" s="3117"/>
      <c r="Q134" s="3118"/>
    </row>
    <row r="135" spans="2:17" ht="12" customHeight="1">
      <c r="B135" s="48" t="s">
        <v>2193</v>
      </c>
      <c r="C135" s="54" t="s">
        <v>1307</v>
      </c>
      <c r="D135" s="144"/>
      <c r="E135" s="144"/>
      <c r="F135" s="144"/>
      <c r="G135" s="144"/>
      <c r="H135" s="144"/>
      <c r="I135" s="43"/>
      <c r="J135" s="43"/>
      <c r="K135" s="144"/>
      <c r="L135" s="1423"/>
      <c r="M135" s="1423"/>
      <c r="N135" s="1423"/>
      <c r="O135" s="521" t="s">
        <v>2193</v>
      </c>
    </row>
    <row r="136" spans="2:17" ht="12" customHeight="1">
      <c r="B136" s="48"/>
      <c r="C136" s="70" t="s">
        <v>1803</v>
      </c>
      <c r="D136" s="54" t="s">
        <v>154</v>
      </c>
      <c r="E136" s="144"/>
      <c r="F136" s="144"/>
      <c r="G136" s="144"/>
      <c r="H136" s="144"/>
      <c r="I136" s="43"/>
      <c r="J136" s="43"/>
      <c r="K136" s="144"/>
      <c r="L136" s="1423"/>
      <c r="M136" s="1423"/>
      <c r="O136" s="70" t="s">
        <v>1803</v>
      </c>
      <c r="P136" s="3108" t="s">
        <v>3156</v>
      </c>
      <c r="Q136" s="626"/>
    </row>
    <row r="137" spans="2:17" ht="12" customHeight="1">
      <c r="B137" s="48"/>
      <c r="C137" s="70" t="s">
        <v>1804</v>
      </c>
      <c r="D137" s="54" t="s">
        <v>1308</v>
      </c>
      <c r="E137" s="144"/>
      <c r="F137" s="144"/>
      <c r="G137" s="144"/>
      <c r="H137" s="43"/>
      <c r="I137" s="43"/>
      <c r="J137" s="43"/>
      <c r="K137" s="144"/>
      <c r="L137" s="1423"/>
      <c r="M137" s="1423"/>
      <c r="O137" s="70" t="s">
        <v>1804</v>
      </c>
      <c r="P137" s="3111" t="s">
        <v>3156</v>
      </c>
      <c r="Q137" s="627"/>
    </row>
    <row r="138" spans="2:17" ht="12" customHeight="1">
      <c r="B138" s="48"/>
      <c r="C138" s="70"/>
      <c r="D138" s="54" t="s">
        <v>2724</v>
      </c>
      <c r="E138" s="493" t="s">
        <v>2520</v>
      </c>
      <c r="F138" s="54" t="s">
        <v>2725</v>
      </c>
      <c r="G138" s="43"/>
      <c r="H138" s="54"/>
      <c r="I138" s="43"/>
      <c r="J138" s="43"/>
      <c r="K138" s="144"/>
      <c r="L138" s="1423"/>
      <c r="M138" s="1423"/>
      <c r="O138" s="493" t="s">
        <v>2520</v>
      </c>
      <c r="P138" s="3119"/>
      <c r="Q138" s="1140"/>
    </row>
    <row r="139" spans="2:17" ht="12" customHeight="1">
      <c r="B139" s="48"/>
      <c r="C139" s="70"/>
      <c r="E139" s="493" t="s">
        <v>2521</v>
      </c>
      <c r="F139" s="54" t="s">
        <v>2726</v>
      </c>
      <c r="G139" s="43"/>
      <c r="H139" s="54"/>
      <c r="I139" s="43"/>
      <c r="J139" s="43"/>
      <c r="K139" s="144"/>
      <c r="L139" s="1423"/>
      <c r="M139" s="1423"/>
      <c r="O139" s="493" t="s">
        <v>2521</v>
      </c>
      <c r="P139" s="3111"/>
      <c r="Q139" s="627"/>
    </row>
    <row r="140" spans="2:17" ht="12" customHeight="1">
      <c r="B140" s="48"/>
      <c r="C140" s="70"/>
      <c r="E140" s="493" t="s">
        <v>2522</v>
      </c>
      <c r="F140" s="54" t="s">
        <v>2727</v>
      </c>
      <c r="G140" s="43"/>
      <c r="H140" s="54"/>
      <c r="I140" s="43"/>
      <c r="J140" s="43"/>
      <c r="K140" s="144"/>
      <c r="L140" s="1423"/>
      <c r="M140" s="1423"/>
      <c r="O140" s="493" t="s">
        <v>2522</v>
      </c>
      <c r="P140" s="3111"/>
      <c r="Q140" s="627"/>
    </row>
    <row r="141" spans="2:17" ht="12" customHeight="1">
      <c r="B141" s="48"/>
      <c r="C141" s="70" t="s">
        <v>1805</v>
      </c>
      <c r="D141" s="54" t="s">
        <v>1309</v>
      </c>
      <c r="E141" s="144"/>
      <c r="F141" s="144"/>
      <c r="G141" s="144"/>
      <c r="H141" s="54"/>
      <c r="I141" s="43"/>
      <c r="J141" s="43"/>
      <c r="K141" s="144"/>
      <c r="L141" s="1423"/>
      <c r="M141" s="1423"/>
      <c r="O141" s="70" t="s">
        <v>1805</v>
      </c>
      <c r="P141" s="3111" t="s">
        <v>3153</v>
      </c>
      <c r="Q141" s="627"/>
    </row>
    <row r="142" spans="2:17" ht="12" customHeight="1">
      <c r="B142" s="48"/>
      <c r="C142" s="70"/>
      <c r="D142" s="54" t="s">
        <v>2724</v>
      </c>
      <c r="E142" s="493" t="s">
        <v>2520</v>
      </c>
      <c r="F142" s="54" t="s">
        <v>2728</v>
      </c>
      <c r="G142" s="43"/>
      <c r="H142" s="54"/>
      <c r="I142" s="43"/>
      <c r="J142" s="43"/>
      <c r="K142" s="144"/>
      <c r="L142" s="1423"/>
      <c r="O142" s="493" t="s">
        <v>2520</v>
      </c>
      <c r="P142" s="3119">
        <v>0.27789999999999998</v>
      </c>
      <c r="Q142" s="1140"/>
    </row>
    <row r="143" spans="2:17" ht="12" customHeight="1">
      <c r="B143" s="48"/>
      <c r="C143" s="70"/>
      <c r="E143" s="493" t="s">
        <v>2521</v>
      </c>
      <c r="F143" s="54" t="s">
        <v>2729</v>
      </c>
      <c r="G143" s="43"/>
      <c r="H143" s="54"/>
      <c r="I143" s="43"/>
      <c r="J143" s="43"/>
      <c r="O143" s="493" t="s">
        <v>2521</v>
      </c>
      <c r="P143" s="3111" t="s">
        <v>3156</v>
      </c>
      <c r="Q143" s="627"/>
    </row>
    <row r="144" spans="2:17" ht="12" customHeight="1">
      <c r="B144" s="48"/>
      <c r="C144" s="70"/>
      <c r="E144" s="493" t="s">
        <v>2522</v>
      </c>
      <c r="F144" s="54" t="s">
        <v>2727</v>
      </c>
      <c r="G144" s="43"/>
      <c r="H144" s="54"/>
      <c r="I144" s="43"/>
      <c r="J144" s="43"/>
      <c r="O144" s="493" t="s">
        <v>2522</v>
      </c>
      <c r="P144" s="3111" t="s">
        <v>3153</v>
      </c>
      <c r="Q144" s="627"/>
    </row>
    <row r="145" spans="1:32" ht="12" customHeight="1">
      <c r="B145" s="37"/>
      <c r="C145" s="70" t="s">
        <v>2448</v>
      </c>
      <c r="D145" s="54" t="s">
        <v>2730</v>
      </c>
      <c r="E145" s="144"/>
      <c r="F145" s="144"/>
      <c r="G145" s="144"/>
      <c r="H145" s="144"/>
      <c r="I145" s="43"/>
      <c r="J145" s="43"/>
      <c r="O145" s="70" t="s">
        <v>2448</v>
      </c>
      <c r="P145" s="3109" t="s">
        <v>3156</v>
      </c>
      <c r="Q145" s="628"/>
    </row>
    <row r="146" spans="1:32" ht="12" customHeight="1">
      <c r="B146" s="48" t="s">
        <v>1801</v>
      </c>
      <c r="C146" s="156" t="s">
        <v>2499</v>
      </c>
      <c r="D146" s="144"/>
      <c r="E146" s="144"/>
      <c r="F146" s="144"/>
      <c r="G146" s="144"/>
      <c r="H146" s="144"/>
      <c r="I146" s="43"/>
      <c r="J146" s="43"/>
      <c r="K146" s="144"/>
      <c r="L146" s="1423"/>
      <c r="M146" s="1423"/>
      <c r="N146" s="1423"/>
      <c r="O146" s="1423"/>
      <c r="P146" s="1423"/>
      <c r="Q146" s="1423"/>
    </row>
    <row r="147" spans="1:32" ht="12" customHeight="1">
      <c r="C147" s="70" t="s">
        <v>1803</v>
      </c>
      <c r="D147" s="54" t="s">
        <v>2581</v>
      </c>
      <c r="E147" s="144"/>
      <c r="F147" s="3108" t="s">
        <v>3156</v>
      </c>
      <c r="G147" s="626"/>
      <c r="H147" s="70" t="s">
        <v>1606</v>
      </c>
      <c r="I147" s="57" t="s">
        <v>2732</v>
      </c>
      <c r="L147" s="3108" t="s">
        <v>3156</v>
      </c>
      <c r="M147" s="626"/>
      <c r="N147" s="521" t="s">
        <v>531</v>
      </c>
      <c r="O147" s="54" t="s">
        <v>1609</v>
      </c>
      <c r="P147" s="3108" t="s">
        <v>3156</v>
      </c>
      <c r="Q147" s="626"/>
    </row>
    <row r="148" spans="1:32" ht="12" customHeight="1">
      <c r="B148" s="37"/>
      <c r="C148" s="70" t="s">
        <v>1804</v>
      </c>
      <c r="D148" s="54" t="s">
        <v>2922</v>
      </c>
      <c r="E148" s="144"/>
      <c r="F148" s="3111" t="s">
        <v>3156</v>
      </c>
      <c r="G148" s="627"/>
      <c r="H148" s="70" t="s">
        <v>1607</v>
      </c>
      <c r="I148" s="57" t="s">
        <v>2733</v>
      </c>
      <c r="L148" s="3111" t="s">
        <v>3156</v>
      </c>
      <c r="M148" s="627"/>
      <c r="N148" s="521" t="s">
        <v>532</v>
      </c>
      <c r="O148" s="54" t="s">
        <v>1608</v>
      </c>
      <c r="P148" s="3111" t="s">
        <v>3156</v>
      </c>
      <c r="Q148" s="627"/>
    </row>
    <row r="149" spans="1:32" ht="12" customHeight="1">
      <c r="B149" s="37"/>
      <c r="C149" s="70" t="s">
        <v>1805</v>
      </c>
      <c r="D149" s="54" t="s">
        <v>2731</v>
      </c>
      <c r="E149" s="144"/>
      <c r="F149" s="3111" t="s">
        <v>3156</v>
      </c>
      <c r="G149" s="627"/>
      <c r="H149" s="521" t="s">
        <v>100</v>
      </c>
      <c r="I149" s="57" t="s">
        <v>2923</v>
      </c>
      <c r="L149" s="3111" t="s">
        <v>3156</v>
      </c>
      <c r="M149" s="627"/>
      <c r="N149" s="521" t="s">
        <v>2925</v>
      </c>
      <c r="O149" s="54" t="s">
        <v>1610</v>
      </c>
      <c r="P149" s="3109" t="s">
        <v>3156</v>
      </c>
      <c r="Q149" s="628"/>
    </row>
    <row r="150" spans="1:32" ht="12" customHeight="1">
      <c r="B150" s="37"/>
      <c r="C150" s="70" t="s">
        <v>2448</v>
      </c>
      <c r="D150" s="54" t="s">
        <v>2926</v>
      </c>
      <c r="E150" s="144"/>
      <c r="F150" s="3109" t="s">
        <v>3156</v>
      </c>
      <c r="G150" s="628"/>
      <c r="H150" s="521" t="s">
        <v>530</v>
      </c>
      <c r="I150" s="54" t="s">
        <v>2921</v>
      </c>
      <c r="L150" s="3109" t="s">
        <v>3156</v>
      </c>
      <c r="M150" s="628"/>
      <c r="O150" s="70"/>
    </row>
    <row r="151" spans="1:32" ht="12" customHeight="1">
      <c r="B151" s="37"/>
      <c r="C151" s="521" t="s">
        <v>3037</v>
      </c>
      <c r="D151" s="54" t="s">
        <v>2924</v>
      </c>
      <c r="E151" s="144"/>
      <c r="F151" s="144"/>
      <c r="G151" s="144"/>
      <c r="H151" s="144"/>
      <c r="I151" s="144"/>
      <c r="J151" s="144"/>
      <c r="K151" s="144"/>
      <c r="L151" s="144"/>
      <c r="M151" s="54"/>
      <c r="O151" s="70"/>
      <c r="P151" s="70"/>
    </row>
    <row r="152" spans="1:32" ht="12" customHeight="1">
      <c r="B152" s="37"/>
      <c r="D152" s="3088" t="s">
        <v>1006</v>
      </c>
      <c r="E152" s="3089"/>
      <c r="F152" s="3089"/>
      <c r="G152" s="3089"/>
      <c r="H152" s="3089"/>
      <c r="I152" s="3089"/>
      <c r="J152" s="3089"/>
      <c r="K152" s="3089"/>
      <c r="L152" s="3089"/>
      <c r="M152" s="3089"/>
      <c r="N152" s="3089"/>
      <c r="O152" s="3089"/>
      <c r="P152" s="3090"/>
      <c r="Q152" s="624"/>
    </row>
    <row r="153" spans="1:32" ht="12" customHeight="1">
      <c r="B153" s="48" t="s">
        <v>1802</v>
      </c>
      <c r="C153" s="54" t="s">
        <v>3856</v>
      </c>
      <c r="D153" s="144"/>
      <c r="E153" s="144"/>
      <c r="F153" s="144"/>
      <c r="G153" s="144"/>
      <c r="H153" s="144"/>
      <c r="I153" s="43"/>
      <c r="J153" s="43"/>
      <c r="K153" s="144"/>
      <c r="L153" s="144"/>
      <c r="M153" s="1423"/>
    </row>
    <row r="154" spans="1:32" ht="12" customHeight="1">
      <c r="A154" s="154"/>
      <c r="B154" s="43"/>
      <c r="C154" s="70" t="s">
        <v>1803</v>
      </c>
      <c r="D154" s="54" t="s">
        <v>2927</v>
      </c>
      <c r="E154" s="144"/>
      <c r="F154" s="144"/>
      <c r="G154" s="144"/>
      <c r="H154" s="144"/>
      <c r="O154" s="70" t="s">
        <v>1803</v>
      </c>
      <c r="P154" s="3108" t="s">
        <v>3156</v>
      </c>
      <c r="Q154" s="626"/>
    </row>
    <row r="155" spans="1:32" ht="12" customHeight="1">
      <c r="A155" s="154"/>
      <c r="B155" s="1419"/>
      <c r="C155" s="70" t="s">
        <v>1804</v>
      </c>
      <c r="D155" s="54" t="s">
        <v>508</v>
      </c>
      <c r="E155" s="54"/>
      <c r="F155" s="54"/>
      <c r="G155" s="54"/>
      <c r="H155" s="54"/>
      <c r="I155" s="43"/>
      <c r="J155" s="43"/>
      <c r="K155" s="54"/>
      <c r="L155" s="54"/>
      <c r="M155" s="54"/>
      <c r="O155" s="70" t="s">
        <v>1804</v>
      </c>
      <c r="P155" s="3111" t="s">
        <v>3153</v>
      </c>
      <c r="Q155" s="627"/>
    </row>
    <row r="156" spans="1:32" ht="12" customHeight="1">
      <c r="A156" s="154"/>
      <c r="B156" s="1419"/>
      <c r="C156" s="70" t="s">
        <v>1805</v>
      </c>
      <c r="D156" s="54" t="s">
        <v>707</v>
      </c>
      <c r="E156" s="54"/>
      <c r="F156" s="54"/>
      <c r="G156" s="54"/>
      <c r="H156" s="54"/>
      <c r="I156" s="43"/>
      <c r="J156" s="43"/>
      <c r="K156" s="54"/>
      <c r="L156" s="54"/>
      <c r="M156" s="54"/>
      <c r="O156" s="70" t="s">
        <v>1805</v>
      </c>
      <c r="P156" s="3111" t="s">
        <v>3153</v>
      </c>
      <c r="Q156" s="627"/>
    </row>
    <row r="157" spans="1:32" ht="12" customHeight="1">
      <c r="B157" s="48" t="s">
        <v>2021</v>
      </c>
      <c r="C157" s="54" t="s">
        <v>1819</v>
      </c>
      <c r="D157" s="144"/>
      <c r="E157" s="144"/>
      <c r="F157" s="144"/>
      <c r="G157" s="144"/>
      <c r="H157" s="144"/>
      <c r="I157" s="43"/>
      <c r="J157" s="43"/>
      <c r="K157" s="144"/>
      <c r="L157" s="144"/>
      <c r="M157" s="1423"/>
      <c r="O157" s="521" t="s">
        <v>2021</v>
      </c>
      <c r="P157" s="3109" t="s">
        <v>1006</v>
      </c>
      <c r="Q157" s="628"/>
    </row>
    <row r="158" spans="1:32" ht="12" customHeight="1">
      <c r="A158" s="456" t="s">
        <v>3718</v>
      </c>
      <c r="C158" s="54"/>
      <c r="D158" s="144"/>
      <c r="E158" s="144"/>
      <c r="F158" s="144"/>
      <c r="G158" s="144"/>
      <c r="H158" s="144"/>
      <c r="I158" s="43"/>
      <c r="J158" s="43"/>
      <c r="K158" s="144"/>
      <c r="L158" s="144"/>
      <c r="M158" s="1423"/>
      <c r="N158" s="1423"/>
      <c r="O158" s="1423"/>
      <c r="P158" s="1423"/>
      <c r="Q158" s="1423"/>
      <c r="R158" s="1423"/>
    </row>
    <row r="159" spans="1:32" s="1" customFormat="1" ht="23.45" customHeight="1">
      <c r="B159" s="152" t="s">
        <v>3559</v>
      </c>
      <c r="C159" s="1718" t="s">
        <v>153</v>
      </c>
      <c r="D159" s="1718"/>
      <c r="E159" s="1718"/>
      <c r="F159" s="1718"/>
      <c r="G159" s="1718"/>
      <c r="H159" s="1718"/>
      <c r="I159" s="1718"/>
      <c r="J159" s="1718"/>
      <c r="K159" s="1718"/>
      <c r="L159" s="1718"/>
      <c r="M159" s="174" t="s">
        <v>3559</v>
      </c>
      <c r="N159" s="3120" t="s">
        <v>4293</v>
      </c>
      <c r="O159" s="3121"/>
      <c r="P159" s="1765" t="s">
        <v>1837</v>
      </c>
      <c r="Q159" s="1766"/>
      <c r="AE159" s="5"/>
      <c r="AF159" s="5"/>
    </row>
    <row r="160" spans="1:32" s="1" customFormat="1" ht="12" customHeight="1">
      <c r="B160" s="48" t="s">
        <v>640</v>
      </c>
      <c r="C160" s="123" t="s">
        <v>1</v>
      </c>
      <c r="D160" s="1426"/>
      <c r="E160" s="1426"/>
      <c r="G160" s="521" t="s">
        <v>640</v>
      </c>
      <c r="H160" s="3116" t="s">
        <v>4294</v>
      </c>
      <c r="I160" s="3117"/>
      <c r="J160" s="3117"/>
      <c r="K160" s="3117"/>
      <c r="L160" s="3117"/>
      <c r="M160" s="3117"/>
      <c r="N160" s="3117"/>
      <c r="O160" s="3117"/>
      <c r="P160" s="3118"/>
      <c r="Q160" s="623"/>
      <c r="AE160" s="5"/>
      <c r="AF160" s="5"/>
    </row>
    <row r="161" spans="1:32" s="1" customFormat="1" ht="12" customHeight="1">
      <c r="B161" s="48" t="s">
        <v>3560</v>
      </c>
      <c r="C161" s="1219" t="s">
        <v>1469</v>
      </c>
      <c r="D161" s="11"/>
      <c r="E161" s="11"/>
      <c r="F161" s="11"/>
      <c r="G161" s="7"/>
      <c r="H161" s="7"/>
      <c r="I161" s="1219"/>
      <c r="K161" s="7"/>
      <c r="L161" s="7"/>
      <c r="M161" s="7"/>
      <c r="O161" s="521" t="s">
        <v>3560</v>
      </c>
      <c r="P161" s="3069" t="s">
        <v>3156</v>
      </c>
      <c r="Q161" s="623"/>
      <c r="AE161" s="5"/>
      <c r="AF161" s="5"/>
    </row>
    <row r="162" spans="1:32" ht="11.25" customHeight="1">
      <c r="B162" s="151" t="s">
        <v>1936</v>
      </c>
      <c r="D162" s="151"/>
      <c r="E162" s="151"/>
      <c r="F162" s="151"/>
      <c r="G162" s="151"/>
      <c r="H162" s="41"/>
      <c r="I162" s="1419"/>
      <c r="J162" s="1419"/>
      <c r="K162" s="1419"/>
      <c r="L162" s="1411"/>
      <c r="M162" s="1411"/>
      <c r="N162" s="1411"/>
      <c r="O162" s="1411"/>
      <c r="P162" s="1411"/>
      <c r="Q162" s="1218"/>
    </row>
    <row r="163" spans="1:32" ht="34.5" customHeight="1">
      <c r="A163" s="3073" t="s">
        <v>4383</v>
      </c>
      <c r="B163" s="3074"/>
      <c r="C163" s="3074"/>
      <c r="D163" s="3074"/>
      <c r="E163" s="3074"/>
      <c r="F163" s="3074"/>
      <c r="G163" s="3074"/>
      <c r="H163" s="3074"/>
      <c r="I163" s="3074"/>
      <c r="J163" s="3074"/>
      <c r="K163" s="3074"/>
      <c r="L163" s="3074"/>
      <c r="M163" s="3074"/>
      <c r="N163" s="3074"/>
      <c r="O163" s="3074"/>
      <c r="P163" s="3074"/>
      <c r="Q163" s="3075"/>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18"/>
      <c r="E165" s="1418"/>
      <c r="F165" s="1418"/>
      <c r="G165" s="1418"/>
      <c r="H165" s="1418"/>
      <c r="I165" s="1418"/>
      <c r="J165" s="1418"/>
      <c r="K165" s="1418"/>
      <c r="L165" s="1418"/>
      <c r="M165" s="1418"/>
      <c r="N165" s="1418"/>
      <c r="O165" s="1418"/>
      <c r="P165" s="1418"/>
      <c r="Q165" s="1418"/>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1"/>
      <c r="B167" s="1419"/>
      <c r="C167" s="1418"/>
      <c r="D167" s="1418"/>
      <c r="E167" s="1418"/>
      <c r="F167" s="1418"/>
      <c r="G167" s="1418"/>
      <c r="H167" s="1418"/>
      <c r="I167" s="1418"/>
      <c r="J167" s="1418"/>
      <c r="K167" s="1418"/>
      <c r="L167" s="1418"/>
      <c r="M167" s="1418"/>
      <c r="N167" s="1418"/>
      <c r="O167" s="1418"/>
      <c r="P167" s="1418"/>
      <c r="Q167" s="1411"/>
    </row>
    <row r="168" spans="1:32" ht="13.9" customHeight="1">
      <c r="A168" s="1425">
        <v>8</v>
      </c>
      <c r="B168" s="1425" t="s">
        <v>2749</v>
      </c>
      <c r="C168" s="1425"/>
      <c r="D168" s="1418"/>
      <c r="E168" s="1418"/>
      <c r="F168" s="1418"/>
      <c r="G168" s="1418"/>
      <c r="H168" s="1418"/>
      <c r="I168" s="1418"/>
      <c r="J168" s="1418"/>
      <c r="K168" s="1418"/>
      <c r="O168" s="142" t="s">
        <v>1938</v>
      </c>
      <c r="P168" s="1711"/>
      <c r="Q168" s="1712"/>
    </row>
    <row r="169" spans="1:32" ht="12" customHeight="1">
      <c r="B169" s="48" t="s">
        <v>2058</v>
      </c>
      <c r="C169" s="54" t="s">
        <v>3888</v>
      </c>
      <c r="D169" s="54"/>
      <c r="E169" s="54"/>
      <c r="F169" s="54"/>
      <c r="G169" s="54"/>
      <c r="I169" s="54" t="s">
        <v>2811</v>
      </c>
      <c r="K169" s="3122">
        <v>42795</v>
      </c>
      <c r="L169" s="3123"/>
      <c r="N169" s="54"/>
      <c r="O169" s="521" t="s">
        <v>2058</v>
      </c>
      <c r="P169" s="3069" t="s">
        <v>3153</v>
      </c>
      <c r="Q169" s="623"/>
    </row>
    <row r="170" spans="1:32" ht="12" customHeight="1">
      <c r="A170" s="149"/>
      <c r="B170" s="48" t="s">
        <v>2061</v>
      </c>
      <c r="C170" s="150" t="s">
        <v>155</v>
      </c>
      <c r="D170" s="150"/>
      <c r="E170" s="150"/>
      <c r="F170" s="150"/>
      <c r="G170" s="150"/>
      <c r="H170" s="150"/>
      <c r="M170" s="521" t="s">
        <v>2061</v>
      </c>
      <c r="N170" s="3124" t="s">
        <v>4295</v>
      </c>
      <c r="O170" s="3125"/>
      <c r="P170" s="1734" t="s">
        <v>1837</v>
      </c>
      <c r="Q170" s="1735"/>
    </row>
    <row r="171" spans="1:32" ht="12" customHeight="1">
      <c r="A171" s="149"/>
      <c r="B171" s="48" t="s">
        <v>779</v>
      </c>
      <c r="C171" s="150" t="s">
        <v>708</v>
      </c>
      <c r="D171" s="150"/>
      <c r="E171" s="150"/>
      <c r="F171" s="150"/>
      <c r="G171" s="150"/>
      <c r="H171" s="150"/>
      <c r="J171" s="521" t="s">
        <v>779</v>
      </c>
      <c r="K171" s="3088" t="s">
        <v>4228</v>
      </c>
      <c r="L171" s="3089"/>
      <c r="M171" s="3089"/>
      <c r="N171" s="3089"/>
      <c r="O171" s="3089"/>
      <c r="P171" s="3090"/>
      <c r="Q171" s="623"/>
    </row>
    <row r="172" spans="1:32" ht="12" customHeight="1">
      <c r="A172" s="149"/>
      <c r="B172" s="48" t="s">
        <v>2193</v>
      </c>
      <c r="C172" s="150" t="s">
        <v>3023</v>
      </c>
      <c r="D172" s="150"/>
      <c r="E172" s="150"/>
      <c r="F172" s="150"/>
      <c r="G172" s="150"/>
      <c r="H172" s="150"/>
      <c r="J172" s="521"/>
      <c r="K172" s="521"/>
      <c r="L172" s="521"/>
      <c r="M172" s="521"/>
      <c r="N172" s="521"/>
      <c r="O172" s="521" t="s">
        <v>2193</v>
      </c>
      <c r="P172" s="3069" t="s">
        <v>3153</v>
      </c>
      <c r="Q172" s="623"/>
    </row>
    <row r="173" spans="1:32" ht="12" customHeight="1">
      <c r="B173" s="151" t="s">
        <v>1936</v>
      </c>
      <c r="D173" s="151"/>
      <c r="E173" s="151"/>
      <c r="F173" s="151"/>
      <c r="G173" s="151"/>
      <c r="H173" s="41"/>
      <c r="I173" s="1419"/>
      <c r="J173" s="1419"/>
      <c r="K173" s="1419"/>
      <c r="L173" s="1411"/>
      <c r="M173" s="1411"/>
      <c r="N173" s="1411"/>
      <c r="O173" s="1411"/>
      <c r="P173" s="1411"/>
      <c r="Q173" s="1218"/>
    </row>
    <row r="174" spans="1:32" ht="11.45" customHeight="1">
      <c r="A174" s="3073" t="s">
        <v>4384</v>
      </c>
      <c r="B174" s="3074"/>
      <c r="C174" s="3074"/>
      <c r="D174" s="3074"/>
      <c r="E174" s="3074"/>
      <c r="F174" s="3074"/>
      <c r="G174" s="3074"/>
      <c r="H174" s="3074"/>
      <c r="I174" s="3074"/>
      <c r="J174" s="3074"/>
      <c r="K174" s="3074"/>
      <c r="L174" s="3074"/>
      <c r="M174" s="3074"/>
      <c r="N174" s="3074"/>
      <c r="O174" s="3074"/>
      <c r="P174" s="3074"/>
      <c r="Q174" s="3075"/>
      <c r="U174" s="146"/>
      <c r="V174" s="146"/>
      <c r="W174" s="146"/>
      <c r="X174" s="146"/>
      <c r="Y174" s="146"/>
      <c r="Z174" s="146"/>
      <c r="AA174" s="146"/>
      <c r="AB174" s="146"/>
      <c r="AC174" s="146"/>
      <c r="AD174" s="146"/>
      <c r="AE174" s="523"/>
    </row>
    <row r="175" spans="1:32" ht="12" customHeight="1">
      <c r="B175" s="147" t="s">
        <v>1937</v>
      </c>
      <c r="C175" s="148"/>
      <c r="D175" s="1418"/>
      <c r="E175" s="1418"/>
      <c r="F175" s="1418"/>
      <c r="G175" s="1418"/>
      <c r="H175" s="1418"/>
      <c r="I175" s="1418"/>
      <c r="J175" s="1418"/>
      <c r="K175" s="1418"/>
      <c r="L175" s="1418"/>
      <c r="M175" s="1418"/>
      <c r="N175" s="1418"/>
      <c r="O175" s="1418"/>
      <c r="P175" s="1418"/>
      <c r="Q175" s="1418"/>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1"/>
      <c r="B177" s="1419"/>
      <c r="C177" s="1418"/>
      <c r="D177" s="1418"/>
      <c r="E177" s="1418"/>
      <c r="F177" s="1418"/>
      <c r="G177" s="1418"/>
      <c r="H177" s="1418"/>
      <c r="I177" s="1418"/>
      <c r="J177" s="1418"/>
      <c r="K177" s="1418"/>
      <c r="L177" s="1418"/>
      <c r="M177" s="1418"/>
      <c r="Q177" s="1411"/>
    </row>
    <row r="178" spans="1:31" ht="13.9" customHeight="1">
      <c r="A178" s="1425">
        <v>9</v>
      </c>
      <c r="B178" s="1425" t="s">
        <v>2750</v>
      </c>
      <c r="C178" s="1425"/>
      <c r="D178" s="1418"/>
      <c r="E178" s="1418"/>
      <c r="F178" s="1418"/>
      <c r="G178" s="1418"/>
      <c r="H178" s="1418"/>
      <c r="I178" s="1418"/>
      <c r="J178" s="1418"/>
      <c r="K178" s="1418"/>
      <c r="L178" s="1418"/>
      <c r="M178" s="1418"/>
      <c r="O178" s="142" t="s">
        <v>1938</v>
      </c>
      <c r="P178" s="1711"/>
      <c r="Q178" s="1712"/>
    </row>
    <row r="179" spans="1:31" ht="21.75" customHeight="1">
      <c r="B179" s="152" t="s">
        <v>2058</v>
      </c>
      <c r="C179" s="1718" t="s">
        <v>4050</v>
      </c>
      <c r="D179" s="1718"/>
      <c r="E179" s="1718"/>
      <c r="F179" s="1718"/>
      <c r="G179" s="1718"/>
      <c r="H179" s="1718"/>
      <c r="I179" s="1718"/>
      <c r="J179" s="1718"/>
      <c r="K179" s="1718"/>
      <c r="L179" s="1718"/>
      <c r="M179" s="1718"/>
      <c r="N179" s="1718"/>
      <c r="O179" s="174" t="s">
        <v>2058</v>
      </c>
      <c r="P179" s="3108" t="s">
        <v>3153</v>
      </c>
      <c r="Q179" s="626"/>
    </row>
    <row r="180" spans="1:31" ht="22.15" customHeight="1">
      <c r="B180" s="152" t="s">
        <v>2061</v>
      </c>
      <c r="C180" s="1718" t="s">
        <v>4051</v>
      </c>
      <c r="D180" s="1718"/>
      <c r="E180" s="1718"/>
      <c r="F180" s="1718"/>
      <c r="G180" s="1718"/>
      <c r="H180" s="1718"/>
      <c r="I180" s="1718"/>
      <c r="J180" s="1718"/>
      <c r="K180" s="1718"/>
      <c r="L180" s="1718"/>
      <c r="M180" s="1718"/>
      <c r="N180" s="1718"/>
      <c r="O180" s="174" t="s">
        <v>2061</v>
      </c>
      <c r="P180" s="3111"/>
      <c r="Q180" s="627"/>
    </row>
    <row r="181" spans="1:31" ht="21.75" customHeight="1">
      <c r="B181" s="152" t="s">
        <v>779</v>
      </c>
      <c r="C181" s="1718" t="s">
        <v>2734</v>
      </c>
      <c r="D181" s="1718"/>
      <c r="E181" s="1718"/>
      <c r="F181" s="1718"/>
      <c r="G181" s="1718"/>
      <c r="H181" s="1718"/>
      <c r="I181" s="1718"/>
      <c r="J181" s="1718"/>
      <c r="K181" s="1718"/>
      <c r="L181" s="1718"/>
      <c r="M181" s="1718"/>
      <c r="N181" s="1718"/>
      <c r="O181" s="174" t="s">
        <v>779</v>
      </c>
      <c r="P181" s="3109"/>
      <c r="Q181" s="628"/>
    </row>
    <row r="182" spans="1:31" ht="12" customHeight="1">
      <c r="B182" s="151" t="s">
        <v>1936</v>
      </c>
      <c r="D182" s="151"/>
      <c r="E182" s="151"/>
      <c r="F182" s="151"/>
      <c r="G182" s="151"/>
      <c r="H182" s="41"/>
      <c r="I182" s="1419"/>
      <c r="J182" s="1419"/>
      <c r="K182" s="1419"/>
      <c r="L182" s="1411"/>
      <c r="M182" s="1411"/>
      <c r="N182" s="1411"/>
      <c r="O182" s="1411"/>
      <c r="P182" s="1411"/>
      <c r="Q182" s="1218"/>
    </row>
    <row r="183" spans="1:31" ht="11.45" customHeight="1">
      <c r="A183" s="3073" t="s">
        <v>4334</v>
      </c>
      <c r="B183" s="3074"/>
      <c r="C183" s="3074"/>
      <c r="D183" s="3074"/>
      <c r="E183" s="3074"/>
      <c r="F183" s="3074"/>
      <c r="G183" s="3074"/>
      <c r="H183" s="3074"/>
      <c r="I183" s="3074"/>
      <c r="J183" s="3074"/>
      <c r="K183" s="3074"/>
      <c r="L183" s="3074"/>
      <c r="M183" s="3074"/>
      <c r="N183" s="3074"/>
      <c r="O183" s="3074"/>
      <c r="P183" s="3074"/>
      <c r="Q183" s="3075"/>
      <c r="U183" s="146"/>
      <c r="V183" s="146"/>
      <c r="W183" s="146"/>
      <c r="X183" s="146"/>
      <c r="Y183" s="146"/>
      <c r="Z183" s="146"/>
      <c r="AA183" s="146"/>
      <c r="AB183" s="146"/>
      <c r="AC183" s="146"/>
      <c r="AD183" s="146"/>
      <c r="AE183" s="523"/>
    </row>
    <row r="184" spans="1:31" ht="12" customHeight="1">
      <c r="B184" s="147" t="s">
        <v>1937</v>
      </c>
      <c r="C184" s="148"/>
      <c r="D184" s="1418"/>
      <c r="E184" s="1418"/>
      <c r="F184" s="1418"/>
      <c r="G184" s="1418"/>
      <c r="H184" s="1418"/>
      <c r="I184" s="1418"/>
      <c r="J184" s="1418"/>
      <c r="K184" s="1418"/>
      <c r="L184" s="1418"/>
      <c r="M184" s="1418"/>
      <c r="N184" s="1418"/>
      <c r="O184" s="1418"/>
      <c r="P184" s="1418"/>
      <c r="Q184" s="1418"/>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19"/>
      <c r="C186" s="1418"/>
      <c r="D186" s="1418"/>
      <c r="E186" s="1418"/>
      <c r="F186" s="1418"/>
      <c r="G186" s="1418"/>
      <c r="H186" s="1418"/>
      <c r="I186" s="1418"/>
      <c r="J186" s="1418"/>
      <c r="K186" s="1418"/>
      <c r="L186" s="1418"/>
      <c r="M186" s="1418"/>
      <c r="N186" s="1418"/>
      <c r="O186" s="1418"/>
      <c r="P186" s="1418"/>
      <c r="Q186" s="1411"/>
    </row>
    <row r="187" spans="1:31" ht="13.9" customHeight="1">
      <c r="A187" s="1399">
        <v>10</v>
      </c>
      <c r="B187" s="1748" t="s">
        <v>2751</v>
      </c>
      <c r="C187" s="1748"/>
      <c r="D187" s="1748"/>
      <c r="O187" s="142" t="s">
        <v>1938</v>
      </c>
      <c r="P187" s="1711"/>
      <c r="Q187" s="1712"/>
    </row>
    <row r="188" spans="1:31" ht="12" customHeight="1">
      <c r="B188" s="152" t="s">
        <v>2058</v>
      </c>
      <c r="C188" s="1174" t="s">
        <v>485</v>
      </c>
      <c r="D188" s="1174"/>
      <c r="E188" s="1174"/>
      <c r="F188" s="1174"/>
      <c r="G188" s="1174"/>
      <c r="H188" s="1174"/>
      <c r="I188" s="1174"/>
      <c r="J188" s="1174"/>
      <c r="K188" s="1174"/>
      <c r="L188" s="1174"/>
      <c r="M188" s="1174"/>
      <c r="O188" s="174" t="s">
        <v>2058</v>
      </c>
      <c r="P188" s="3108" t="s">
        <v>3153</v>
      </c>
      <c r="Q188" s="626"/>
    </row>
    <row r="189" spans="1:31" ht="12" customHeight="1">
      <c r="B189" s="152" t="s">
        <v>2061</v>
      </c>
      <c r="C189" s="1174" t="s">
        <v>2735</v>
      </c>
      <c r="D189" s="1174"/>
      <c r="E189" s="1174"/>
      <c r="F189" s="1174"/>
      <c r="G189" s="1174"/>
      <c r="H189" s="1174"/>
      <c r="I189" s="1174"/>
      <c r="J189" s="1174"/>
      <c r="K189" s="1174"/>
      <c r="L189" s="1174"/>
      <c r="M189" s="1174"/>
      <c r="O189" s="174" t="s">
        <v>2061</v>
      </c>
      <c r="P189" s="3111" t="s">
        <v>3153</v>
      </c>
      <c r="Q189" s="627"/>
    </row>
    <row r="190" spans="1:31" ht="12" customHeight="1">
      <c r="B190" s="152" t="s">
        <v>779</v>
      </c>
      <c r="C190" s="1174" t="s">
        <v>2736</v>
      </c>
      <c r="D190" s="1174"/>
      <c r="E190" s="1174"/>
      <c r="F190" s="1174"/>
      <c r="G190" s="1174"/>
      <c r="H190" s="1174"/>
      <c r="I190" s="1174"/>
      <c r="J190" s="1174"/>
      <c r="K190" s="1174"/>
      <c r="L190" s="1174"/>
      <c r="M190" s="1174"/>
      <c r="O190" s="174" t="s">
        <v>779</v>
      </c>
      <c r="P190" s="3111" t="s">
        <v>3153</v>
      </c>
      <c r="Q190" s="627"/>
    </row>
    <row r="191" spans="1:31" ht="12" customHeight="1">
      <c r="B191" s="152"/>
      <c r="C191" s="1174" t="s">
        <v>2724</v>
      </c>
      <c r="D191" s="1174"/>
      <c r="E191" s="493" t="s">
        <v>1803</v>
      </c>
      <c r="F191" s="1174" t="s">
        <v>2737</v>
      </c>
      <c r="G191" s="1174"/>
      <c r="H191" s="1174"/>
      <c r="I191" s="1174"/>
      <c r="J191" s="1174"/>
      <c r="K191" s="1174"/>
      <c r="L191" s="1174"/>
      <c r="M191" s="1174"/>
      <c r="O191" s="493" t="s">
        <v>1803</v>
      </c>
      <c r="P191" s="3111" t="s">
        <v>3153</v>
      </c>
      <c r="Q191" s="627"/>
    </row>
    <row r="192" spans="1:31" ht="12" customHeight="1">
      <c r="B192" s="152"/>
      <c r="C192" s="1174"/>
      <c r="D192" s="1174"/>
      <c r="E192" s="493" t="s">
        <v>1804</v>
      </c>
      <c r="F192" s="1174" t="s">
        <v>2738</v>
      </c>
      <c r="G192" s="1174"/>
      <c r="H192" s="1174"/>
      <c r="I192" s="1174"/>
      <c r="J192" s="1174"/>
      <c r="K192" s="1174"/>
      <c r="L192" s="1174"/>
      <c r="M192" s="1174"/>
      <c r="O192" s="493" t="s">
        <v>1804</v>
      </c>
      <c r="P192" s="3111" t="s">
        <v>3153</v>
      </c>
      <c r="Q192" s="627"/>
    </row>
    <row r="193" spans="1:32" s="143" customFormat="1" ht="21.75" customHeight="1">
      <c r="B193" s="152"/>
      <c r="C193" s="1174"/>
      <c r="D193" s="1174"/>
      <c r="E193" s="174" t="s">
        <v>1805</v>
      </c>
      <c r="F193" s="1718" t="s">
        <v>3733</v>
      </c>
      <c r="G193" s="1718"/>
      <c r="H193" s="1718"/>
      <c r="I193" s="1718"/>
      <c r="J193" s="1718"/>
      <c r="K193" s="1718"/>
      <c r="L193" s="1718"/>
      <c r="M193" s="1718"/>
      <c r="N193" s="1718"/>
      <c r="O193" s="174" t="s">
        <v>1805</v>
      </c>
      <c r="P193" s="3112" t="s">
        <v>3153</v>
      </c>
      <c r="Q193" s="630"/>
      <c r="AE193" s="524"/>
      <c r="AF193" s="524"/>
    </row>
    <row r="194" spans="1:32" ht="12" customHeight="1">
      <c r="B194" s="152"/>
      <c r="C194" s="1174"/>
      <c r="D194" s="1174"/>
      <c r="E194" s="493" t="s">
        <v>2448</v>
      </c>
      <c r="F194" s="1174" t="s">
        <v>2739</v>
      </c>
      <c r="G194" s="1174"/>
      <c r="H194" s="1174"/>
      <c r="I194" s="1174"/>
      <c r="J194" s="1174"/>
      <c r="K194" s="1174"/>
      <c r="L194" s="1174"/>
      <c r="M194" s="1174"/>
      <c r="O194" s="493" t="s">
        <v>2448</v>
      </c>
      <c r="P194" s="3111" t="s">
        <v>3153</v>
      </c>
      <c r="Q194" s="627"/>
    </row>
    <row r="195" spans="1:32" s="143" customFormat="1" ht="21.75" customHeight="1">
      <c r="B195" s="152"/>
      <c r="C195" s="1174"/>
      <c r="D195" s="1174"/>
      <c r="E195" s="174" t="s">
        <v>1606</v>
      </c>
      <c r="F195" s="1718" t="s">
        <v>2740</v>
      </c>
      <c r="G195" s="1718"/>
      <c r="H195" s="1718"/>
      <c r="I195" s="1718"/>
      <c r="J195" s="1718"/>
      <c r="K195" s="1718"/>
      <c r="L195" s="1718"/>
      <c r="M195" s="1718"/>
      <c r="N195" s="1718"/>
      <c r="O195" s="174" t="s">
        <v>1606</v>
      </c>
      <c r="P195" s="3112" t="s">
        <v>3153</v>
      </c>
      <c r="Q195" s="630"/>
      <c r="AE195" s="524"/>
      <c r="AF195" s="524"/>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111" t="s">
        <v>3153</v>
      </c>
      <c r="Q196" s="627"/>
    </row>
    <row r="197" spans="1:32" ht="12" customHeight="1">
      <c r="B197" s="152" t="s">
        <v>1801</v>
      </c>
      <c r="C197" s="1174" t="s">
        <v>2464</v>
      </c>
      <c r="D197" s="1174"/>
      <c r="E197" s="1174"/>
      <c r="F197" s="1174"/>
      <c r="G197" s="1174"/>
      <c r="H197" s="1174"/>
      <c r="I197" s="1174"/>
      <c r="J197" s="1174"/>
      <c r="K197" s="1174"/>
      <c r="L197" s="1174"/>
      <c r="M197" s="1174"/>
      <c r="O197" s="174" t="s">
        <v>1801</v>
      </c>
      <c r="P197" s="3109" t="s">
        <v>3153</v>
      </c>
      <c r="Q197" s="628"/>
    </row>
    <row r="198" spans="1:32" ht="12" customHeight="1">
      <c r="B198" s="151" t="s">
        <v>1936</v>
      </c>
      <c r="D198" s="151"/>
      <c r="E198" s="151"/>
      <c r="F198" s="151"/>
      <c r="G198" s="151"/>
      <c r="H198" s="41"/>
      <c r="I198" s="1419"/>
      <c r="J198" s="1419"/>
      <c r="K198" s="1419"/>
      <c r="L198" s="1411"/>
      <c r="M198" s="1411"/>
      <c r="N198" s="1411"/>
      <c r="O198" s="1411"/>
      <c r="P198" s="1411"/>
      <c r="Q198" s="1218"/>
    </row>
    <row r="199" spans="1:32" ht="11.45" customHeight="1">
      <c r="A199" s="3073" t="s">
        <v>4296</v>
      </c>
      <c r="B199" s="3074"/>
      <c r="C199" s="3074"/>
      <c r="D199" s="3074"/>
      <c r="E199" s="3074"/>
      <c r="F199" s="3074"/>
      <c r="G199" s="3074"/>
      <c r="H199" s="3074"/>
      <c r="I199" s="3074"/>
      <c r="J199" s="3074"/>
      <c r="K199" s="3074"/>
      <c r="L199" s="3074"/>
      <c r="M199" s="3074"/>
      <c r="N199" s="3074"/>
      <c r="O199" s="3074"/>
      <c r="P199" s="3074"/>
      <c r="Q199" s="3075"/>
      <c r="U199" s="146"/>
      <c r="V199" s="146"/>
      <c r="W199" s="146"/>
      <c r="X199" s="146"/>
      <c r="Y199" s="146"/>
      <c r="Z199" s="146"/>
      <c r="AA199" s="146"/>
      <c r="AB199" s="146"/>
      <c r="AC199" s="146"/>
      <c r="AD199" s="146"/>
      <c r="AE199" s="523"/>
    </row>
    <row r="200" spans="1:32" ht="12" customHeight="1">
      <c r="B200" s="147" t="s">
        <v>1937</v>
      </c>
      <c r="C200" s="148"/>
      <c r="D200" s="1418"/>
      <c r="E200" s="1418"/>
      <c r="F200" s="1418"/>
      <c r="G200" s="1418"/>
      <c r="H200" s="1418"/>
      <c r="I200" s="1418"/>
      <c r="J200" s="1418"/>
      <c r="K200" s="1418"/>
      <c r="L200" s="1418"/>
      <c r="M200" s="1418"/>
      <c r="N200" s="1418"/>
      <c r="O200" s="1418"/>
      <c r="P200" s="1418"/>
      <c r="Q200" s="1418"/>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1"/>
      <c r="B202" s="1419"/>
      <c r="C202" s="1418"/>
      <c r="D202" s="1418"/>
      <c r="E202" s="1418"/>
      <c r="F202" s="1418"/>
      <c r="G202" s="1418"/>
      <c r="H202" s="1418"/>
      <c r="I202" s="1418"/>
      <c r="J202" s="1418"/>
      <c r="K202" s="1418"/>
      <c r="L202" s="1418"/>
      <c r="M202" s="1418"/>
      <c r="N202" s="1418"/>
      <c r="O202" s="1418"/>
      <c r="P202" s="1418"/>
      <c r="Q202" s="1411"/>
    </row>
    <row r="203" spans="1:32" ht="13.9" customHeight="1">
      <c r="A203" s="1425">
        <v>11</v>
      </c>
      <c r="B203" s="1425" t="s">
        <v>2752</v>
      </c>
      <c r="C203" s="1425"/>
      <c r="D203" s="1418"/>
      <c r="E203" s="157"/>
      <c r="F203" s="157"/>
      <c r="G203" s="1418"/>
      <c r="J203" s="1220"/>
      <c r="K203" s="560"/>
      <c r="L203" s="560"/>
      <c r="M203" s="560"/>
      <c r="N203" s="560"/>
      <c r="O203" s="142" t="s">
        <v>1938</v>
      </c>
      <c r="P203" s="1711"/>
      <c r="Q203" s="1712"/>
    </row>
    <row r="204" spans="1:32" ht="12" customHeight="1">
      <c r="A204" s="149"/>
      <c r="B204" s="48" t="s">
        <v>2058</v>
      </c>
      <c r="C204" s="1718" t="s">
        <v>99</v>
      </c>
      <c r="D204" s="1718"/>
      <c r="E204" s="1718"/>
      <c r="F204" s="1718"/>
      <c r="G204" s="1718"/>
      <c r="H204" s="70" t="s">
        <v>1803</v>
      </c>
      <c r="I204" s="54" t="s">
        <v>157</v>
      </c>
      <c r="K204" s="3091" t="s">
        <v>1006</v>
      </c>
      <c r="L204" s="3092"/>
      <c r="M204" s="3092"/>
      <c r="N204" s="3126"/>
      <c r="O204" s="70" t="s">
        <v>1803</v>
      </c>
      <c r="P204" s="3108" t="s">
        <v>3156</v>
      </c>
      <c r="Q204" s="626"/>
    </row>
    <row r="205" spans="1:32" ht="12" customHeight="1">
      <c r="A205" s="149"/>
      <c r="B205" s="1419"/>
      <c r="C205" s="110"/>
      <c r="D205" s="110"/>
      <c r="E205" s="110"/>
      <c r="F205" s="110"/>
      <c r="H205" s="70" t="s">
        <v>1804</v>
      </c>
      <c r="I205" s="54" t="s">
        <v>1653</v>
      </c>
      <c r="K205" s="3127" t="s">
        <v>4297</v>
      </c>
      <c r="L205" s="3128"/>
      <c r="M205" s="3128"/>
      <c r="N205" s="3129"/>
      <c r="O205" s="70" t="s">
        <v>1804</v>
      </c>
      <c r="P205" s="3109" t="s">
        <v>3153</v>
      </c>
      <c r="Q205" s="628"/>
    </row>
    <row r="206" spans="1:32" ht="12" customHeight="1">
      <c r="B206" s="151" t="s">
        <v>1936</v>
      </c>
      <c r="D206" s="151"/>
      <c r="E206" s="151"/>
      <c r="F206" s="151"/>
      <c r="G206" s="151"/>
      <c r="J206" s="1419"/>
      <c r="K206" s="1419"/>
      <c r="L206" s="1411"/>
      <c r="M206" s="1411"/>
      <c r="N206" s="1411"/>
      <c r="O206" s="1411"/>
      <c r="P206" s="1411"/>
      <c r="Q206" s="1218"/>
    </row>
    <row r="207" spans="1:32" ht="11.45" customHeight="1">
      <c r="A207" s="3073" t="s">
        <v>4298</v>
      </c>
      <c r="B207" s="3074"/>
      <c r="C207" s="3074"/>
      <c r="D207" s="3074"/>
      <c r="E207" s="3074"/>
      <c r="F207" s="3074"/>
      <c r="G207" s="3074"/>
      <c r="H207" s="3074"/>
      <c r="I207" s="3074"/>
      <c r="J207" s="3074"/>
      <c r="K207" s="3074"/>
      <c r="L207" s="3074"/>
      <c r="M207" s="3074"/>
      <c r="N207" s="3074"/>
      <c r="O207" s="3074"/>
      <c r="P207" s="3074"/>
      <c r="Q207" s="3075"/>
      <c r="U207" s="146"/>
      <c r="V207" s="146"/>
      <c r="W207" s="146"/>
      <c r="X207" s="146"/>
      <c r="Y207" s="146"/>
      <c r="Z207" s="146"/>
      <c r="AA207" s="146"/>
      <c r="AB207" s="146"/>
      <c r="AC207" s="146"/>
      <c r="AD207" s="146"/>
      <c r="AE207" s="523"/>
    </row>
    <row r="208" spans="1:32" ht="12" customHeight="1">
      <c r="B208" s="147" t="s">
        <v>1937</v>
      </c>
      <c r="C208" s="148"/>
      <c r="D208" s="1418"/>
      <c r="E208" s="1418"/>
      <c r="F208" s="1418"/>
      <c r="G208" s="1418"/>
      <c r="H208" s="1418"/>
      <c r="I208" s="1418"/>
      <c r="J208" s="1418"/>
      <c r="K208" s="1418"/>
      <c r="L208" s="1418"/>
      <c r="M208" s="1418"/>
      <c r="N208" s="1418"/>
      <c r="O208" s="1418"/>
      <c r="P208" s="1418"/>
      <c r="Q208" s="1418"/>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19"/>
      <c r="C210" s="1418"/>
      <c r="D210" s="1418"/>
      <c r="E210" s="1418"/>
      <c r="F210" s="1418"/>
      <c r="G210" s="1418"/>
      <c r="H210" s="1418"/>
      <c r="I210" s="1418"/>
      <c r="J210" s="1418"/>
      <c r="K210" s="1418"/>
      <c r="L210" s="1418"/>
      <c r="M210" s="1418"/>
      <c r="Q210" s="1218"/>
    </row>
    <row r="211" spans="1:31" ht="13.9" customHeight="1">
      <c r="A211" s="1425">
        <v>12</v>
      </c>
      <c r="B211" s="4" t="s">
        <v>2753</v>
      </c>
      <c r="C211" s="4"/>
      <c r="D211" s="92"/>
      <c r="E211" s="92"/>
      <c r="F211" s="92"/>
      <c r="G211" s="1418"/>
      <c r="H211" s="1418"/>
      <c r="I211" s="1418"/>
      <c r="J211" s="1418"/>
      <c r="K211" s="1418"/>
      <c r="L211" s="1418"/>
      <c r="M211" s="1418"/>
      <c r="O211" s="142" t="s">
        <v>1938</v>
      </c>
      <c r="P211" s="1711"/>
      <c r="Q211" s="1712"/>
    </row>
    <row r="212" spans="1:31" ht="4.1500000000000004" customHeight="1"/>
    <row r="213" spans="1:31" ht="11.45" customHeight="1">
      <c r="B213" s="152" t="s">
        <v>2058</v>
      </c>
      <c r="C213" s="603" t="s">
        <v>1803</v>
      </c>
      <c r="D213" s="451" t="s">
        <v>533</v>
      </c>
      <c r="E213" s="451"/>
      <c r="F213" s="451"/>
      <c r="G213" s="451"/>
      <c r="H213" s="451"/>
      <c r="I213" s="451"/>
      <c r="J213" s="451"/>
      <c r="K213" s="451"/>
      <c r="L213" s="451"/>
      <c r="M213" s="451"/>
      <c r="N213" s="451"/>
      <c r="O213" s="174" t="s">
        <v>1543</v>
      </c>
      <c r="P213" s="3108" t="s">
        <v>3156</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111"/>
      <c r="Q214" s="627"/>
    </row>
    <row r="215" spans="1:31" ht="11.45" customHeight="1">
      <c r="A215" s="149"/>
      <c r="B215" s="152" t="s">
        <v>2061</v>
      </c>
      <c r="C215" s="1718" t="s">
        <v>1919</v>
      </c>
      <c r="D215" s="1718"/>
      <c r="E215" s="1718"/>
      <c r="F215" s="1718"/>
      <c r="G215" s="1718"/>
      <c r="H215" s="70" t="s">
        <v>1803</v>
      </c>
      <c r="I215" s="54" t="s">
        <v>659</v>
      </c>
      <c r="K215" s="3091" t="s">
        <v>4213</v>
      </c>
      <c r="L215" s="3092"/>
      <c r="M215" s="3092"/>
      <c r="N215" s="3126"/>
      <c r="O215" s="70" t="s">
        <v>1502</v>
      </c>
      <c r="P215" s="3111" t="s">
        <v>3153</v>
      </c>
      <c r="Q215" s="627"/>
    </row>
    <row r="216" spans="1:31" ht="11.45" customHeight="1">
      <c r="A216" s="149"/>
      <c r="B216" s="161"/>
      <c r="C216" s="1718"/>
      <c r="D216" s="1718"/>
      <c r="E216" s="1718"/>
      <c r="F216" s="1718"/>
      <c r="G216" s="1718"/>
      <c r="H216" s="70" t="s">
        <v>1804</v>
      </c>
      <c r="I216" s="54" t="s">
        <v>118</v>
      </c>
      <c r="K216" s="3127" t="s">
        <v>4213</v>
      </c>
      <c r="L216" s="3128"/>
      <c r="M216" s="3128"/>
      <c r="N216" s="3129"/>
      <c r="O216" s="70" t="s">
        <v>1804</v>
      </c>
      <c r="P216" s="3109" t="s">
        <v>3153</v>
      </c>
      <c r="Q216" s="628"/>
    </row>
    <row r="217" spans="1:31" ht="11.25" customHeight="1">
      <c r="B217" s="151" t="s">
        <v>1936</v>
      </c>
      <c r="D217" s="151"/>
      <c r="E217" s="151"/>
      <c r="F217" s="151"/>
      <c r="G217" s="151"/>
      <c r="H217" s="41"/>
      <c r="I217" s="1419"/>
      <c r="J217" s="1419"/>
      <c r="K217" s="1419"/>
      <c r="L217" s="1411"/>
      <c r="M217" s="1411"/>
      <c r="N217" s="1411"/>
      <c r="O217" s="1411"/>
      <c r="P217" s="1411"/>
      <c r="Q217" s="1218"/>
    </row>
    <row r="218" spans="1:31" ht="22.5" customHeight="1">
      <c r="A218" s="3073" t="s">
        <v>4385</v>
      </c>
      <c r="B218" s="3074"/>
      <c r="C218" s="3074"/>
      <c r="D218" s="3074"/>
      <c r="E218" s="3074"/>
      <c r="F218" s="3074"/>
      <c r="G218" s="3074"/>
      <c r="H218" s="3074"/>
      <c r="I218" s="3074"/>
      <c r="J218" s="3074"/>
      <c r="K218" s="3074"/>
      <c r="L218" s="3074"/>
      <c r="M218" s="3074"/>
      <c r="N218" s="3074"/>
      <c r="O218" s="3074"/>
      <c r="P218" s="3074"/>
      <c r="Q218" s="3075"/>
      <c r="U218" s="146"/>
      <c r="V218" s="146"/>
      <c r="W218" s="146"/>
      <c r="X218" s="146"/>
      <c r="Y218" s="146"/>
      <c r="Z218" s="146"/>
      <c r="AA218" s="146"/>
      <c r="AB218" s="146"/>
      <c r="AC218" s="146"/>
      <c r="AD218" s="146"/>
      <c r="AE218" s="523"/>
    </row>
    <row r="219" spans="1:31" ht="11.25" customHeight="1">
      <c r="B219" s="147" t="s">
        <v>1937</v>
      </c>
      <c r="C219" s="148"/>
      <c r="D219" s="1418"/>
      <c r="E219" s="1418"/>
      <c r="F219" s="1418"/>
      <c r="G219" s="1418"/>
      <c r="H219" s="1418"/>
      <c r="I219" s="1418"/>
      <c r="J219" s="1418"/>
      <c r="K219" s="1418"/>
      <c r="L219" s="1418"/>
      <c r="M219" s="1418"/>
      <c r="N219" s="1418"/>
      <c r="O219" s="1418"/>
      <c r="P219" s="1418"/>
      <c r="Q219" s="1418"/>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1"/>
      <c r="B221" s="1419"/>
      <c r="C221" s="1418"/>
      <c r="D221" s="1418"/>
      <c r="E221" s="1418"/>
      <c r="F221" s="1418"/>
      <c r="G221" s="1418"/>
      <c r="H221" s="1418"/>
      <c r="I221" s="1418"/>
      <c r="J221" s="1418"/>
      <c r="K221" s="1418"/>
      <c r="L221" s="1418"/>
      <c r="M221" s="1418"/>
      <c r="Q221" s="1411"/>
    </row>
    <row r="222" spans="1:31" ht="13.9" customHeight="1">
      <c r="A222" s="1425">
        <v>13</v>
      </c>
      <c r="B222" s="4" t="s">
        <v>2754</v>
      </c>
      <c r="C222" s="4"/>
      <c r="D222" s="92"/>
      <c r="E222" s="92"/>
      <c r="F222" s="92"/>
      <c r="G222" s="92"/>
      <c r="H222" s="1418"/>
      <c r="I222" s="1418"/>
      <c r="J222" s="1418"/>
      <c r="K222" s="1418"/>
      <c r="L222" s="1418"/>
      <c r="M222" s="1418"/>
      <c r="O222" s="142" t="s">
        <v>1938</v>
      </c>
      <c r="P222" s="1711"/>
      <c r="Q222" s="1712"/>
    </row>
    <row r="223" spans="1:31" ht="10.9" customHeight="1">
      <c r="B223" s="155" t="s">
        <v>149</v>
      </c>
    </row>
    <row r="224" spans="1:31" ht="11.45" customHeight="1">
      <c r="B224" s="48" t="s">
        <v>2058</v>
      </c>
      <c r="C224" s="54" t="s">
        <v>3062</v>
      </c>
      <c r="D224" s="43"/>
      <c r="E224" s="54"/>
      <c r="F224" s="54"/>
      <c r="G224" s="54"/>
      <c r="H224" s="54"/>
      <c r="I224" s="43"/>
      <c r="J224" s="43"/>
      <c r="K224" s="43"/>
      <c r="L224" s="1174"/>
      <c r="M224" s="1174"/>
      <c r="O224" s="174" t="s">
        <v>2058</v>
      </c>
      <c r="P224" s="3069" t="s">
        <v>3153</v>
      </c>
      <c r="Q224" s="623"/>
    </row>
    <row r="225" spans="1:32" ht="11.45" customHeight="1">
      <c r="B225" s="48"/>
      <c r="C225" s="54"/>
      <c r="D225" s="37" t="s">
        <v>3047</v>
      </c>
      <c r="E225" s="54"/>
      <c r="F225" s="54"/>
      <c r="G225" s="3130">
        <v>42488</v>
      </c>
      <c r="H225" s="3131"/>
      <c r="L225" s="1797" t="s">
        <v>3852</v>
      </c>
      <c r="M225" s="3130"/>
      <c r="N225" s="3131"/>
    </row>
    <row r="226" spans="1:32" ht="11.45" customHeight="1">
      <c r="B226" s="48"/>
      <c r="C226" s="54"/>
      <c r="D226" s="57" t="s">
        <v>3049</v>
      </c>
      <c r="E226" s="54"/>
      <c r="F226" s="54"/>
      <c r="G226" s="3132" t="s">
        <v>4299</v>
      </c>
      <c r="H226" s="3133"/>
      <c r="I226" s="3089"/>
      <c r="J226" s="3089"/>
      <c r="K226" s="3090"/>
      <c r="L226" s="1797"/>
      <c r="M226" s="3132"/>
      <c r="N226" s="3133"/>
      <c r="O226" s="3089"/>
      <c r="P226" s="3089"/>
      <c r="Q226" s="3090"/>
    </row>
    <row r="227" spans="1:32" ht="11.45" customHeight="1">
      <c r="B227" s="48"/>
      <c r="C227" s="54"/>
      <c r="D227" s="37" t="s">
        <v>3048</v>
      </c>
      <c r="E227" s="43"/>
      <c r="G227" s="3130">
        <v>42494</v>
      </c>
      <c r="H227" s="3131"/>
      <c r="I227" s="37"/>
      <c r="J227" s="43"/>
      <c r="K227" s="43"/>
      <c r="L227" s="1797"/>
      <c r="M227" s="3130"/>
      <c r="N227" s="3131"/>
    </row>
    <row r="228" spans="1:32" ht="11.45" customHeight="1">
      <c r="B228" s="48" t="s">
        <v>2061</v>
      </c>
      <c r="C228" s="54" t="s">
        <v>2928</v>
      </c>
      <c r="D228" s="54"/>
      <c r="E228" s="54"/>
      <c r="F228" s="54"/>
      <c r="G228" s="54"/>
      <c r="H228" s="54"/>
      <c r="I228" s="43"/>
      <c r="J228" s="43"/>
      <c r="K228" s="43"/>
      <c r="L228" s="150"/>
      <c r="M228" s="150"/>
      <c r="O228" s="174" t="s">
        <v>2061</v>
      </c>
      <c r="P228" s="3108" t="s">
        <v>3153</v>
      </c>
      <c r="Q228" s="626"/>
    </row>
    <row r="229" spans="1:32" ht="11.45" customHeight="1">
      <c r="B229" s="48" t="s">
        <v>779</v>
      </c>
      <c r="C229" s="54" t="s">
        <v>2929</v>
      </c>
      <c r="D229" s="54"/>
      <c r="E229" s="54"/>
      <c r="F229" s="54"/>
      <c r="G229" s="54"/>
      <c r="H229" s="54"/>
      <c r="I229" s="43"/>
      <c r="J229" s="43"/>
      <c r="K229" s="43"/>
      <c r="L229" s="150"/>
      <c r="M229" s="150"/>
      <c r="O229" s="174" t="s">
        <v>779</v>
      </c>
      <c r="P229" s="3111" t="s">
        <v>3153</v>
      </c>
      <c r="Q229" s="627"/>
    </row>
    <row r="230" spans="1:32" s="158" customFormat="1" ht="11.45" customHeight="1">
      <c r="B230" s="48" t="s">
        <v>2193</v>
      </c>
      <c r="C230" s="54" t="s">
        <v>3734</v>
      </c>
      <c r="D230" s="54"/>
      <c r="E230" s="54"/>
      <c r="F230" s="54"/>
      <c r="G230" s="54"/>
      <c r="H230" s="54"/>
      <c r="I230" s="100"/>
      <c r="J230" s="100"/>
      <c r="K230" s="100"/>
      <c r="L230" s="1174"/>
      <c r="M230" s="1174"/>
      <c r="N230" s="36"/>
      <c r="O230" s="521" t="s">
        <v>2193</v>
      </c>
      <c r="P230" s="3111" t="s">
        <v>3156</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109" t="s">
        <v>3153</v>
      </c>
      <c r="Q231" s="628"/>
      <c r="AE231" s="525"/>
      <c r="AF231" s="525"/>
    </row>
    <row r="232" spans="1:32" ht="11.25" customHeight="1">
      <c r="B232" s="151" t="s">
        <v>1936</v>
      </c>
      <c r="D232" s="151"/>
      <c r="E232" s="151"/>
      <c r="F232" s="151"/>
      <c r="G232" s="151"/>
      <c r="H232" s="41"/>
      <c r="I232" s="1419"/>
      <c r="J232" s="1419"/>
      <c r="K232" s="1419"/>
      <c r="L232" s="1411"/>
      <c r="M232" s="1411"/>
      <c r="N232" s="1411"/>
      <c r="O232" s="1411"/>
      <c r="P232" s="1411"/>
      <c r="Q232" s="1218"/>
    </row>
    <row r="233" spans="1:32" ht="23.25" customHeight="1">
      <c r="A233" s="3073" t="s">
        <v>4354</v>
      </c>
      <c r="B233" s="3074"/>
      <c r="C233" s="3074"/>
      <c r="D233" s="3074"/>
      <c r="E233" s="3074"/>
      <c r="F233" s="3074"/>
      <c r="G233" s="3074"/>
      <c r="H233" s="3074"/>
      <c r="I233" s="3074"/>
      <c r="J233" s="3074"/>
      <c r="K233" s="3074"/>
      <c r="L233" s="3074"/>
      <c r="M233" s="3074"/>
      <c r="N233" s="3074"/>
      <c r="O233" s="3074"/>
      <c r="P233" s="3074"/>
      <c r="Q233" s="3075"/>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18"/>
      <c r="E235" s="1418"/>
      <c r="F235" s="1418"/>
      <c r="G235" s="1418"/>
      <c r="H235" s="1418"/>
      <c r="I235" s="1418"/>
      <c r="J235" s="1418"/>
      <c r="K235" s="1418"/>
      <c r="L235" s="1418"/>
      <c r="M235" s="1418"/>
      <c r="N235" s="1418"/>
      <c r="O235" s="1418"/>
      <c r="P235" s="1418"/>
      <c r="Q235" s="1418"/>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1"/>
      <c r="B237" s="1419"/>
      <c r="C237" s="1418"/>
      <c r="D237" s="1418"/>
      <c r="E237" s="1418"/>
      <c r="F237" s="1418"/>
      <c r="G237" s="1418"/>
      <c r="H237" s="1418"/>
      <c r="I237" s="1418"/>
      <c r="J237" s="1418"/>
      <c r="K237" s="1418"/>
      <c r="L237" s="1418"/>
      <c r="M237" s="1418"/>
      <c r="Q237" s="1411"/>
    </row>
    <row r="238" spans="1:32" ht="13.9" customHeight="1">
      <c r="A238" s="1425">
        <v>14</v>
      </c>
      <c r="B238" s="1425" t="s">
        <v>2755</v>
      </c>
      <c r="C238" s="121"/>
      <c r="D238" s="1418"/>
      <c r="E238" s="1418"/>
      <c r="F238" s="1418"/>
      <c r="G238" s="1418"/>
      <c r="H238" s="1418"/>
      <c r="I238" s="1418"/>
      <c r="J238" s="1418"/>
      <c r="K238" s="1418"/>
      <c r="L238" s="1418"/>
      <c r="M238" s="1418"/>
      <c r="O238" s="142" t="s">
        <v>1938</v>
      </c>
      <c r="P238" s="1711"/>
      <c r="Q238" s="1712"/>
    </row>
    <row r="239" spans="1:32" s="28" customFormat="1" ht="11.45" customHeight="1">
      <c r="B239" s="155" t="s">
        <v>1235</v>
      </c>
      <c r="N239" s="130"/>
      <c r="P239" s="3069" t="s">
        <v>3156</v>
      </c>
      <c r="Q239" s="623"/>
      <c r="AE239" s="125"/>
      <c r="AF239" s="125"/>
    </row>
    <row r="240" spans="1:32" ht="12" customHeight="1">
      <c r="B240" s="48" t="s">
        <v>2058</v>
      </c>
      <c r="C240" s="37" t="s">
        <v>4155</v>
      </c>
      <c r="D240" s="43"/>
      <c r="E240" s="43"/>
      <c r="F240" s="43"/>
      <c r="G240" s="43"/>
      <c r="H240" s="43"/>
      <c r="I240" s="43"/>
      <c r="J240" s="43"/>
      <c r="K240" s="43"/>
      <c r="L240" s="43"/>
      <c r="M240" s="43"/>
      <c r="O240" s="521" t="s">
        <v>2058</v>
      </c>
      <c r="P240" s="3069" t="s">
        <v>4288</v>
      </c>
      <c r="Q240" s="623"/>
    </row>
    <row r="241" spans="1:32" ht="11.45" customHeight="1">
      <c r="B241" s="48"/>
      <c r="C241" s="70" t="s">
        <v>1803</v>
      </c>
      <c r="D241" s="54" t="s">
        <v>2005</v>
      </c>
      <c r="E241" s="54"/>
      <c r="F241" s="54"/>
      <c r="G241" s="54"/>
      <c r="H241" s="54"/>
      <c r="I241" s="43"/>
      <c r="K241" s="70" t="s">
        <v>1543</v>
      </c>
      <c r="L241" s="3088" t="s">
        <v>551</v>
      </c>
      <c r="M241" s="3090"/>
      <c r="Q241" s="626"/>
    </row>
    <row r="242" spans="1:32" ht="11.45" customHeight="1">
      <c r="B242" s="48"/>
      <c r="C242" s="70" t="s">
        <v>1804</v>
      </c>
      <c r="D242" s="1219" t="s">
        <v>2829</v>
      </c>
      <c r="E242" s="1219"/>
      <c r="F242" s="1219"/>
      <c r="G242" s="1219"/>
      <c r="H242" s="1219"/>
      <c r="I242" s="43"/>
      <c r="K242" s="70" t="s">
        <v>1544</v>
      </c>
      <c r="L242" s="3134" t="s">
        <v>4300</v>
      </c>
      <c r="M242" s="3135"/>
      <c r="N242" s="3136" t="s">
        <v>2830</v>
      </c>
      <c r="O242" s="3137"/>
      <c r="P242" s="3138"/>
      <c r="Q242" s="627"/>
    </row>
    <row r="243" spans="1:32" ht="11.45" customHeight="1">
      <c r="B243" s="48"/>
      <c r="C243" s="70" t="s">
        <v>1805</v>
      </c>
      <c r="D243" s="1219" t="s">
        <v>577</v>
      </c>
      <c r="E243" s="1219"/>
      <c r="F243" s="1219"/>
      <c r="G243" s="1219"/>
      <c r="H243" s="1219"/>
      <c r="I243" s="43"/>
      <c r="K243" s="70" t="s">
        <v>1545</v>
      </c>
      <c r="L243" s="3088" t="s">
        <v>4301</v>
      </c>
      <c r="M243" s="3089"/>
      <c r="N243" s="3139"/>
      <c r="Q243" s="628"/>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69" t="s">
        <v>4288</v>
      </c>
      <c r="Q245" s="623"/>
    </row>
    <row r="246" spans="1:32" ht="10.9" customHeight="1">
      <c r="B246" s="48"/>
      <c r="C246" s="54" t="s">
        <v>3889</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2" t="s">
        <v>804</v>
      </c>
      <c r="J247" s="323" t="s">
        <v>805</v>
      </c>
      <c r="L247" s="54" t="s">
        <v>2831</v>
      </c>
      <c r="M247" s="43"/>
      <c r="N247" s="43"/>
      <c r="O247" s="322"/>
      <c r="P247" s="324" t="s">
        <v>804</v>
      </c>
      <c r="Q247" s="323" t="s">
        <v>805</v>
      </c>
    </row>
    <row r="248" spans="1:32" s="44" customFormat="1" ht="11.45" customHeight="1">
      <c r="A248" s="100"/>
      <c r="B248" s="53"/>
      <c r="C248" s="70" t="s">
        <v>1803</v>
      </c>
      <c r="D248" s="3140" t="s">
        <v>4302</v>
      </c>
      <c r="E248" s="3141"/>
      <c r="F248" s="3141"/>
      <c r="G248" s="3141"/>
      <c r="H248" s="3142"/>
      <c r="I248" s="636"/>
      <c r="J248" s="637"/>
      <c r="K248" s="70" t="s">
        <v>1805</v>
      </c>
      <c r="L248" s="3140"/>
      <c r="M248" s="3141"/>
      <c r="N248" s="3141"/>
      <c r="O248" s="3142"/>
      <c r="P248" s="626"/>
      <c r="Q248" s="637"/>
      <c r="AE248" s="56"/>
      <c r="AF248" s="56"/>
    </row>
    <row r="249" spans="1:32" s="44" customFormat="1" ht="11.45" customHeight="1">
      <c r="A249" s="100"/>
      <c r="B249" s="53"/>
      <c r="C249" s="70" t="s">
        <v>1804</v>
      </c>
      <c r="D249" s="3143" t="s">
        <v>4355</v>
      </c>
      <c r="E249" s="3144"/>
      <c r="F249" s="3144"/>
      <c r="G249" s="3144"/>
      <c r="H249" s="3145"/>
      <c r="I249" s="638"/>
      <c r="J249" s="639"/>
      <c r="K249" s="70" t="s">
        <v>2448</v>
      </c>
      <c r="L249" s="3143"/>
      <c r="M249" s="3144"/>
      <c r="N249" s="3144"/>
      <c r="O249" s="3145"/>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108" t="s">
        <v>4288</v>
      </c>
      <c r="Q251" s="626"/>
    </row>
    <row r="252" spans="1:32" ht="11.45" customHeight="1">
      <c r="B252" s="48"/>
      <c r="C252" s="70" t="s">
        <v>1803</v>
      </c>
      <c r="D252" s="54" t="s">
        <v>3723</v>
      </c>
      <c r="E252" s="54"/>
      <c r="F252" s="54"/>
      <c r="G252" s="54"/>
      <c r="H252" s="54"/>
      <c r="I252" s="43"/>
      <c r="J252" s="34"/>
      <c r="K252" s="43"/>
      <c r="L252" s="34"/>
      <c r="M252" s="34"/>
      <c r="O252" s="70" t="s">
        <v>1803</v>
      </c>
      <c r="P252" s="3111" t="s">
        <v>3153</v>
      </c>
      <c r="Q252" s="627"/>
    </row>
    <row r="253" spans="1:32" ht="11.45" customHeight="1">
      <c r="C253" s="70" t="s">
        <v>1804</v>
      </c>
      <c r="D253" s="1219" t="s">
        <v>2930</v>
      </c>
      <c r="E253" s="1219"/>
      <c r="F253" s="1219"/>
      <c r="G253" s="1219"/>
      <c r="H253" s="1219"/>
      <c r="I253" s="43"/>
      <c r="J253" s="34"/>
      <c r="K253" s="43"/>
      <c r="L253" s="34"/>
      <c r="M253" s="34"/>
      <c r="O253" s="70" t="s">
        <v>1804</v>
      </c>
      <c r="P253" s="3111" t="s">
        <v>3153</v>
      </c>
      <c r="Q253" s="627"/>
    </row>
    <row r="254" spans="1:32" ht="11.45" customHeight="1">
      <c r="C254" s="70" t="s">
        <v>1805</v>
      </c>
      <c r="D254" s="1219" t="s">
        <v>2931</v>
      </c>
      <c r="E254" s="1219"/>
      <c r="F254" s="1219"/>
      <c r="G254" s="1219"/>
      <c r="H254" s="1219"/>
      <c r="I254" s="43"/>
      <c r="J254" s="34"/>
      <c r="K254" s="43"/>
      <c r="L254" s="34"/>
      <c r="M254" s="34"/>
      <c r="O254" s="70" t="s">
        <v>1805</v>
      </c>
      <c r="P254" s="3111" t="s">
        <v>3153</v>
      </c>
      <c r="Q254" s="627"/>
    </row>
    <row r="255" spans="1:32" ht="11.45" customHeight="1">
      <c r="B255" s="48"/>
      <c r="C255" s="70" t="s">
        <v>2448</v>
      </c>
      <c r="D255" s="1219" t="s">
        <v>2932</v>
      </c>
      <c r="E255" s="1219"/>
      <c r="F255" s="1219"/>
      <c r="G255" s="1219"/>
      <c r="H255" s="1219"/>
      <c r="I255" s="43"/>
      <c r="J255" s="34"/>
      <c r="K255" s="43"/>
      <c r="L255" s="34"/>
      <c r="M255" s="34"/>
      <c r="O255" s="70" t="s">
        <v>2448</v>
      </c>
      <c r="P255" s="3111" t="s">
        <v>3153</v>
      </c>
      <c r="Q255" s="627"/>
    </row>
    <row r="256" spans="1:32" ht="11.45" customHeight="1">
      <c r="B256" s="48"/>
      <c r="C256" s="70" t="s">
        <v>1606</v>
      </c>
      <c r="D256" s="1219" t="s">
        <v>2933</v>
      </c>
      <c r="E256" s="1219"/>
      <c r="F256" s="1219"/>
      <c r="G256" s="1219"/>
      <c r="H256" s="1219"/>
      <c r="I256" s="43"/>
      <c r="J256" s="34"/>
      <c r="K256" s="43"/>
      <c r="L256" s="34"/>
      <c r="M256" s="34"/>
      <c r="O256" s="70" t="s">
        <v>1606</v>
      </c>
      <c r="P256" s="3111" t="s">
        <v>3153</v>
      </c>
      <c r="Q256" s="627"/>
    </row>
    <row r="257" spans="1:31" ht="11.45" customHeight="1">
      <c r="B257" s="48"/>
      <c r="C257" s="521" t="s">
        <v>1607</v>
      </c>
      <c r="D257" s="54" t="s">
        <v>806</v>
      </c>
      <c r="E257" s="54"/>
      <c r="F257" s="54"/>
      <c r="G257" s="54"/>
      <c r="H257" s="54"/>
      <c r="I257" s="43"/>
      <c r="J257" s="34"/>
      <c r="K257" s="43"/>
      <c r="L257" s="34"/>
      <c r="M257" s="34"/>
      <c r="O257" s="521" t="s">
        <v>2918</v>
      </c>
      <c r="P257" s="3111" t="s">
        <v>3156</v>
      </c>
      <c r="Q257" s="627"/>
    </row>
    <row r="258" spans="1:31" ht="11.45" customHeight="1">
      <c r="B258" s="48"/>
      <c r="C258" s="70"/>
      <c r="D258" s="54" t="s">
        <v>1546</v>
      </c>
      <c r="E258" s="54"/>
      <c r="F258" s="54"/>
      <c r="G258" s="54"/>
      <c r="H258" s="54"/>
      <c r="I258" s="43"/>
      <c r="J258" s="34"/>
      <c r="K258" s="43"/>
      <c r="L258" s="34"/>
      <c r="M258" s="34"/>
      <c r="O258" s="521" t="s">
        <v>2919</v>
      </c>
      <c r="P258" s="3109" t="s">
        <v>3153</v>
      </c>
      <c r="Q258" s="628"/>
    </row>
    <row r="259" spans="1:31" ht="3" customHeight="1">
      <c r="B259" s="48"/>
      <c r="C259" s="70"/>
      <c r="D259" s="54"/>
      <c r="E259" s="54"/>
      <c r="F259" s="54"/>
      <c r="G259" s="54"/>
      <c r="H259" s="54"/>
      <c r="I259" s="43"/>
      <c r="J259" s="34"/>
      <c r="K259" s="43"/>
      <c r="L259" s="34"/>
      <c r="M259" s="34"/>
    </row>
    <row r="260" spans="1:31" ht="12" customHeight="1">
      <c r="B260" s="48" t="s">
        <v>2193</v>
      </c>
      <c r="C260" s="54" t="s">
        <v>4096</v>
      </c>
      <c r="D260" s="54"/>
      <c r="E260" s="54"/>
      <c r="F260" s="54"/>
      <c r="G260" s="54"/>
      <c r="H260" s="54"/>
      <c r="I260" s="54"/>
      <c r="J260" s="54"/>
      <c r="K260" s="43"/>
      <c r="L260" s="54"/>
      <c r="M260" s="54"/>
      <c r="O260" s="521" t="s">
        <v>2193</v>
      </c>
      <c r="P260" s="3108" t="s">
        <v>1006</v>
      </c>
      <c r="Q260" s="626"/>
    </row>
    <row r="261" spans="1:31" ht="11.45" customHeight="1">
      <c r="B261" s="48"/>
      <c r="C261" s="70" t="s">
        <v>1803</v>
      </c>
      <c r="D261" s="40" t="s">
        <v>1302</v>
      </c>
      <c r="E261" s="43"/>
      <c r="F261" s="43"/>
      <c r="G261" s="40"/>
      <c r="H261" s="1219"/>
      <c r="I261" s="43"/>
      <c r="J261" s="1219"/>
      <c r="K261" s="43"/>
      <c r="L261" s="1219"/>
      <c r="M261" s="1219"/>
      <c r="O261" s="70" t="s">
        <v>1803</v>
      </c>
      <c r="P261" s="3111"/>
      <c r="Q261" s="627"/>
    </row>
    <row r="262" spans="1:31" ht="11.45" customHeight="1">
      <c r="B262" s="48"/>
      <c r="C262" s="70" t="s">
        <v>1804</v>
      </c>
      <c r="D262" s="40" t="s">
        <v>151</v>
      </c>
      <c r="E262" s="43"/>
      <c r="F262" s="43"/>
      <c r="G262" s="1219"/>
      <c r="H262" s="1219"/>
      <c r="I262" s="43"/>
      <c r="J262" s="1219"/>
      <c r="K262" s="43"/>
      <c r="L262" s="1219"/>
      <c r="M262" s="1219"/>
      <c r="O262" s="70" t="s">
        <v>1804</v>
      </c>
      <c r="P262" s="3111"/>
      <c r="Q262" s="627"/>
    </row>
    <row r="263" spans="1:31" ht="11.45" customHeight="1">
      <c r="B263" s="48"/>
      <c r="C263" s="70" t="s">
        <v>1805</v>
      </c>
      <c r="D263" s="1219" t="s">
        <v>4052</v>
      </c>
      <c r="E263" s="43"/>
      <c r="F263" s="43"/>
      <c r="G263" s="1219"/>
      <c r="H263" s="1219"/>
      <c r="I263" s="43"/>
      <c r="J263" s="1219"/>
      <c r="K263" s="43"/>
      <c r="L263" s="1219"/>
      <c r="M263" s="1219"/>
      <c r="O263" s="70" t="s">
        <v>2454</v>
      </c>
      <c r="P263" s="3111"/>
      <c r="Q263" s="627"/>
    </row>
    <row r="264" spans="1:31" ht="11.45" customHeight="1">
      <c r="B264" s="37"/>
      <c r="C264" s="43"/>
      <c r="D264" s="1219" t="s">
        <v>1334</v>
      </c>
      <c r="E264" s="43"/>
      <c r="F264" s="43"/>
      <c r="G264" s="1219"/>
      <c r="H264" s="1219"/>
      <c r="I264" s="43"/>
      <c r="J264" s="1219"/>
      <c r="K264" s="43"/>
      <c r="L264" s="1219"/>
      <c r="M264" s="1219"/>
      <c r="O264" s="70" t="s">
        <v>2455</v>
      </c>
      <c r="P264" s="3109"/>
      <c r="Q264" s="628"/>
    </row>
    <row r="265" spans="1:31" ht="11.25" customHeight="1">
      <c r="B265" s="151" t="s">
        <v>1936</v>
      </c>
      <c r="D265" s="151"/>
      <c r="E265" s="151"/>
      <c r="F265" s="151"/>
      <c r="G265" s="151"/>
      <c r="H265" s="41"/>
      <c r="I265" s="1419"/>
      <c r="J265" s="1419"/>
      <c r="K265" s="1419"/>
      <c r="L265" s="1411"/>
      <c r="M265" s="1411"/>
      <c r="N265" s="1411"/>
      <c r="O265" s="1411"/>
      <c r="P265" s="1411"/>
      <c r="Q265" s="1218"/>
    </row>
    <row r="266" spans="1:31" ht="11.45" customHeight="1">
      <c r="A266" s="3073" t="s">
        <v>4335</v>
      </c>
      <c r="B266" s="3074"/>
      <c r="C266" s="3074"/>
      <c r="D266" s="3074"/>
      <c r="E266" s="3074"/>
      <c r="F266" s="3074"/>
      <c r="G266" s="3074"/>
      <c r="H266" s="3074"/>
      <c r="I266" s="3074"/>
      <c r="J266" s="3074"/>
      <c r="K266" s="3074"/>
      <c r="L266" s="3074"/>
      <c r="M266" s="3074"/>
      <c r="N266" s="3074"/>
      <c r="O266" s="3074"/>
      <c r="P266" s="3074"/>
      <c r="Q266" s="3075"/>
      <c r="R266" s="496" t="s">
        <v>1301</v>
      </c>
      <c r="S266" s="497"/>
      <c r="U266" s="146"/>
      <c r="V266" s="146"/>
      <c r="W266" s="146"/>
      <c r="X266" s="146"/>
      <c r="Y266" s="146"/>
      <c r="Z266" s="146"/>
      <c r="AA266" s="146"/>
      <c r="AB266" s="146"/>
      <c r="AC266" s="146"/>
      <c r="AD266" s="146"/>
      <c r="AE266" s="523"/>
    </row>
    <row r="267" spans="1:31" ht="11.25" customHeight="1">
      <c r="B267" s="147" t="s">
        <v>1937</v>
      </c>
      <c r="C267" s="148"/>
      <c r="D267" s="1418"/>
      <c r="E267" s="1418"/>
      <c r="F267" s="1418"/>
      <c r="G267" s="1418"/>
      <c r="H267" s="1418"/>
      <c r="I267" s="1418"/>
      <c r="J267" s="1418"/>
      <c r="K267" s="1418"/>
      <c r="L267" s="1418"/>
      <c r="M267" s="1418"/>
      <c r="N267" s="1418"/>
      <c r="O267" s="1418"/>
      <c r="P267" s="1418"/>
      <c r="Q267" s="1418"/>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1"/>
      <c r="B269" s="1419"/>
      <c r="C269" s="1418"/>
      <c r="D269" s="1418"/>
      <c r="E269" s="1418"/>
      <c r="F269" s="1418"/>
      <c r="G269" s="1418"/>
      <c r="H269" s="1418"/>
      <c r="I269" s="1418"/>
      <c r="J269" s="1418"/>
      <c r="K269" s="1418"/>
      <c r="L269" s="1418"/>
      <c r="M269" s="1418"/>
      <c r="Q269" s="1411"/>
    </row>
    <row r="270" spans="1:31" ht="13.9" customHeight="1">
      <c r="A270" s="1425">
        <v>15</v>
      </c>
      <c r="B270" s="4" t="s">
        <v>2756</v>
      </c>
      <c r="C270" s="4"/>
      <c r="D270" s="92"/>
      <c r="E270" s="92"/>
      <c r="F270" s="92"/>
      <c r="G270" s="92"/>
      <c r="H270" s="1418"/>
      <c r="I270" s="1418"/>
      <c r="J270" s="1418"/>
      <c r="K270" s="1418"/>
      <c r="L270" s="1418"/>
      <c r="M270" s="1418"/>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1" t="s">
        <v>2058</v>
      </c>
      <c r="L272" s="3091" t="s">
        <v>1837</v>
      </c>
      <c r="M272" s="3092"/>
      <c r="N272" s="3092"/>
      <c r="O272" s="3126"/>
      <c r="P272" s="1738" t="s">
        <v>1837</v>
      </c>
      <c r="Q272" s="1739"/>
    </row>
    <row r="273" spans="1:32" ht="11.45" customHeight="1">
      <c r="B273" s="48" t="s">
        <v>2061</v>
      </c>
      <c r="C273" s="54" t="s">
        <v>2934</v>
      </c>
      <c r="D273" s="54"/>
      <c r="E273" s="54"/>
      <c r="F273" s="54"/>
      <c r="G273" s="54"/>
      <c r="H273" s="54"/>
      <c r="I273" s="43"/>
      <c r="J273" s="43"/>
      <c r="K273" s="521" t="s">
        <v>2061</v>
      </c>
      <c r="L273" s="3146"/>
      <c r="M273" s="3147"/>
      <c r="N273" s="3147"/>
      <c r="O273" s="3148"/>
      <c r="P273" s="1761"/>
      <c r="Q273" s="1762"/>
    </row>
    <row r="274" spans="1:32" s="158" customFormat="1" ht="11.45" customHeight="1">
      <c r="B274" s="48" t="s">
        <v>779</v>
      </c>
      <c r="C274" s="54" t="s">
        <v>2019</v>
      </c>
      <c r="D274" s="54"/>
      <c r="E274" s="54"/>
      <c r="F274" s="54"/>
      <c r="G274" s="54"/>
      <c r="H274" s="54"/>
      <c r="I274" s="100"/>
      <c r="J274" s="100"/>
      <c r="K274" s="521" t="s">
        <v>779</v>
      </c>
      <c r="L274" s="3127"/>
      <c r="M274" s="3128"/>
      <c r="N274" s="3128"/>
      <c r="O274" s="3129"/>
      <c r="P274" s="1736"/>
      <c r="Q274" s="1737"/>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108"/>
      <c r="Q275" s="626"/>
      <c r="AE275" s="525"/>
      <c r="AF275" s="525"/>
    </row>
    <row r="276" spans="1:32" s="158" customFormat="1" ht="22.15" customHeight="1">
      <c r="B276" s="152" t="s">
        <v>1801</v>
      </c>
      <c r="C276" s="1718" t="s">
        <v>2857</v>
      </c>
      <c r="D276" s="1718"/>
      <c r="E276" s="1718"/>
      <c r="F276" s="1718"/>
      <c r="G276" s="1718"/>
      <c r="H276" s="1718"/>
      <c r="I276" s="1718"/>
      <c r="J276" s="1718"/>
      <c r="K276" s="1718"/>
      <c r="L276" s="1718"/>
      <c r="M276" s="1718"/>
      <c r="N276" s="1718"/>
      <c r="O276" s="174" t="s">
        <v>1801</v>
      </c>
      <c r="P276" s="3109"/>
      <c r="Q276" s="628"/>
      <c r="T276" s="525"/>
      <c r="AE276" s="525"/>
      <c r="AF276" s="525"/>
    </row>
    <row r="277" spans="1:32" ht="11.25" customHeight="1">
      <c r="B277" s="151" t="s">
        <v>1936</v>
      </c>
      <c r="D277" s="151"/>
      <c r="E277" s="151"/>
      <c r="F277" s="151"/>
      <c r="G277" s="151"/>
      <c r="H277" s="41"/>
      <c r="I277" s="1419"/>
      <c r="J277" s="1419"/>
      <c r="K277" s="1419"/>
      <c r="L277" s="1411"/>
      <c r="M277" s="1411"/>
      <c r="N277" s="1411"/>
      <c r="O277" s="1411"/>
      <c r="P277" s="1411"/>
      <c r="Q277" s="1218"/>
    </row>
    <row r="278" spans="1:32" ht="13.15" customHeight="1">
      <c r="A278" s="3073" t="s">
        <v>4336</v>
      </c>
      <c r="B278" s="3074"/>
      <c r="C278" s="3074"/>
      <c r="D278" s="3074"/>
      <c r="E278" s="3074"/>
      <c r="F278" s="3074"/>
      <c r="G278" s="3074"/>
      <c r="H278" s="3074"/>
      <c r="I278" s="3074"/>
      <c r="J278" s="3074"/>
      <c r="K278" s="3074"/>
      <c r="L278" s="3074"/>
      <c r="M278" s="3074"/>
      <c r="N278" s="3074"/>
      <c r="O278" s="3074"/>
      <c r="P278" s="3074"/>
      <c r="Q278" s="3075"/>
      <c r="R278" s="496" t="s">
        <v>1301</v>
      </c>
      <c r="S278" s="497"/>
      <c r="U278" s="146"/>
      <c r="V278" s="146"/>
      <c r="W278" s="146"/>
      <c r="X278" s="146"/>
      <c r="Y278" s="146"/>
      <c r="Z278" s="146"/>
      <c r="AA278" s="146"/>
      <c r="AB278" s="146"/>
      <c r="AC278" s="146"/>
      <c r="AD278" s="146"/>
      <c r="AE278" s="523"/>
    </row>
    <row r="279" spans="1:32" ht="10.9" customHeight="1">
      <c r="B279" s="147" t="s">
        <v>1937</v>
      </c>
      <c r="C279" s="148"/>
      <c r="D279" s="1418"/>
      <c r="E279" s="1418"/>
      <c r="F279" s="1418"/>
      <c r="G279" s="1418"/>
      <c r="H279" s="1418"/>
      <c r="I279" s="1418"/>
      <c r="J279" s="1418"/>
      <c r="K279" s="1418"/>
      <c r="L279" s="1418"/>
      <c r="M279" s="1418"/>
      <c r="N279" s="1418"/>
      <c r="O279" s="1418"/>
      <c r="P279" s="1418"/>
      <c r="Q279" s="1418"/>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1"/>
      <c r="B281" s="1419"/>
      <c r="C281" s="1418"/>
      <c r="D281" s="1418"/>
      <c r="E281" s="1418"/>
      <c r="F281" s="1418"/>
      <c r="G281" s="1418"/>
      <c r="H281" s="1418"/>
      <c r="I281" s="1418"/>
      <c r="J281" s="1418"/>
      <c r="K281" s="1418"/>
      <c r="L281" s="1418"/>
      <c r="M281" s="1418"/>
      <c r="Q281" s="1411"/>
    </row>
    <row r="282" spans="1:32" ht="13.9" customHeight="1">
      <c r="A282" s="1425">
        <v>16</v>
      </c>
      <c r="B282" s="4" t="s">
        <v>2757</v>
      </c>
      <c r="C282" s="4"/>
      <c r="D282" s="92"/>
      <c r="E282" s="92"/>
      <c r="F282" s="92"/>
      <c r="G282" s="92"/>
      <c r="H282" s="1418"/>
      <c r="I282" s="1418"/>
      <c r="J282" s="1418"/>
      <c r="K282" s="1418"/>
      <c r="L282" s="1418"/>
      <c r="M282" s="1418"/>
      <c r="O282" s="142" t="s">
        <v>1938</v>
      </c>
      <c r="P282" s="1711"/>
      <c r="Q282" s="1712"/>
    </row>
    <row r="283" spans="1:32" ht="3" customHeight="1"/>
    <row r="284" spans="1:32" s="461" customFormat="1" ht="21.75" customHeight="1">
      <c r="B284" s="152" t="s">
        <v>2058</v>
      </c>
      <c r="C284" s="1718" t="s">
        <v>2935</v>
      </c>
      <c r="D284" s="1718"/>
      <c r="E284" s="1718"/>
      <c r="F284" s="1718"/>
      <c r="G284" s="1718"/>
      <c r="H284" s="1718"/>
      <c r="I284" s="1718"/>
      <c r="J284" s="1718"/>
      <c r="K284" s="1718"/>
      <c r="L284" s="1718"/>
      <c r="M284" s="1718"/>
      <c r="N284" s="1718"/>
      <c r="O284" s="174" t="s">
        <v>2058</v>
      </c>
      <c r="P284" s="3149" t="s">
        <v>3153</v>
      </c>
      <c r="Q284" s="629"/>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109" t="s">
        <v>3153</v>
      </c>
      <c r="Q285" s="628"/>
      <c r="AE285" s="525"/>
      <c r="AF285" s="525"/>
    </row>
    <row r="286" spans="1:32" ht="11.25" customHeight="1">
      <c r="B286" s="151" t="s">
        <v>1936</v>
      </c>
      <c r="D286" s="151"/>
      <c r="E286" s="151"/>
      <c r="F286" s="151"/>
      <c r="G286" s="151"/>
      <c r="H286" s="41"/>
      <c r="I286" s="1419"/>
      <c r="J286" s="1419"/>
      <c r="K286" s="1419"/>
      <c r="L286" s="1411"/>
      <c r="M286" s="1411"/>
      <c r="N286" s="1411"/>
      <c r="O286" s="1411"/>
      <c r="P286" s="1411"/>
      <c r="Q286" s="1218"/>
    </row>
    <row r="287" spans="1:32" ht="13.15" customHeight="1">
      <c r="A287" s="3073" t="s">
        <v>4303</v>
      </c>
      <c r="B287" s="3074"/>
      <c r="C287" s="3074"/>
      <c r="D287" s="3074"/>
      <c r="E287" s="3074"/>
      <c r="F287" s="3074"/>
      <c r="G287" s="3074"/>
      <c r="H287" s="3074"/>
      <c r="I287" s="3074"/>
      <c r="J287" s="3074"/>
      <c r="K287" s="3074"/>
      <c r="L287" s="3074"/>
      <c r="M287" s="3074"/>
      <c r="N287" s="3074"/>
      <c r="O287" s="3074"/>
      <c r="P287" s="3074"/>
      <c r="Q287" s="3075"/>
      <c r="R287" s="496" t="s">
        <v>1301</v>
      </c>
      <c r="S287" s="497"/>
      <c r="U287" s="146"/>
      <c r="V287" s="146"/>
      <c r="W287" s="146"/>
      <c r="X287" s="146"/>
      <c r="Y287" s="146"/>
      <c r="Z287" s="146"/>
      <c r="AA287" s="146"/>
      <c r="AB287" s="146"/>
      <c r="AC287" s="146"/>
      <c r="AD287" s="146"/>
      <c r="AE287" s="523"/>
    </row>
    <row r="288" spans="1:32" ht="11.25" customHeight="1">
      <c r="B288" s="147" t="s">
        <v>1937</v>
      </c>
      <c r="C288" s="148"/>
      <c r="D288" s="1418"/>
      <c r="E288" s="1418"/>
      <c r="F288" s="1418"/>
      <c r="G288" s="1418"/>
      <c r="H288" s="1418"/>
      <c r="I288" s="1418"/>
      <c r="J288" s="1418"/>
      <c r="K288" s="1418"/>
      <c r="L288" s="1418"/>
      <c r="M288" s="1418"/>
      <c r="N288" s="1418"/>
      <c r="O288" s="1418"/>
      <c r="P288" s="1418"/>
      <c r="Q288" s="1418"/>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5">
        <v>17</v>
      </c>
      <c r="B290" s="1425" t="s">
        <v>2758</v>
      </c>
      <c r="C290" s="1425"/>
      <c r="D290" s="1418"/>
      <c r="E290" s="1418"/>
      <c r="F290" s="1418"/>
      <c r="G290" s="1418"/>
      <c r="H290" s="1418"/>
      <c r="I290" s="1418"/>
      <c r="J290" s="1418"/>
      <c r="K290" s="1418"/>
      <c r="L290" s="1418"/>
      <c r="M290" s="1418"/>
      <c r="O290" s="142" t="s">
        <v>1938</v>
      </c>
      <c r="P290" s="1711"/>
      <c r="Q290" s="1712"/>
    </row>
    <row r="291" spans="1:32" ht="3" customHeight="1"/>
    <row r="292" spans="1:32" s="461" customFormat="1" ht="21.75" customHeight="1">
      <c r="B292" s="152" t="s">
        <v>2058</v>
      </c>
      <c r="C292" s="1744" t="s">
        <v>2936</v>
      </c>
      <c r="D292" s="1565"/>
      <c r="E292" s="1565"/>
      <c r="F292" s="1565"/>
      <c r="G292" s="1565"/>
      <c r="H292" s="1565"/>
      <c r="I292" s="1565"/>
      <c r="J292" s="1565"/>
      <c r="K292" s="1565"/>
      <c r="L292" s="1565"/>
      <c r="M292" s="1565"/>
      <c r="N292" s="1565"/>
      <c r="O292" s="174" t="s">
        <v>2058</v>
      </c>
      <c r="P292" s="3108" t="s">
        <v>4288</v>
      </c>
      <c r="Q292" s="626"/>
      <c r="AE292" s="526"/>
      <c r="AF292" s="526"/>
    </row>
    <row r="293" spans="1:32" s="461" customFormat="1" ht="21.75" customHeight="1">
      <c r="B293" s="152" t="s">
        <v>2061</v>
      </c>
      <c r="C293" s="1744" t="s">
        <v>2937</v>
      </c>
      <c r="D293" s="1565"/>
      <c r="E293" s="1565"/>
      <c r="F293" s="1565"/>
      <c r="G293" s="1565"/>
      <c r="H293" s="1565"/>
      <c r="I293" s="1565"/>
      <c r="J293" s="1565"/>
      <c r="K293" s="1565"/>
      <c r="L293" s="1565"/>
      <c r="M293" s="1565"/>
      <c r="N293" s="1565"/>
      <c r="O293" s="174" t="s">
        <v>2061</v>
      </c>
      <c r="P293" s="3109" t="s">
        <v>4288</v>
      </c>
      <c r="Q293" s="628"/>
      <c r="AE293" s="526"/>
      <c r="AF293" s="526"/>
    </row>
    <row r="294" spans="1:32" ht="11.25" customHeight="1">
      <c r="B294" s="151" t="s">
        <v>1936</v>
      </c>
      <c r="D294" s="151"/>
      <c r="E294" s="151"/>
      <c r="F294" s="151"/>
      <c r="G294" s="151"/>
      <c r="H294" s="41"/>
      <c r="I294" s="1419"/>
      <c r="J294" s="1419"/>
      <c r="K294" s="1419"/>
      <c r="L294" s="1411"/>
      <c r="M294" s="1411"/>
      <c r="N294" s="1411"/>
      <c r="O294" s="1411"/>
      <c r="P294" s="1411"/>
      <c r="Q294" s="1218"/>
    </row>
    <row r="295" spans="1:32" ht="23.25" customHeight="1">
      <c r="A295" s="3073" t="s">
        <v>4304</v>
      </c>
      <c r="B295" s="3074"/>
      <c r="C295" s="3074"/>
      <c r="D295" s="3074"/>
      <c r="E295" s="3074"/>
      <c r="F295" s="3074"/>
      <c r="G295" s="3074"/>
      <c r="H295" s="3074"/>
      <c r="I295" s="3074"/>
      <c r="J295" s="3074"/>
      <c r="K295" s="3074"/>
      <c r="L295" s="3074"/>
      <c r="M295" s="3074"/>
      <c r="N295" s="3074"/>
      <c r="O295" s="3074"/>
      <c r="P295" s="3074"/>
      <c r="Q295" s="3075"/>
      <c r="R295" s="496" t="s">
        <v>1301</v>
      </c>
      <c r="S295" s="497"/>
      <c r="U295" s="146"/>
      <c r="V295" s="146"/>
      <c r="W295" s="146"/>
      <c r="X295" s="146"/>
      <c r="Y295" s="146"/>
      <c r="Z295" s="146"/>
      <c r="AA295" s="146"/>
      <c r="AB295" s="146"/>
      <c r="AC295" s="146"/>
      <c r="AD295" s="146"/>
      <c r="AE295" s="523"/>
    </row>
    <row r="296" spans="1:32" ht="11.25" customHeight="1">
      <c r="B296" s="147" t="s">
        <v>1937</v>
      </c>
      <c r="C296" s="148"/>
      <c r="D296" s="1418"/>
      <c r="E296" s="1418"/>
      <c r="F296" s="1418"/>
      <c r="G296" s="1418"/>
      <c r="H296" s="1418"/>
      <c r="I296" s="1418"/>
      <c r="J296" s="1418"/>
      <c r="K296" s="1418"/>
      <c r="L296" s="1418"/>
      <c r="M296" s="1418"/>
      <c r="N296" s="1418"/>
      <c r="O296" s="1418"/>
      <c r="P296" s="1418"/>
      <c r="Q296" s="1418"/>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5">
        <v>18</v>
      </c>
      <c r="B298" s="1425" t="s">
        <v>2759</v>
      </c>
      <c r="C298" s="159"/>
      <c r="D298" s="1424"/>
      <c r="E298" s="1418"/>
      <c r="F298" s="1418"/>
      <c r="G298" s="1418"/>
      <c r="H298" s="1418"/>
      <c r="I298" s="1418"/>
      <c r="J298" s="1418"/>
      <c r="K298" s="1418"/>
      <c r="L298" s="1418"/>
      <c r="M298" s="1418"/>
      <c r="O298" s="142" t="s">
        <v>1938</v>
      </c>
      <c r="P298" s="1711"/>
      <c r="Q298" s="1712"/>
    </row>
    <row r="299" spans="1:32" ht="3" customHeight="1"/>
    <row r="300" spans="1:32" s="158" customFormat="1" ht="42.75" customHeight="1">
      <c r="B300" s="152" t="s">
        <v>2058</v>
      </c>
      <c r="C300" s="160" t="s">
        <v>1803</v>
      </c>
      <c r="D300" s="1744" t="s">
        <v>3735</v>
      </c>
      <c r="E300" s="1744"/>
      <c r="F300" s="1744"/>
      <c r="G300" s="1744"/>
      <c r="H300" s="1744"/>
      <c r="I300" s="1744"/>
      <c r="J300" s="1744"/>
      <c r="K300" s="1744"/>
      <c r="L300" s="1744"/>
      <c r="M300" s="1744"/>
      <c r="N300" s="1744"/>
      <c r="O300" s="174" t="s">
        <v>2833</v>
      </c>
      <c r="P300" s="3149" t="s">
        <v>3153</v>
      </c>
      <c r="Q300" s="626"/>
      <c r="AE300" s="525"/>
      <c r="AF300" s="525"/>
    </row>
    <row r="301" spans="1:32" s="461" customFormat="1" ht="21.75" customHeight="1">
      <c r="B301" s="152"/>
      <c r="C301" s="160" t="s">
        <v>1804</v>
      </c>
      <c r="D301" s="1744" t="s">
        <v>3719</v>
      </c>
      <c r="E301" s="1744"/>
      <c r="F301" s="1744"/>
      <c r="G301" s="1744"/>
      <c r="H301" s="1744"/>
      <c r="I301" s="1744"/>
      <c r="J301" s="1744"/>
      <c r="K301" s="1744"/>
      <c r="L301" s="1744"/>
      <c r="M301" s="1744"/>
      <c r="N301" s="1744"/>
      <c r="O301" s="160" t="s">
        <v>1804</v>
      </c>
      <c r="P301" s="3112" t="s">
        <v>3156</v>
      </c>
      <c r="Q301" s="630"/>
      <c r="AE301" s="526"/>
      <c r="AF301" s="526"/>
    </row>
    <row r="302" spans="1:32" s="100" customFormat="1" ht="11.25" customHeight="1">
      <c r="B302" s="48"/>
      <c r="C302" s="521" t="s">
        <v>1805</v>
      </c>
      <c r="D302" s="1746" t="s">
        <v>4053</v>
      </c>
      <c r="E302" s="1746"/>
      <c r="F302" s="1746"/>
      <c r="G302" s="1746"/>
      <c r="H302" s="1746"/>
      <c r="I302" s="1746"/>
      <c r="J302" s="1746"/>
      <c r="K302" s="1746"/>
      <c r="L302" s="1746"/>
      <c r="M302" s="1746"/>
      <c r="N302" s="1746"/>
      <c r="O302" s="521" t="s">
        <v>1805</v>
      </c>
      <c r="P302" s="3150" t="s">
        <v>3153</v>
      </c>
      <c r="Q302" s="1261"/>
      <c r="AE302" s="527"/>
      <c r="AF302" s="527"/>
    </row>
    <row r="303" spans="1:32" s="100" customFormat="1" ht="11.25" customHeight="1">
      <c r="B303" s="152" t="s">
        <v>2061</v>
      </c>
      <c r="C303" s="160" t="s">
        <v>1803</v>
      </c>
      <c r="D303" s="1744" t="s">
        <v>4054</v>
      </c>
      <c r="E303" s="1744"/>
      <c r="F303" s="1744"/>
      <c r="G303" s="1744"/>
      <c r="H303" s="1744"/>
      <c r="I303" s="1744"/>
      <c r="J303" s="1744"/>
      <c r="K303" s="1744"/>
      <c r="L303" s="1744"/>
      <c r="M303" s="1744"/>
      <c r="N303" s="1744"/>
      <c r="O303" s="521" t="s">
        <v>4056</v>
      </c>
      <c r="P303" s="3108" t="s">
        <v>3153</v>
      </c>
      <c r="Q303" s="626"/>
      <c r="AE303" s="527"/>
      <c r="AF303" s="527"/>
    </row>
    <row r="304" spans="1:32" s="100" customFormat="1" ht="11.25" customHeight="1">
      <c r="B304" s="152"/>
      <c r="C304" s="160"/>
      <c r="D304" s="1744" t="s">
        <v>4055</v>
      </c>
      <c r="E304" s="1744"/>
      <c r="F304" s="1744"/>
      <c r="G304" s="1744"/>
      <c r="H304" s="1744"/>
      <c r="I304" s="1744"/>
      <c r="J304" s="1744"/>
      <c r="K304" s="1744"/>
      <c r="L304" s="1744"/>
      <c r="M304" s="1744"/>
      <c r="N304" s="1744"/>
      <c r="O304" s="521" t="s">
        <v>2195</v>
      </c>
      <c r="P304" s="3111" t="s">
        <v>3153</v>
      </c>
      <c r="Q304" s="627"/>
      <c r="AE304" s="527"/>
      <c r="AF304" s="527"/>
    </row>
    <row r="305" spans="1:32" s="100" customFormat="1" ht="11.25" customHeight="1">
      <c r="B305" s="152"/>
      <c r="C305" s="160" t="s">
        <v>1804</v>
      </c>
      <c r="D305" s="1744" t="s">
        <v>2832</v>
      </c>
      <c r="E305" s="1744"/>
      <c r="F305" s="1744"/>
      <c r="G305" s="1744"/>
      <c r="H305" s="1744"/>
      <c r="I305" s="1744"/>
      <c r="J305" s="1744"/>
      <c r="K305" s="1744"/>
      <c r="L305" s="1744"/>
      <c r="M305" s="1744"/>
      <c r="N305" s="1744"/>
      <c r="O305" s="521" t="s">
        <v>1804</v>
      </c>
      <c r="P305" s="3109" t="s">
        <v>3153</v>
      </c>
      <c r="Q305" s="628"/>
      <c r="AE305" s="527"/>
      <c r="AF305" s="527"/>
    </row>
    <row r="306" spans="1:32" s="100" customFormat="1" ht="21.75" customHeight="1">
      <c r="B306" s="152" t="s">
        <v>779</v>
      </c>
      <c r="C306" s="1751" t="s">
        <v>4058</v>
      </c>
      <c r="D306" s="1751"/>
      <c r="E306" s="1751"/>
      <c r="F306" s="1751"/>
      <c r="G306" s="1751"/>
      <c r="H306" s="1751"/>
      <c r="I306" s="1751"/>
      <c r="J306" s="1751"/>
      <c r="K306" s="1751"/>
      <c r="L306" s="1751"/>
      <c r="M306" s="1751"/>
      <c r="N306" s="1751"/>
      <c r="O306" s="174" t="s">
        <v>779</v>
      </c>
      <c r="P306" s="3151" t="s">
        <v>3153</v>
      </c>
      <c r="Q306" s="624"/>
      <c r="AE306" s="527"/>
      <c r="AF306" s="527"/>
    </row>
    <row r="307" spans="1:32" s="100" customFormat="1" ht="11.25" customHeight="1">
      <c r="B307" s="152"/>
      <c r="C307" s="431" t="s">
        <v>4059</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4" t="s">
        <v>4057</v>
      </c>
      <c r="E308" s="1744"/>
      <c r="F308" s="1744"/>
      <c r="G308" s="1744"/>
      <c r="H308" s="1744"/>
      <c r="I308" s="1744"/>
      <c r="J308" s="1744"/>
      <c r="K308" s="1744"/>
      <c r="L308" s="1744"/>
      <c r="M308" s="1744"/>
      <c r="N308" s="1744"/>
      <c r="O308" s="174" t="s">
        <v>4062</v>
      </c>
      <c r="P308" s="3149" t="s">
        <v>3153</v>
      </c>
      <c r="Q308" s="629"/>
      <c r="AE308" s="526"/>
      <c r="AF308" s="526"/>
    </row>
    <row r="309" spans="1:32" s="461" customFormat="1" ht="11.25" customHeight="1">
      <c r="B309" s="152"/>
      <c r="C309" s="160" t="s">
        <v>1804</v>
      </c>
      <c r="D309" s="1744" t="s">
        <v>4130</v>
      </c>
      <c r="E309" s="1744"/>
      <c r="F309" s="1744"/>
      <c r="G309" s="1744"/>
      <c r="H309" s="1744"/>
      <c r="I309" s="1744"/>
      <c r="J309" s="1744"/>
      <c r="K309" s="1744"/>
      <c r="L309" s="1744"/>
      <c r="M309" s="1744"/>
      <c r="N309" s="1744"/>
      <c r="O309" s="174" t="s">
        <v>4063</v>
      </c>
      <c r="P309" s="3112" t="s">
        <v>3153</v>
      </c>
      <c r="Q309" s="630"/>
      <c r="AE309" s="526"/>
      <c r="AF309" s="526"/>
    </row>
    <row r="310" spans="1:32" s="461" customFormat="1" ht="32.25" customHeight="1">
      <c r="B310" s="152"/>
      <c r="C310" s="174" t="s">
        <v>1805</v>
      </c>
      <c r="D310" s="1744" t="s">
        <v>4060</v>
      </c>
      <c r="E310" s="1744"/>
      <c r="F310" s="1744"/>
      <c r="G310" s="1744"/>
      <c r="H310" s="1744"/>
      <c r="I310" s="1744"/>
      <c r="J310" s="1744"/>
      <c r="K310" s="1744"/>
      <c r="L310" s="1744"/>
      <c r="M310" s="1744"/>
      <c r="N310" s="1744"/>
      <c r="O310" s="174" t="s">
        <v>4064</v>
      </c>
      <c r="P310" s="3112" t="s">
        <v>3153</v>
      </c>
      <c r="Q310" s="630"/>
      <c r="AE310" s="526"/>
      <c r="AF310" s="526"/>
    </row>
    <row r="311" spans="1:32" s="461" customFormat="1" ht="32.25" customHeight="1">
      <c r="B311" s="152"/>
      <c r="C311" s="174" t="s">
        <v>2448</v>
      </c>
      <c r="D311" s="1744" t="s">
        <v>4061</v>
      </c>
      <c r="E311" s="1744"/>
      <c r="F311" s="1744"/>
      <c r="G311" s="1744"/>
      <c r="H311" s="1744"/>
      <c r="I311" s="1744"/>
      <c r="J311" s="1744"/>
      <c r="K311" s="1744"/>
      <c r="L311" s="1744"/>
      <c r="M311" s="1744"/>
      <c r="N311" s="1744"/>
      <c r="O311" s="174" t="s">
        <v>4065</v>
      </c>
      <c r="P311" s="3152" t="s">
        <v>3153</v>
      </c>
      <c r="Q311" s="631"/>
      <c r="AE311" s="526"/>
      <c r="AF311" s="526"/>
    </row>
    <row r="312" spans="1:32" ht="11.25" customHeight="1">
      <c r="B312" s="151" t="s">
        <v>1936</v>
      </c>
      <c r="D312" s="151"/>
      <c r="E312" s="151"/>
      <c r="F312" s="151"/>
      <c r="G312" s="151"/>
      <c r="H312" s="41"/>
      <c r="I312" s="1419"/>
      <c r="J312" s="1419"/>
      <c r="K312" s="1419"/>
      <c r="L312" s="1411"/>
      <c r="M312" s="1411"/>
      <c r="N312" s="1411"/>
      <c r="O312" s="1411"/>
      <c r="P312" s="1411"/>
      <c r="Q312" s="1218"/>
    </row>
    <row r="313" spans="1:32" ht="24.75" customHeight="1">
      <c r="A313" s="3073" t="s">
        <v>4305</v>
      </c>
      <c r="B313" s="3074"/>
      <c r="C313" s="3074"/>
      <c r="D313" s="3074"/>
      <c r="E313" s="3074"/>
      <c r="F313" s="3074"/>
      <c r="G313" s="3074"/>
      <c r="H313" s="3074"/>
      <c r="I313" s="3074"/>
      <c r="J313" s="3074"/>
      <c r="K313" s="3074"/>
      <c r="L313" s="3074"/>
      <c r="M313" s="3074"/>
      <c r="N313" s="3074"/>
      <c r="O313" s="3074"/>
      <c r="P313" s="3074"/>
      <c r="Q313" s="3075"/>
      <c r="R313" s="496" t="s">
        <v>1301</v>
      </c>
      <c r="S313" s="497"/>
      <c r="U313" s="146"/>
      <c r="V313" s="146"/>
      <c r="W313" s="146"/>
      <c r="X313" s="146"/>
      <c r="Y313" s="146"/>
      <c r="Z313" s="146"/>
      <c r="AA313" s="146"/>
      <c r="AB313" s="146"/>
      <c r="AC313" s="146"/>
      <c r="AD313" s="146"/>
      <c r="AE313" s="523"/>
    </row>
    <row r="314" spans="1:32" ht="11.25" customHeight="1">
      <c r="B314" s="147" t="s">
        <v>1937</v>
      </c>
      <c r="C314" s="148"/>
      <c r="D314" s="1418"/>
      <c r="E314" s="1418"/>
      <c r="F314" s="1418"/>
      <c r="G314" s="1418"/>
      <c r="H314" s="1418"/>
      <c r="I314" s="1418"/>
      <c r="J314" s="1418"/>
      <c r="K314" s="1418"/>
      <c r="L314" s="1418"/>
      <c r="M314" s="1418"/>
      <c r="N314" s="1418"/>
      <c r="O314" s="1418"/>
      <c r="P314" s="1418"/>
      <c r="Q314" s="1418"/>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5">
        <v>19</v>
      </c>
      <c r="B316" s="10" t="s">
        <v>2760</v>
      </c>
      <c r="C316" s="10"/>
      <c r="D316" s="10"/>
      <c r="E316" s="10"/>
      <c r="F316" s="10"/>
      <c r="G316" s="10"/>
      <c r="H316" s="1418"/>
      <c r="I316" s="1418"/>
      <c r="J316" s="1418"/>
      <c r="K316" s="1418"/>
      <c r="L316" s="1418"/>
      <c r="M316" s="1418"/>
      <c r="O316" s="142" t="s">
        <v>1938</v>
      </c>
      <c r="P316" s="1763"/>
      <c r="Q316" s="1764"/>
    </row>
    <row r="317" spans="1:32" ht="11.45" customHeight="1">
      <c r="B317" s="155" t="s">
        <v>2332</v>
      </c>
      <c r="P317" s="3108" t="s">
        <v>3156</v>
      </c>
      <c r="Q317" s="626"/>
    </row>
    <row r="318" spans="1:32" ht="12" customHeight="1">
      <c r="B318" s="1174" t="s">
        <v>2290</v>
      </c>
      <c r="C318" s="1174"/>
      <c r="D318" s="1174"/>
      <c r="E318" s="1174"/>
      <c r="F318" s="1174"/>
      <c r="G318" s="1174"/>
      <c r="H318" s="1174"/>
      <c r="I318" s="1174"/>
      <c r="J318" s="1174"/>
      <c r="K318" s="1174"/>
      <c r="L318" s="1174"/>
      <c r="P318" s="3109" t="s">
        <v>3153</v>
      </c>
      <c r="Q318" s="628"/>
    </row>
    <row r="319" spans="1:32" ht="11.45" customHeight="1">
      <c r="B319" s="152" t="s">
        <v>2058</v>
      </c>
      <c r="C319" s="199" t="s">
        <v>476</v>
      </c>
      <c r="D319" s="1219"/>
      <c r="E319" s="1219"/>
      <c r="F319" s="1219"/>
      <c r="G319" s="1219"/>
      <c r="H319" s="1219"/>
      <c r="I319" s="1219"/>
      <c r="J319" s="1219"/>
      <c r="K319" s="1219"/>
      <c r="L319" s="1219"/>
      <c r="M319" s="1219"/>
      <c r="N319" s="174"/>
    </row>
    <row r="320" spans="1:32" ht="22.5" customHeight="1">
      <c r="A320" s="154"/>
      <c r="C320" s="1744" t="s">
        <v>3020</v>
      </c>
      <c r="D320" s="1744"/>
      <c r="E320" s="1744"/>
      <c r="F320" s="1744"/>
      <c r="G320" s="1744"/>
      <c r="H320" s="1744"/>
      <c r="I320" s="1744"/>
      <c r="J320" s="1744"/>
      <c r="K320" s="1744"/>
      <c r="L320" s="1744"/>
      <c r="M320" s="1744"/>
      <c r="N320" s="1744"/>
      <c r="O320" s="174" t="s">
        <v>2058</v>
      </c>
      <c r="P320" s="3153"/>
      <c r="Q320" s="635"/>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1"/>
      <c r="Q321" s="1218"/>
    </row>
    <row r="322" spans="1:256 1523:1523" ht="23.25" customHeight="1">
      <c r="A322" s="154"/>
      <c r="C322" s="232" t="s">
        <v>1803</v>
      </c>
      <c r="D322" s="233" t="s">
        <v>1170</v>
      </c>
      <c r="E322" s="143"/>
      <c r="F322" s="143"/>
      <c r="G322" s="3154" t="s">
        <v>1499</v>
      </c>
      <c r="H322" s="3155"/>
      <c r="I322" s="3155"/>
      <c r="J322" s="3155"/>
      <c r="K322" s="3155"/>
      <c r="L322" s="3155"/>
      <c r="M322" s="3155"/>
      <c r="N322" s="3156"/>
      <c r="O322" s="236" t="s">
        <v>1803</v>
      </c>
      <c r="P322" s="3149" t="s">
        <v>3153</v>
      </c>
      <c r="Q322" s="629"/>
      <c r="BFO322" s="158" t="s">
        <v>2834</v>
      </c>
    </row>
    <row r="323" spans="1:256 1523:1523" ht="23.25" customHeight="1">
      <c r="A323" s="154"/>
      <c r="C323" s="232" t="s">
        <v>1804</v>
      </c>
      <c r="D323" s="1718" t="s">
        <v>1171</v>
      </c>
      <c r="E323" s="1771"/>
      <c r="F323" s="1772"/>
      <c r="G323" s="3143" t="s">
        <v>2743</v>
      </c>
      <c r="H323" s="3157"/>
      <c r="I323" s="3157"/>
      <c r="J323" s="3157"/>
      <c r="K323" s="3157"/>
      <c r="L323" s="3157"/>
      <c r="M323" s="3157"/>
      <c r="N323" s="3158"/>
      <c r="O323" s="236" t="s">
        <v>1804</v>
      </c>
      <c r="P323" s="3152" t="s">
        <v>3153</v>
      </c>
      <c r="Q323" s="631"/>
    </row>
    <row r="324" spans="1:256 1523:1523" ht="3" customHeight="1">
      <c r="A324" s="1411"/>
      <c r="B324" s="1411"/>
      <c r="C324" s="1411"/>
      <c r="D324" s="1411"/>
      <c r="E324" s="1411"/>
      <c r="F324" s="1411"/>
      <c r="G324" s="1411"/>
      <c r="H324" s="1411"/>
      <c r="I324" s="1411"/>
      <c r="J324" s="1411"/>
      <c r="K324" s="1411"/>
      <c r="L324" s="1411"/>
      <c r="M324" s="1411"/>
      <c r="N324" s="1411"/>
      <c r="O324" s="1411"/>
      <c r="P324" s="1411"/>
      <c r="Q324" s="1411"/>
      <c r="R324" s="1411"/>
      <c r="S324" s="1411"/>
      <c r="T324" s="1411"/>
      <c r="U324" s="1411"/>
      <c r="V324" s="1411"/>
      <c r="W324" s="1411"/>
      <c r="X324" s="1411"/>
      <c r="Y324" s="1411"/>
      <c r="Z324" s="1411"/>
      <c r="AA324" s="1411"/>
      <c r="AB324" s="1411"/>
      <c r="AC324" s="1411"/>
      <c r="AD324" s="1411"/>
      <c r="AE324" s="1218"/>
      <c r="AF324" s="1218"/>
      <c r="AG324" s="1411"/>
      <c r="AH324" s="1411"/>
      <c r="AI324" s="1411"/>
      <c r="AJ324" s="1411"/>
      <c r="AK324" s="1411"/>
      <c r="AL324" s="1411"/>
      <c r="AM324" s="1411"/>
      <c r="AN324" s="1411"/>
      <c r="AO324" s="1411"/>
      <c r="AP324" s="1411"/>
      <c r="AQ324" s="1411"/>
      <c r="AR324" s="1411"/>
      <c r="AS324" s="1411"/>
      <c r="AT324" s="1411"/>
      <c r="AU324" s="1411"/>
      <c r="AV324" s="1411"/>
      <c r="AW324" s="1411"/>
      <c r="AX324" s="1411"/>
      <c r="AY324" s="1411"/>
      <c r="AZ324" s="1411"/>
      <c r="BA324" s="1411"/>
      <c r="BB324" s="1411"/>
      <c r="BC324" s="1411"/>
      <c r="BD324" s="1411"/>
      <c r="BE324" s="1411"/>
      <c r="BF324" s="1411"/>
      <c r="BG324" s="1411"/>
      <c r="BH324" s="1411"/>
      <c r="BI324" s="1411"/>
      <c r="BJ324" s="1411"/>
      <c r="BK324" s="1411"/>
      <c r="BL324" s="1411"/>
      <c r="BM324" s="1411"/>
      <c r="BN324" s="1411"/>
      <c r="BO324" s="1411"/>
      <c r="BP324" s="1411"/>
      <c r="BQ324" s="1411"/>
      <c r="BR324" s="1411"/>
      <c r="BS324" s="1411"/>
      <c r="BT324" s="1411"/>
      <c r="BU324" s="1411"/>
      <c r="BV324" s="1411"/>
      <c r="BW324" s="1411"/>
      <c r="BX324" s="1411"/>
      <c r="BY324" s="1411"/>
      <c r="BZ324" s="1411"/>
      <c r="CA324" s="1411"/>
      <c r="CB324" s="1411"/>
      <c r="CC324" s="1411"/>
      <c r="CD324" s="1411"/>
      <c r="CE324" s="1411"/>
      <c r="CF324" s="1411"/>
      <c r="CG324" s="1411"/>
      <c r="CH324" s="1411"/>
      <c r="CI324" s="1411"/>
      <c r="CJ324" s="1411"/>
      <c r="CK324" s="1411"/>
      <c r="CL324" s="1411"/>
      <c r="CM324" s="1411"/>
      <c r="CN324" s="1411"/>
      <c r="CO324" s="1411"/>
      <c r="CP324" s="1411"/>
      <c r="CQ324" s="1411"/>
      <c r="CR324" s="1411"/>
      <c r="CS324" s="1411"/>
      <c r="CT324" s="1411"/>
      <c r="CU324" s="1411"/>
      <c r="CV324" s="1411"/>
      <c r="CW324" s="1411"/>
      <c r="CX324" s="1411"/>
      <c r="CY324" s="1411"/>
      <c r="CZ324" s="1411"/>
      <c r="DA324" s="1411"/>
      <c r="DB324" s="1411"/>
      <c r="DC324" s="1411"/>
      <c r="DD324" s="1411"/>
      <c r="DE324" s="1411"/>
      <c r="DF324" s="1411"/>
      <c r="DG324" s="1411"/>
      <c r="DH324" s="1411"/>
      <c r="DI324" s="1411"/>
      <c r="DJ324" s="1411"/>
      <c r="DK324" s="1411"/>
      <c r="DL324" s="1411"/>
      <c r="DM324" s="1411"/>
      <c r="DN324" s="1411"/>
      <c r="DO324" s="1411"/>
      <c r="DP324" s="1411"/>
      <c r="DQ324" s="1411"/>
      <c r="DR324" s="1411"/>
      <c r="DS324" s="1411"/>
      <c r="DT324" s="1411"/>
      <c r="DU324" s="1411"/>
      <c r="DV324" s="1411"/>
      <c r="DW324" s="1411"/>
      <c r="DX324" s="1411"/>
      <c r="DY324" s="1411"/>
      <c r="DZ324" s="1411"/>
      <c r="EA324" s="1411"/>
      <c r="EB324" s="1411"/>
      <c r="EC324" s="1411"/>
      <c r="ED324" s="1411"/>
      <c r="EE324" s="1411"/>
      <c r="EF324" s="1411"/>
      <c r="EG324" s="1411"/>
      <c r="EH324" s="1411"/>
      <c r="EI324" s="1411"/>
      <c r="EJ324" s="1411"/>
      <c r="EK324" s="1411"/>
      <c r="EL324" s="1411"/>
      <c r="EM324" s="1411"/>
      <c r="EN324" s="1411"/>
      <c r="EO324" s="1411"/>
      <c r="EP324" s="1411"/>
      <c r="EQ324" s="1411"/>
      <c r="ER324" s="1411"/>
      <c r="ES324" s="1411"/>
      <c r="ET324" s="1411"/>
      <c r="EU324" s="1411"/>
      <c r="EV324" s="1411"/>
      <c r="EW324" s="1411"/>
      <c r="EX324" s="1411"/>
      <c r="EY324" s="1411"/>
      <c r="EZ324" s="1411"/>
      <c r="FA324" s="1411"/>
      <c r="FB324" s="1411"/>
      <c r="FC324" s="1411"/>
      <c r="FD324" s="1411"/>
      <c r="FE324" s="1411"/>
      <c r="FF324" s="1411"/>
      <c r="FG324" s="1411"/>
      <c r="FH324" s="1411"/>
      <c r="FI324" s="1411"/>
      <c r="FJ324" s="1411"/>
      <c r="FK324" s="1411"/>
      <c r="FL324" s="1411"/>
      <c r="FM324" s="1411"/>
      <c r="FN324" s="1411"/>
      <c r="FO324" s="1411"/>
      <c r="FP324" s="1411"/>
      <c r="FQ324" s="1411"/>
      <c r="FR324" s="1411"/>
      <c r="FS324" s="1411"/>
      <c r="FT324" s="1411"/>
      <c r="FU324" s="1411"/>
      <c r="FV324" s="1411"/>
      <c r="FW324" s="1411"/>
      <c r="FX324" s="1411"/>
      <c r="FY324" s="1411"/>
      <c r="FZ324" s="1411"/>
      <c r="GA324" s="1411"/>
      <c r="GB324" s="1411"/>
      <c r="GC324" s="1411"/>
      <c r="GD324" s="1411"/>
      <c r="GE324" s="1411"/>
      <c r="GF324" s="1411"/>
      <c r="GG324" s="1411"/>
      <c r="GH324" s="1411"/>
      <c r="GI324" s="1411"/>
      <c r="GJ324" s="1411"/>
      <c r="GK324" s="1411"/>
      <c r="GL324" s="1411"/>
      <c r="GM324" s="1411"/>
      <c r="GN324" s="1411"/>
      <c r="GO324" s="1411"/>
      <c r="GP324" s="1411"/>
      <c r="GQ324" s="1411"/>
      <c r="GR324" s="1411"/>
      <c r="GS324" s="1411"/>
      <c r="GT324" s="1411"/>
      <c r="GU324" s="1411"/>
      <c r="GV324" s="1411"/>
      <c r="GW324" s="1411"/>
      <c r="GX324" s="1411"/>
      <c r="GY324" s="1411"/>
      <c r="GZ324" s="1411"/>
      <c r="HA324" s="1411"/>
      <c r="HB324" s="1411"/>
      <c r="HC324" s="1411"/>
      <c r="HD324" s="1411"/>
      <c r="HE324" s="1411"/>
      <c r="HF324" s="1411"/>
      <c r="HG324" s="1411"/>
      <c r="HH324" s="1411"/>
      <c r="HI324" s="1411"/>
      <c r="HJ324" s="1411"/>
      <c r="HK324" s="1411"/>
      <c r="HL324" s="1411"/>
      <c r="HM324" s="1411"/>
      <c r="HN324" s="1411"/>
      <c r="HO324" s="1411"/>
      <c r="HP324" s="1411"/>
      <c r="HQ324" s="1411"/>
      <c r="HR324" s="1411"/>
      <c r="HS324" s="1411"/>
      <c r="HT324" s="1411"/>
      <c r="HU324" s="1411"/>
      <c r="HV324" s="1411"/>
      <c r="HW324" s="1411"/>
      <c r="HX324" s="1411"/>
      <c r="HY324" s="1411"/>
      <c r="HZ324" s="1411"/>
      <c r="IA324" s="1411"/>
      <c r="IB324" s="1411"/>
      <c r="IC324" s="1411"/>
      <c r="ID324" s="1411"/>
      <c r="IE324" s="1411"/>
      <c r="IF324" s="1411"/>
      <c r="IG324" s="1411"/>
      <c r="IH324" s="1411"/>
      <c r="II324" s="1411"/>
      <c r="IJ324" s="1411"/>
      <c r="IK324" s="1411"/>
      <c r="IL324" s="1411"/>
      <c r="IM324" s="1411"/>
      <c r="IN324" s="1411"/>
      <c r="IO324" s="1411"/>
      <c r="IP324" s="1411"/>
      <c r="IQ324" s="1411"/>
      <c r="IR324" s="1411"/>
      <c r="IS324" s="1411"/>
      <c r="IT324" s="1411"/>
      <c r="IU324" s="1411"/>
      <c r="IV324" s="1411"/>
    </row>
    <row r="325" spans="1:256 1523:1523" s="143" customFormat="1" ht="22.5" customHeight="1">
      <c r="B325" s="152" t="s">
        <v>779</v>
      </c>
      <c r="C325" s="1752" t="s">
        <v>2766</v>
      </c>
      <c r="D325" s="1752"/>
      <c r="E325" s="1752"/>
      <c r="F325" s="1752"/>
      <c r="G325" s="1752"/>
      <c r="H325" s="1752"/>
      <c r="I325" s="1752"/>
      <c r="J325" s="1752"/>
      <c r="K325" s="1752"/>
      <c r="L325" s="1752"/>
      <c r="M325" s="1752"/>
      <c r="N325" s="1752"/>
      <c r="O325" s="493" t="s">
        <v>779</v>
      </c>
      <c r="P325" s="1411"/>
      <c r="Q325" s="1218"/>
      <c r="AE325" s="524"/>
      <c r="AF325" s="524"/>
    </row>
    <row r="326" spans="1:256 1523:1523" s="143" customFormat="1" ht="11.25" customHeight="1">
      <c r="A326" s="154"/>
      <c r="C326" s="232" t="s">
        <v>1803</v>
      </c>
      <c r="D326" s="3140"/>
      <c r="E326" s="3141"/>
      <c r="F326" s="3141"/>
      <c r="G326" s="3141"/>
      <c r="H326" s="3141"/>
      <c r="I326" s="3141"/>
      <c r="J326" s="3141"/>
      <c r="K326" s="3141"/>
      <c r="L326" s="3141"/>
      <c r="M326" s="3141"/>
      <c r="N326" s="3142"/>
      <c r="O326" s="236" t="s">
        <v>1803</v>
      </c>
      <c r="P326" s="3149"/>
      <c r="Q326" s="629"/>
      <c r="AE326" s="524"/>
      <c r="AF326" s="524"/>
    </row>
    <row r="327" spans="1:256 1523:1523" s="143" customFormat="1" ht="11.25" customHeight="1">
      <c r="A327" s="154"/>
      <c r="C327" s="232" t="s">
        <v>1804</v>
      </c>
      <c r="D327" s="3143"/>
      <c r="E327" s="3144"/>
      <c r="F327" s="3144"/>
      <c r="G327" s="3144"/>
      <c r="H327" s="3144"/>
      <c r="I327" s="3144"/>
      <c r="J327" s="3144"/>
      <c r="K327" s="3144"/>
      <c r="L327" s="3144"/>
      <c r="M327" s="3144"/>
      <c r="N327" s="3145"/>
      <c r="O327" s="236" t="s">
        <v>1804</v>
      </c>
      <c r="P327" s="3152"/>
      <c r="Q327" s="631"/>
      <c r="AE327" s="524"/>
      <c r="AF327" s="524"/>
    </row>
    <row r="328" spans="1:256 1523:1523" ht="3" customHeight="1">
      <c r="A328" s="1411"/>
      <c r="B328" s="1411"/>
      <c r="C328" s="1411"/>
      <c r="D328" s="1411"/>
      <c r="E328" s="1411"/>
      <c r="F328" s="1411"/>
      <c r="G328" s="1411"/>
      <c r="H328" s="1411"/>
      <c r="I328" s="1411"/>
      <c r="J328" s="1411"/>
      <c r="K328" s="1411"/>
      <c r="L328" s="1411"/>
      <c r="M328" s="1411"/>
      <c r="N328" s="1411"/>
      <c r="O328" s="1411"/>
      <c r="P328" s="1411"/>
      <c r="Q328" s="1411"/>
      <c r="R328" s="1411"/>
      <c r="S328" s="1411"/>
      <c r="T328" s="1411"/>
      <c r="U328" s="1411"/>
      <c r="V328" s="1411"/>
      <c r="W328" s="1411"/>
      <c r="X328" s="1411"/>
      <c r="Y328" s="1411"/>
      <c r="Z328" s="1411"/>
      <c r="AA328" s="1411"/>
      <c r="AB328" s="1411"/>
      <c r="AC328" s="1411"/>
      <c r="AD328" s="1411"/>
      <c r="AE328" s="1218"/>
      <c r="AF328" s="1218"/>
      <c r="AG328" s="1411"/>
      <c r="AH328" s="1411"/>
      <c r="AI328" s="1411"/>
      <c r="AJ328" s="1411"/>
      <c r="AK328" s="1411"/>
      <c r="AL328" s="1411"/>
      <c r="AM328" s="1411"/>
      <c r="AN328" s="1411"/>
      <c r="AO328" s="1411"/>
      <c r="AP328" s="1411"/>
      <c r="AQ328" s="1411"/>
      <c r="AR328" s="1411"/>
      <c r="AS328" s="1411"/>
      <c r="AT328" s="1411"/>
      <c r="AU328" s="1411"/>
      <c r="AV328" s="1411"/>
      <c r="AW328" s="1411"/>
      <c r="AX328" s="1411"/>
      <c r="AY328" s="1411"/>
      <c r="AZ328" s="1411"/>
      <c r="BA328" s="1411"/>
      <c r="BB328" s="1411"/>
      <c r="BC328" s="1411"/>
      <c r="BD328" s="1411"/>
      <c r="BE328" s="1411"/>
      <c r="BF328" s="1411"/>
      <c r="BG328" s="1411"/>
      <c r="BH328" s="1411"/>
      <c r="BI328" s="1411"/>
      <c r="BJ328" s="1411"/>
      <c r="BK328" s="1411"/>
      <c r="BL328" s="1411"/>
      <c r="BM328" s="1411"/>
      <c r="BN328" s="1411"/>
      <c r="BO328" s="1411"/>
      <c r="BP328" s="1411"/>
      <c r="BQ328" s="1411"/>
      <c r="BR328" s="1411"/>
      <c r="BS328" s="1411"/>
      <c r="BT328" s="1411"/>
      <c r="BU328" s="1411"/>
      <c r="BV328" s="1411"/>
      <c r="BW328" s="1411"/>
      <c r="BX328" s="1411"/>
      <c r="BY328" s="1411"/>
      <c r="BZ328" s="1411"/>
      <c r="CA328" s="1411"/>
      <c r="CB328" s="1411"/>
      <c r="CC328" s="1411"/>
      <c r="CD328" s="1411"/>
      <c r="CE328" s="1411"/>
      <c r="CF328" s="1411"/>
      <c r="CG328" s="1411"/>
      <c r="CH328" s="1411"/>
      <c r="CI328" s="1411"/>
      <c r="CJ328" s="1411"/>
      <c r="CK328" s="1411"/>
      <c r="CL328" s="1411"/>
      <c r="CM328" s="1411"/>
      <c r="CN328" s="1411"/>
      <c r="CO328" s="1411"/>
      <c r="CP328" s="1411"/>
      <c r="CQ328" s="1411"/>
      <c r="CR328" s="1411"/>
      <c r="CS328" s="1411"/>
      <c r="CT328" s="1411"/>
      <c r="CU328" s="1411"/>
      <c r="CV328" s="1411"/>
      <c r="CW328" s="1411"/>
      <c r="CX328" s="1411"/>
      <c r="CY328" s="1411"/>
      <c r="CZ328" s="1411"/>
      <c r="DA328" s="1411"/>
      <c r="DB328" s="1411"/>
      <c r="DC328" s="1411"/>
      <c r="DD328" s="1411"/>
      <c r="DE328" s="1411"/>
      <c r="DF328" s="1411"/>
      <c r="DG328" s="1411"/>
      <c r="DH328" s="1411"/>
      <c r="DI328" s="1411"/>
      <c r="DJ328" s="1411"/>
      <c r="DK328" s="1411"/>
      <c r="DL328" s="1411"/>
      <c r="DM328" s="1411"/>
      <c r="DN328" s="1411"/>
      <c r="DO328" s="1411"/>
      <c r="DP328" s="1411"/>
      <c r="DQ328" s="1411"/>
      <c r="DR328" s="1411"/>
      <c r="DS328" s="1411"/>
      <c r="DT328" s="1411"/>
      <c r="DU328" s="1411"/>
      <c r="DV328" s="1411"/>
      <c r="DW328" s="1411"/>
      <c r="DX328" s="1411"/>
      <c r="DY328" s="1411"/>
      <c r="DZ328" s="1411"/>
      <c r="EA328" s="1411"/>
      <c r="EB328" s="1411"/>
      <c r="EC328" s="1411"/>
      <c r="ED328" s="1411"/>
      <c r="EE328" s="1411"/>
      <c r="EF328" s="1411"/>
      <c r="EG328" s="1411"/>
      <c r="EH328" s="1411"/>
      <c r="EI328" s="1411"/>
      <c r="EJ328" s="1411"/>
      <c r="EK328" s="1411"/>
      <c r="EL328" s="1411"/>
      <c r="EM328" s="1411"/>
      <c r="EN328" s="1411"/>
      <c r="EO328" s="1411"/>
      <c r="EP328" s="1411"/>
      <c r="EQ328" s="1411"/>
      <c r="ER328" s="1411"/>
      <c r="ES328" s="1411"/>
      <c r="ET328" s="1411"/>
      <c r="EU328" s="1411"/>
      <c r="EV328" s="1411"/>
      <c r="EW328" s="1411"/>
      <c r="EX328" s="1411"/>
      <c r="EY328" s="1411"/>
      <c r="EZ328" s="1411"/>
      <c r="FA328" s="1411"/>
      <c r="FB328" s="1411"/>
      <c r="FC328" s="1411"/>
      <c r="FD328" s="1411"/>
      <c r="FE328" s="1411"/>
      <c r="FF328" s="1411"/>
      <c r="FG328" s="1411"/>
      <c r="FH328" s="1411"/>
      <c r="FI328" s="1411"/>
      <c r="FJ328" s="1411"/>
      <c r="FK328" s="1411"/>
      <c r="FL328" s="1411"/>
      <c r="FM328" s="1411"/>
      <c r="FN328" s="1411"/>
      <c r="FO328" s="1411"/>
      <c r="FP328" s="1411"/>
      <c r="FQ328" s="1411"/>
      <c r="FR328" s="1411"/>
      <c r="FS328" s="1411"/>
      <c r="FT328" s="1411"/>
      <c r="FU328" s="1411"/>
      <c r="FV328" s="1411"/>
      <c r="FW328" s="1411"/>
      <c r="FX328" s="1411"/>
      <c r="FY328" s="1411"/>
      <c r="FZ328" s="1411"/>
      <c r="GA328" s="1411"/>
      <c r="GB328" s="1411"/>
      <c r="GC328" s="1411"/>
      <c r="GD328" s="1411"/>
      <c r="GE328" s="1411"/>
      <c r="GF328" s="1411"/>
      <c r="GG328" s="1411"/>
      <c r="GH328" s="1411"/>
      <c r="GI328" s="1411"/>
      <c r="GJ328" s="1411"/>
      <c r="GK328" s="1411"/>
      <c r="GL328" s="1411"/>
      <c r="GM328" s="1411"/>
      <c r="GN328" s="1411"/>
      <c r="GO328" s="1411"/>
      <c r="GP328" s="1411"/>
      <c r="GQ328" s="1411"/>
      <c r="GR328" s="1411"/>
      <c r="GS328" s="1411"/>
      <c r="GT328" s="1411"/>
      <c r="GU328" s="1411"/>
      <c r="GV328" s="1411"/>
      <c r="GW328" s="1411"/>
      <c r="GX328" s="1411"/>
      <c r="GY328" s="1411"/>
      <c r="GZ328" s="1411"/>
      <c r="HA328" s="1411"/>
      <c r="HB328" s="1411"/>
      <c r="HC328" s="1411"/>
      <c r="HD328" s="1411"/>
      <c r="HE328" s="1411"/>
      <c r="HF328" s="1411"/>
      <c r="HG328" s="1411"/>
      <c r="HH328" s="1411"/>
      <c r="HI328" s="1411"/>
      <c r="HJ328" s="1411"/>
      <c r="HK328" s="1411"/>
      <c r="HL328" s="1411"/>
      <c r="HM328" s="1411"/>
      <c r="HN328" s="1411"/>
      <c r="HO328" s="1411"/>
      <c r="HP328" s="1411"/>
      <c r="HQ328" s="1411"/>
      <c r="HR328" s="1411"/>
      <c r="HS328" s="1411"/>
      <c r="HT328" s="1411"/>
      <c r="HU328" s="1411"/>
      <c r="HV328" s="1411"/>
      <c r="HW328" s="1411"/>
      <c r="HX328" s="1411"/>
      <c r="HY328" s="1411"/>
      <c r="HZ328" s="1411"/>
      <c r="IA328" s="1411"/>
      <c r="IB328" s="1411"/>
      <c r="IC328" s="1411"/>
      <c r="ID328" s="1411"/>
      <c r="IE328" s="1411"/>
      <c r="IF328" s="1411"/>
      <c r="IG328" s="1411"/>
      <c r="IH328" s="1411"/>
      <c r="II328" s="1411"/>
      <c r="IJ328" s="1411"/>
      <c r="IK328" s="1411"/>
      <c r="IL328" s="1411"/>
      <c r="IM328" s="1411"/>
      <c r="IN328" s="1411"/>
      <c r="IO328" s="1411"/>
      <c r="IP328" s="1411"/>
      <c r="IQ328" s="1411"/>
      <c r="IR328" s="1411"/>
      <c r="IS328" s="1411"/>
      <c r="IT328" s="1411"/>
      <c r="IU328" s="1411"/>
      <c r="IV328" s="1411"/>
    </row>
    <row r="329" spans="1:256 1523:1523" ht="11.25" customHeight="1">
      <c r="B329" s="151" t="s">
        <v>1936</v>
      </c>
      <c r="D329" s="151"/>
      <c r="E329" s="151"/>
      <c r="F329" s="151"/>
      <c r="G329" s="151"/>
      <c r="H329" s="41"/>
      <c r="I329" s="1419"/>
      <c r="J329" s="1419"/>
      <c r="K329" s="1419"/>
      <c r="L329" s="1411"/>
      <c r="M329" s="1411"/>
      <c r="N329" s="1411"/>
      <c r="O329" s="1411"/>
      <c r="P329" s="1411"/>
      <c r="Q329" s="1218"/>
    </row>
    <row r="330" spans="1:256 1523:1523" ht="11.45" customHeight="1">
      <c r="A330" s="3073" t="s">
        <v>4306</v>
      </c>
      <c r="B330" s="3074"/>
      <c r="C330" s="3074"/>
      <c r="D330" s="3074"/>
      <c r="E330" s="3074"/>
      <c r="F330" s="3074"/>
      <c r="G330" s="3074"/>
      <c r="H330" s="3074"/>
      <c r="I330" s="3074"/>
      <c r="J330" s="3074"/>
      <c r="K330" s="3074"/>
      <c r="L330" s="3074"/>
      <c r="M330" s="3074"/>
      <c r="N330" s="3074"/>
      <c r="O330" s="3074"/>
      <c r="P330" s="3074"/>
      <c r="Q330" s="3075"/>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18"/>
      <c r="E331" s="1418"/>
      <c r="F331" s="1418"/>
      <c r="G331" s="1418"/>
      <c r="H331" s="1418"/>
      <c r="I331" s="1418"/>
      <c r="J331" s="1418"/>
      <c r="K331" s="1418"/>
      <c r="L331" s="1418"/>
      <c r="M331" s="1418"/>
      <c r="N331" s="1418"/>
      <c r="O331" s="1418"/>
      <c r="P331" s="1418"/>
      <c r="Q331" s="1418"/>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5">
        <v>20</v>
      </c>
      <c r="B333" s="1425" t="s">
        <v>3025</v>
      </c>
      <c r="C333" s="1425"/>
      <c r="D333" s="1418"/>
      <c r="E333" s="1418"/>
      <c r="F333" s="1418"/>
      <c r="G333" s="1418"/>
      <c r="H333" s="1418"/>
      <c r="O333" s="142" t="s">
        <v>1938</v>
      </c>
      <c r="P333" s="1711"/>
      <c r="Q333" s="1712"/>
    </row>
    <row r="334" spans="1:256 1523:1523" ht="11.45" customHeight="1">
      <c r="B334" s="57" t="s">
        <v>3026</v>
      </c>
      <c r="P334" s="3108" t="s">
        <v>3153</v>
      </c>
      <c r="Q334" s="626"/>
    </row>
    <row r="335" spans="1:256 1523:1523" ht="11.45" customHeight="1">
      <c r="B335" s="155" t="s">
        <v>2431</v>
      </c>
      <c r="P335" s="3109" t="s">
        <v>3156</v>
      </c>
      <c r="Q335" s="628"/>
    </row>
    <row r="336" spans="1:256 1523:1523" ht="11.45" customHeight="1">
      <c r="B336" s="57" t="s">
        <v>3027</v>
      </c>
      <c r="M336" s="3159" t="s">
        <v>3029</v>
      </c>
      <c r="N336" s="3160"/>
      <c r="O336" s="3161"/>
    </row>
    <row r="337" spans="1:31" ht="11.45" customHeight="1">
      <c r="B337" s="456" t="s">
        <v>2432</v>
      </c>
      <c r="M337" s="1756" t="s">
        <v>3028</v>
      </c>
      <c r="N337" s="1757"/>
      <c r="O337" s="1758"/>
    </row>
    <row r="338" spans="1:31" ht="11.25" customHeight="1">
      <c r="B338" s="151" t="s">
        <v>1936</v>
      </c>
      <c r="D338" s="151"/>
      <c r="E338" s="151"/>
      <c r="F338" s="151"/>
      <c r="G338" s="151"/>
      <c r="H338" s="41"/>
      <c r="I338" s="1419"/>
      <c r="J338" s="1419"/>
      <c r="K338" s="1419"/>
      <c r="L338" s="1411"/>
      <c r="M338" s="1411"/>
      <c r="N338" s="1411"/>
      <c r="O338" s="1411"/>
      <c r="P338" s="1411"/>
      <c r="Q338" s="1218"/>
    </row>
    <row r="339" spans="1:31" ht="22.5" customHeight="1">
      <c r="A339" s="3073" t="s">
        <v>4386</v>
      </c>
      <c r="B339" s="3074"/>
      <c r="C339" s="3074"/>
      <c r="D339" s="3074"/>
      <c r="E339" s="3074"/>
      <c r="F339" s="3074"/>
      <c r="G339" s="3074"/>
      <c r="H339" s="3074"/>
      <c r="I339" s="3074"/>
      <c r="J339" s="3074"/>
      <c r="K339" s="3074"/>
      <c r="L339" s="3074"/>
      <c r="M339" s="3074"/>
      <c r="N339" s="3074"/>
      <c r="O339" s="3074"/>
      <c r="P339" s="3074"/>
      <c r="Q339" s="3075"/>
      <c r="R339" s="496" t="s">
        <v>1301</v>
      </c>
      <c r="S339" s="497"/>
      <c r="U339" s="146"/>
      <c r="V339" s="146"/>
      <c r="W339" s="146"/>
      <c r="X339" s="146"/>
      <c r="Y339" s="146"/>
      <c r="Z339" s="146"/>
      <c r="AA339" s="146"/>
      <c r="AB339" s="146"/>
      <c r="AC339" s="146"/>
      <c r="AD339" s="146"/>
      <c r="AE339" s="523"/>
    </row>
    <row r="340" spans="1:31" ht="11.25" customHeight="1">
      <c r="B340" s="147" t="s">
        <v>1937</v>
      </c>
      <c r="C340" s="148"/>
      <c r="D340" s="1418"/>
      <c r="E340" s="1418"/>
      <c r="F340" s="1418"/>
      <c r="G340" s="1418"/>
      <c r="H340" s="1418"/>
      <c r="I340" s="1418"/>
      <c r="J340" s="1418"/>
      <c r="K340" s="1418"/>
      <c r="L340" s="1418"/>
      <c r="M340" s="1418"/>
      <c r="N340" s="1418"/>
      <c r="O340" s="1418"/>
      <c r="P340" s="1418"/>
      <c r="Q340" s="1418"/>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5">
        <v>21</v>
      </c>
      <c r="B342" s="4" t="s">
        <v>2761</v>
      </c>
      <c r="C342" s="4"/>
      <c r="D342" s="92"/>
      <c r="E342" s="1418"/>
      <c r="F342" s="1418"/>
      <c r="G342" s="1418"/>
      <c r="H342" s="1418"/>
      <c r="I342" s="1418"/>
      <c r="J342" s="1418"/>
      <c r="K342" s="1418"/>
      <c r="L342" s="1418"/>
      <c r="M342" s="1418"/>
      <c r="O342" s="142" t="s">
        <v>1938</v>
      </c>
      <c r="P342" s="1711"/>
      <c r="Q342" s="1712"/>
    </row>
    <row r="343" spans="1:31">
      <c r="B343" s="152" t="s">
        <v>2058</v>
      </c>
      <c r="C343" s="1718" t="s">
        <v>4089</v>
      </c>
      <c r="D343" s="1718"/>
      <c r="E343" s="1718"/>
      <c r="F343" s="1718"/>
      <c r="G343" s="1718"/>
      <c r="H343" s="1718"/>
      <c r="I343" s="1718"/>
      <c r="J343" s="1718"/>
      <c r="K343" s="1718"/>
      <c r="L343" s="1718"/>
      <c r="M343" s="1718"/>
      <c r="N343" s="1718"/>
      <c r="O343" s="174" t="s">
        <v>2058</v>
      </c>
      <c r="P343" s="3108" t="s">
        <v>3153</v>
      </c>
      <c r="Q343" s="626"/>
    </row>
    <row r="344" spans="1:31">
      <c r="B344" s="152" t="s">
        <v>2061</v>
      </c>
      <c r="C344" s="1718" t="s">
        <v>4090</v>
      </c>
      <c r="D344" s="1718"/>
      <c r="E344" s="1718"/>
      <c r="F344" s="1718"/>
      <c r="G344" s="1718"/>
      <c r="H344" s="1718"/>
      <c r="I344" s="1718"/>
      <c r="J344" s="1718"/>
      <c r="K344" s="1718"/>
      <c r="L344" s="1718"/>
      <c r="M344" s="1718"/>
      <c r="N344" s="1718"/>
      <c r="O344" s="174" t="s">
        <v>2061</v>
      </c>
      <c r="P344" s="3111" t="s">
        <v>3156</v>
      </c>
      <c r="Q344" s="627"/>
    </row>
    <row r="345" spans="1:31" ht="22.5" customHeight="1">
      <c r="B345" s="152" t="s">
        <v>779</v>
      </c>
      <c r="C345" s="1718" t="s">
        <v>3736</v>
      </c>
      <c r="D345" s="1718"/>
      <c r="E345" s="1718"/>
      <c r="F345" s="1718"/>
      <c r="G345" s="1718"/>
      <c r="H345" s="1718"/>
      <c r="I345" s="1718"/>
      <c r="J345" s="1718"/>
      <c r="K345" s="1718"/>
      <c r="L345" s="1718"/>
      <c r="M345" s="1718"/>
      <c r="N345" s="1718"/>
      <c r="O345" s="174" t="s">
        <v>779</v>
      </c>
      <c r="P345" s="3109"/>
      <c r="Q345" s="627"/>
    </row>
    <row r="346" spans="1:31" ht="11.25" customHeight="1">
      <c r="B346" s="151" t="s">
        <v>1936</v>
      </c>
      <c r="D346" s="151"/>
      <c r="E346" s="151"/>
      <c r="F346" s="151"/>
      <c r="G346" s="151"/>
      <c r="H346" s="41"/>
      <c r="I346" s="1419"/>
      <c r="J346" s="1419"/>
      <c r="K346" s="1419"/>
      <c r="L346" s="1411"/>
      <c r="M346" s="1411"/>
      <c r="N346" s="1411"/>
      <c r="O346" s="1411"/>
      <c r="P346" s="1411"/>
      <c r="Q346" s="1218"/>
    </row>
    <row r="347" spans="1:31" ht="11.45" customHeight="1">
      <c r="A347" s="3073" t="s">
        <v>4387</v>
      </c>
      <c r="B347" s="3074"/>
      <c r="C347" s="3074"/>
      <c r="D347" s="3074"/>
      <c r="E347" s="3074"/>
      <c r="F347" s="3074"/>
      <c r="G347" s="3074"/>
      <c r="H347" s="3074"/>
      <c r="I347" s="3074"/>
      <c r="J347" s="3074"/>
      <c r="K347" s="3074"/>
      <c r="L347" s="3074"/>
      <c r="M347" s="3074"/>
      <c r="N347" s="3074"/>
      <c r="O347" s="3074"/>
      <c r="P347" s="3074"/>
      <c r="Q347" s="3075"/>
      <c r="U347" s="146"/>
      <c r="V347" s="146"/>
      <c r="W347" s="146"/>
      <c r="X347" s="146"/>
      <c r="Y347" s="146"/>
      <c r="Z347" s="146"/>
      <c r="AA347" s="146"/>
      <c r="AB347" s="146"/>
      <c r="AC347" s="146"/>
      <c r="AD347" s="146"/>
      <c r="AE347" s="523"/>
    </row>
    <row r="348" spans="1:31" ht="11.25" customHeight="1">
      <c r="B348" s="147" t="s">
        <v>1937</v>
      </c>
      <c r="C348" s="148"/>
      <c r="D348" s="1418"/>
      <c r="E348" s="1418"/>
      <c r="F348" s="1418"/>
      <c r="G348" s="1418"/>
      <c r="H348" s="1418"/>
      <c r="I348" s="1418"/>
      <c r="J348" s="1418"/>
      <c r="K348" s="1418"/>
      <c r="L348" s="1418"/>
      <c r="M348" s="1418"/>
      <c r="N348" s="1418"/>
      <c r="O348" s="1418"/>
      <c r="P348" s="1418"/>
      <c r="Q348" s="1418"/>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1"/>
      <c r="B350" s="1419"/>
      <c r="C350" s="1418"/>
      <c r="D350" s="1418"/>
      <c r="E350" s="1418"/>
      <c r="F350" s="1418"/>
      <c r="G350" s="1418"/>
      <c r="H350" s="1418"/>
      <c r="I350" s="1418"/>
      <c r="J350" s="1418"/>
      <c r="K350" s="1418"/>
      <c r="L350" s="1418"/>
      <c r="M350" s="1418"/>
      <c r="N350" s="1418"/>
      <c r="O350" s="1418"/>
      <c r="P350" s="1418"/>
      <c r="Q350" s="1218"/>
      <c r="R350" s="8"/>
      <c r="S350" s="8"/>
    </row>
    <row r="351" spans="1:31" ht="13.9" customHeight="1">
      <c r="A351" s="1425">
        <v>22</v>
      </c>
      <c r="B351" s="4" t="s">
        <v>2782</v>
      </c>
      <c r="C351" s="4"/>
      <c r="D351" s="4"/>
      <c r="E351" s="4"/>
      <c r="F351" s="4"/>
      <c r="G351" s="4"/>
      <c r="H351" s="1418"/>
      <c r="I351" s="1418"/>
      <c r="J351" s="1418"/>
      <c r="K351" s="1418"/>
      <c r="L351" s="1418"/>
      <c r="M351" s="1418"/>
      <c r="O351" s="142" t="s">
        <v>1938</v>
      </c>
      <c r="P351" s="1711"/>
      <c r="Q351" s="1712"/>
    </row>
    <row r="352" spans="1:31" ht="12" customHeight="1">
      <c r="B352" s="48" t="s">
        <v>2058</v>
      </c>
      <c r="C352" s="126" t="s">
        <v>2780</v>
      </c>
      <c r="D352" s="161"/>
      <c r="E352" s="161"/>
      <c r="F352" s="161"/>
      <c r="G352" s="161"/>
      <c r="H352" s="161"/>
      <c r="I352" s="43"/>
      <c r="J352" s="521" t="s">
        <v>2058</v>
      </c>
      <c r="K352" s="3088" t="s">
        <v>1006</v>
      </c>
      <c r="L352" s="3089"/>
      <c r="M352" s="3089"/>
      <c r="N352" s="3089"/>
      <c r="O352" s="3089"/>
      <c r="P352" s="3090"/>
      <c r="Q352" s="623"/>
    </row>
    <row r="353" spans="1:32" ht="21.75" customHeight="1">
      <c r="B353" s="152" t="s">
        <v>2061</v>
      </c>
      <c r="C353" s="1719" t="s">
        <v>3890</v>
      </c>
      <c r="D353" s="1719"/>
      <c r="E353" s="1719"/>
      <c r="F353" s="1719"/>
      <c r="G353" s="1719"/>
      <c r="H353" s="1719"/>
      <c r="I353" s="1719"/>
      <c r="J353" s="1719"/>
      <c r="K353" s="1719"/>
      <c r="L353" s="1719"/>
      <c r="M353" s="1719"/>
      <c r="N353" s="1719"/>
      <c r="O353" s="174" t="s">
        <v>2061</v>
      </c>
      <c r="P353" s="3149"/>
      <c r="Q353" s="626"/>
    </row>
    <row r="354" spans="1:32" ht="21.75" customHeight="1">
      <c r="B354" s="152" t="s">
        <v>779</v>
      </c>
      <c r="C354" s="1718" t="s">
        <v>3891</v>
      </c>
      <c r="D354" s="1718"/>
      <c r="E354" s="1718"/>
      <c r="F354" s="1718"/>
      <c r="G354" s="1718"/>
      <c r="H354" s="1718"/>
      <c r="I354" s="1718"/>
      <c r="J354" s="1718"/>
      <c r="K354" s="1718"/>
      <c r="L354" s="1718"/>
      <c r="M354" s="1718"/>
      <c r="N354" s="1718"/>
      <c r="O354" s="174" t="s">
        <v>779</v>
      </c>
      <c r="P354" s="3112"/>
      <c r="Q354" s="630"/>
    </row>
    <row r="355" spans="1:32" ht="11.45" customHeight="1">
      <c r="B355" s="48" t="s">
        <v>2193</v>
      </c>
      <c r="C355" s="54" t="s">
        <v>2781</v>
      </c>
      <c r="D355" s="54"/>
      <c r="E355" s="54"/>
      <c r="F355" s="54"/>
      <c r="G355" s="54"/>
      <c r="H355" s="54"/>
      <c r="I355" s="54"/>
      <c r="J355" s="54"/>
      <c r="K355" s="54"/>
      <c r="L355" s="54"/>
      <c r="M355" s="54"/>
      <c r="O355" s="521" t="s">
        <v>2193</v>
      </c>
      <c r="P355" s="3111"/>
      <c r="Q355" s="627"/>
    </row>
    <row r="356" spans="1:32" s="143" customFormat="1" ht="21.75" customHeight="1">
      <c r="B356" s="152" t="s">
        <v>1801</v>
      </c>
      <c r="C356" s="1718" t="s">
        <v>3892</v>
      </c>
      <c r="D356" s="1718"/>
      <c r="E356" s="1718"/>
      <c r="F356" s="1718"/>
      <c r="G356" s="1718"/>
      <c r="H356" s="1718"/>
      <c r="I356" s="1718"/>
      <c r="J356" s="1718"/>
      <c r="K356" s="1718"/>
      <c r="L356" s="1718"/>
      <c r="M356" s="1718"/>
      <c r="N356" s="1718"/>
      <c r="O356" s="174" t="s">
        <v>1801</v>
      </c>
      <c r="P356" s="3162"/>
      <c r="Q356" s="1175"/>
      <c r="AE356" s="524"/>
      <c r="AF356" s="524"/>
    </row>
    <row r="357" spans="1:32" s="143" customFormat="1" ht="11.45" customHeight="1">
      <c r="B357" s="152" t="s">
        <v>1802</v>
      </c>
      <c r="C357" s="1718" t="s">
        <v>2783</v>
      </c>
      <c r="D357" s="1718"/>
      <c r="E357" s="1718"/>
      <c r="F357" s="1718"/>
      <c r="G357" s="1718"/>
      <c r="H357" s="1718"/>
      <c r="I357" s="1718"/>
      <c r="J357" s="1718"/>
      <c r="K357" s="1718"/>
      <c r="L357" s="1718"/>
      <c r="M357" s="1718"/>
      <c r="N357" s="1718"/>
      <c r="O357" s="174" t="s">
        <v>1802</v>
      </c>
      <c r="P357" s="3149"/>
      <c r="Q357" s="629"/>
      <c r="AE357" s="524"/>
      <c r="AF357" s="524"/>
    </row>
    <row r="358" spans="1:32" s="143" customFormat="1" ht="11.45" customHeight="1">
      <c r="B358" s="152"/>
      <c r="C358" s="232" t="s">
        <v>1803</v>
      </c>
      <c r="D358" s="1174" t="s">
        <v>3893</v>
      </c>
      <c r="E358" s="1418"/>
      <c r="F358" s="1418"/>
      <c r="G358" s="1418"/>
      <c r="H358" s="1418"/>
      <c r="I358" s="1418"/>
      <c r="J358" s="1418"/>
      <c r="K358" s="1418"/>
      <c r="L358" s="1418"/>
      <c r="M358" s="1418"/>
      <c r="N358" s="1418"/>
      <c r="O358" s="174"/>
      <c r="P358" s="3152"/>
      <c r="Q358" s="631"/>
      <c r="AE358" s="524"/>
      <c r="AF358" s="524"/>
    </row>
    <row r="359" spans="1:32" ht="21.75" customHeight="1">
      <c r="B359" s="152" t="s">
        <v>2021</v>
      </c>
      <c r="C359" s="1718" t="s">
        <v>3894</v>
      </c>
      <c r="D359" s="1718"/>
      <c r="E359" s="1718"/>
      <c r="F359" s="1718"/>
      <c r="G359" s="1718"/>
      <c r="H359" s="1718"/>
      <c r="I359" s="1718"/>
      <c r="J359" s="1718"/>
      <c r="K359" s="1718"/>
      <c r="L359" s="1718"/>
      <c r="M359" s="1718"/>
      <c r="N359" s="1718"/>
      <c r="O359" s="174" t="s">
        <v>2021</v>
      </c>
      <c r="P359" s="3149"/>
      <c r="Q359" s="629"/>
    </row>
    <row r="360" spans="1:32" ht="33" customHeight="1">
      <c r="B360" s="152" t="s">
        <v>3559</v>
      </c>
      <c r="C360" s="1745" t="s">
        <v>3895</v>
      </c>
      <c r="D360" s="1745"/>
      <c r="E360" s="1745"/>
      <c r="F360" s="1745"/>
      <c r="G360" s="1745"/>
      <c r="H360" s="1745"/>
      <c r="I360" s="1745"/>
      <c r="J360" s="1745"/>
      <c r="K360" s="1745"/>
      <c r="L360" s="1745"/>
      <c r="M360" s="1745"/>
      <c r="N360" s="1745"/>
      <c r="O360" s="174" t="s">
        <v>3559</v>
      </c>
      <c r="P360" s="3152"/>
      <c r="Q360" s="631"/>
    </row>
    <row r="361" spans="1:32" ht="11.25" customHeight="1">
      <c r="B361" s="151" t="s">
        <v>1936</v>
      </c>
      <c r="D361" s="151"/>
      <c r="E361" s="151"/>
      <c r="F361" s="151"/>
      <c r="G361" s="151"/>
      <c r="H361" s="41"/>
      <c r="I361" s="1419"/>
      <c r="J361" s="1419"/>
      <c r="K361" s="1419"/>
      <c r="L361" s="1411"/>
      <c r="M361" s="1411"/>
      <c r="N361" s="1411"/>
      <c r="O361" s="1411"/>
      <c r="P361" s="1411"/>
      <c r="Q361" s="1218"/>
    </row>
    <row r="362" spans="1:32" ht="11.45" customHeight="1">
      <c r="A362" s="3073" t="s">
        <v>4388</v>
      </c>
      <c r="B362" s="3074"/>
      <c r="C362" s="3074"/>
      <c r="D362" s="3074"/>
      <c r="E362" s="3074"/>
      <c r="F362" s="3074"/>
      <c r="G362" s="3074"/>
      <c r="H362" s="3074"/>
      <c r="I362" s="3074"/>
      <c r="J362" s="3074"/>
      <c r="K362" s="3074"/>
      <c r="L362" s="3074"/>
      <c r="M362" s="3074"/>
      <c r="N362" s="3074"/>
      <c r="O362" s="3074"/>
      <c r="P362" s="3074"/>
      <c r="Q362" s="3075"/>
      <c r="U362" s="146"/>
      <c r="V362" s="146"/>
      <c r="W362" s="146"/>
      <c r="X362" s="146"/>
      <c r="Y362" s="146"/>
      <c r="Z362" s="146"/>
      <c r="AA362" s="146"/>
      <c r="AB362" s="146"/>
      <c r="AC362" s="146"/>
      <c r="AD362" s="146"/>
      <c r="AE362" s="523"/>
    </row>
    <row r="363" spans="1:32" ht="11.25" customHeight="1">
      <c r="B363" s="147" t="s">
        <v>1937</v>
      </c>
      <c r="C363" s="148"/>
      <c r="D363" s="1418"/>
      <c r="E363" s="1418"/>
      <c r="F363" s="1418"/>
      <c r="G363" s="1418"/>
      <c r="H363" s="1418"/>
      <c r="I363" s="1418"/>
      <c r="J363" s="1418"/>
      <c r="K363" s="1418"/>
      <c r="L363" s="1418"/>
      <c r="M363" s="1418"/>
      <c r="N363" s="1418"/>
      <c r="O363" s="1418"/>
      <c r="P363" s="1418"/>
      <c r="Q363" s="1418"/>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1"/>
      <c r="B365" s="1419"/>
      <c r="C365" s="1418"/>
      <c r="D365" s="1418"/>
      <c r="E365" s="1418"/>
      <c r="F365" s="1418"/>
      <c r="G365" s="1418"/>
      <c r="H365" s="1418"/>
      <c r="I365" s="1418"/>
      <c r="J365" s="1418"/>
      <c r="K365" s="1418"/>
      <c r="L365" s="1418"/>
      <c r="M365" s="1418"/>
      <c r="Q365" s="1218"/>
    </row>
    <row r="366" spans="1:32" ht="13.9" customHeight="1">
      <c r="A366" s="1425">
        <v>23</v>
      </c>
      <c r="B366" s="4" t="s">
        <v>2784</v>
      </c>
      <c r="C366" s="4"/>
      <c r="D366" s="4"/>
      <c r="E366" s="4"/>
      <c r="F366" s="4"/>
      <c r="G366" s="4"/>
      <c r="H366" s="1418"/>
      <c r="I366" s="1418"/>
      <c r="J366" s="1418"/>
      <c r="O366" s="142" t="s">
        <v>1938</v>
      </c>
      <c r="P366" s="1711"/>
      <c r="Q366" s="1712"/>
    </row>
    <row r="367" spans="1:32" ht="11.45" customHeight="1">
      <c r="B367" s="48" t="s">
        <v>2058</v>
      </c>
      <c r="C367" s="126" t="s">
        <v>1071</v>
      </c>
      <c r="E367" s="3113" t="s">
        <v>1006</v>
      </c>
      <c r="F367" s="3114"/>
      <c r="G367" s="3114"/>
      <c r="H367" s="3114"/>
      <c r="I367" s="3115"/>
      <c r="J367" s="1767" t="s">
        <v>2765</v>
      </c>
      <c r="K367" s="1768"/>
      <c r="L367" s="1769"/>
      <c r="M367" s="3113"/>
      <c r="N367" s="3114"/>
      <c r="O367" s="3114"/>
      <c r="P367" s="3114"/>
      <c r="Q367" s="3115"/>
    </row>
    <row r="368" spans="1:32" ht="11.45" customHeight="1">
      <c r="B368" s="48" t="s">
        <v>2061</v>
      </c>
      <c r="C368" s="54" t="s">
        <v>3720</v>
      </c>
      <c r="D368" s="54"/>
      <c r="E368" s="54"/>
      <c r="F368" s="54"/>
      <c r="G368" s="54"/>
      <c r="H368" s="54"/>
      <c r="I368" s="54"/>
      <c r="J368" s="54"/>
      <c r="K368" s="54"/>
      <c r="L368" s="1219"/>
      <c r="M368" s="1219"/>
      <c r="O368" s="521" t="s">
        <v>2061</v>
      </c>
      <c r="P368" s="3108"/>
      <c r="Q368" s="626"/>
    </row>
    <row r="369" spans="1:31" ht="22.5" customHeight="1">
      <c r="B369" s="152" t="s">
        <v>779</v>
      </c>
      <c r="C369" s="1719" t="s">
        <v>3737</v>
      </c>
      <c r="D369" s="1719"/>
      <c r="E369" s="1719"/>
      <c r="F369" s="1719"/>
      <c r="G369" s="1719"/>
      <c r="H369" s="1719"/>
      <c r="I369" s="1719"/>
      <c r="J369" s="1719"/>
      <c r="K369" s="1719"/>
      <c r="L369" s="1719"/>
      <c r="M369" s="1719"/>
      <c r="N369" s="1719"/>
      <c r="O369" s="521" t="s">
        <v>779</v>
      </c>
      <c r="P369" s="3109"/>
      <c r="Q369" s="628"/>
    </row>
    <row r="370" spans="1:31">
      <c r="B370" s="48" t="s">
        <v>2193</v>
      </c>
      <c r="C370" s="57" t="s">
        <v>4148</v>
      </c>
      <c r="G370" s="1423"/>
      <c r="H370" s="1423"/>
      <c r="I370" s="1423"/>
      <c r="J370" s="1219" t="s">
        <v>4149</v>
      </c>
      <c r="L370" s="1423"/>
      <c r="M370" s="1759">
        <f>'Part III-Sources of Funds'!E10</f>
        <v>1250099</v>
      </c>
      <c r="N370" s="1760"/>
      <c r="O370" s="521" t="s">
        <v>2193</v>
      </c>
      <c r="P370" s="3109"/>
      <c r="Q370" s="628"/>
    </row>
    <row r="371" spans="1:31" ht="11.25" customHeight="1">
      <c r="B371" s="151" t="s">
        <v>1936</v>
      </c>
      <c r="D371" s="151"/>
      <c r="E371" s="151"/>
      <c r="F371" s="151"/>
      <c r="G371" s="151"/>
      <c r="H371" s="41"/>
      <c r="I371" s="1419"/>
      <c r="J371" s="1419"/>
      <c r="K371" s="1419"/>
      <c r="L371" s="1411"/>
      <c r="M371" s="1411"/>
      <c r="N371" s="1411"/>
      <c r="O371" s="1411"/>
      <c r="P371" s="1411"/>
      <c r="Q371" s="1218"/>
    </row>
    <row r="372" spans="1:31" ht="11.45" customHeight="1">
      <c r="A372" s="3073" t="s">
        <v>4389</v>
      </c>
      <c r="B372" s="3074"/>
      <c r="C372" s="3074"/>
      <c r="D372" s="3074"/>
      <c r="E372" s="3074"/>
      <c r="F372" s="3074"/>
      <c r="G372" s="3074"/>
      <c r="H372" s="3074"/>
      <c r="I372" s="3074"/>
      <c r="J372" s="3074"/>
      <c r="K372" s="3074"/>
      <c r="L372" s="3074"/>
      <c r="M372" s="3074"/>
      <c r="N372" s="3074"/>
      <c r="O372" s="3074"/>
      <c r="P372" s="3074"/>
      <c r="Q372" s="3075"/>
      <c r="U372" s="146"/>
      <c r="V372" s="146"/>
      <c r="W372" s="146"/>
      <c r="X372" s="146"/>
      <c r="Y372" s="146"/>
      <c r="Z372" s="146"/>
      <c r="AA372" s="146"/>
      <c r="AB372" s="146"/>
      <c r="AC372" s="146"/>
      <c r="AD372" s="146"/>
      <c r="AE372" s="523"/>
    </row>
    <row r="373" spans="1:31" ht="11.25" customHeight="1">
      <c r="B373" s="147" t="s">
        <v>1937</v>
      </c>
      <c r="C373" s="148"/>
      <c r="D373" s="1418"/>
      <c r="E373" s="1418"/>
      <c r="F373" s="1418"/>
      <c r="G373" s="1418"/>
      <c r="H373" s="1418"/>
      <c r="I373" s="1418"/>
      <c r="J373" s="1418"/>
      <c r="K373" s="1418"/>
      <c r="L373" s="1418"/>
      <c r="M373" s="1418"/>
      <c r="N373" s="1418"/>
      <c r="O373" s="1418"/>
      <c r="P373" s="1418"/>
      <c r="Q373" s="1418"/>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1"/>
      <c r="B375" s="1419"/>
      <c r="C375" s="1418"/>
      <c r="D375" s="1418"/>
      <c r="E375" s="1418"/>
      <c r="F375" s="1418"/>
      <c r="G375" s="1418"/>
      <c r="H375" s="1418"/>
      <c r="I375" s="1418"/>
      <c r="J375" s="1418"/>
      <c r="K375" s="1418"/>
      <c r="L375" s="1418"/>
      <c r="M375" s="1418"/>
      <c r="Q375" s="1218"/>
    </row>
    <row r="376" spans="1:31" ht="13.9" customHeight="1">
      <c r="A376" s="1425">
        <v>24</v>
      </c>
      <c r="B376" s="4" t="s">
        <v>2762</v>
      </c>
      <c r="C376" s="4"/>
      <c r="D376" s="4"/>
      <c r="E376" s="1418"/>
      <c r="G376" s="150" t="s">
        <v>729</v>
      </c>
      <c r="H376" s="1418"/>
      <c r="I376" s="1418"/>
      <c r="J376" s="1418"/>
      <c r="K376" s="1418"/>
      <c r="L376" s="1418"/>
      <c r="M376" s="1418"/>
      <c r="O376" s="142" t="s">
        <v>1938</v>
      </c>
      <c r="P376" s="1711"/>
      <c r="Q376" s="1750"/>
    </row>
    <row r="377" spans="1:31" ht="12" customHeight="1">
      <c r="A377" s="154"/>
      <c r="B377" s="48" t="s">
        <v>2058</v>
      </c>
      <c r="C377" s="54" t="s">
        <v>2767</v>
      </c>
      <c r="D377" s="1220"/>
      <c r="E377" s="1220"/>
      <c r="H377" s="150"/>
      <c r="O377" s="521" t="s">
        <v>2058</v>
      </c>
      <c r="P377" s="3108" t="s">
        <v>3156</v>
      </c>
      <c r="Q377" s="626"/>
    </row>
    <row r="378" spans="1:31" ht="12" customHeight="1">
      <c r="A378" s="154"/>
      <c r="B378" s="48" t="s">
        <v>2061</v>
      </c>
      <c r="C378" s="54" t="s">
        <v>3896</v>
      </c>
      <c r="D378" s="1220"/>
      <c r="E378" s="1220"/>
      <c r="O378" s="521" t="s">
        <v>2061</v>
      </c>
      <c r="P378" s="3111" t="s">
        <v>3156</v>
      </c>
      <c r="Q378" s="627"/>
    </row>
    <row r="379" spans="1:31" ht="12" customHeight="1">
      <c r="A379" s="154"/>
      <c r="B379" s="48" t="s">
        <v>779</v>
      </c>
      <c r="C379" s="54" t="s">
        <v>3897</v>
      </c>
      <c r="D379" s="1220"/>
      <c r="E379" s="1220"/>
      <c r="O379" s="521" t="s">
        <v>779</v>
      </c>
      <c r="P379" s="3111" t="s">
        <v>3156</v>
      </c>
      <c r="Q379" s="627"/>
    </row>
    <row r="380" spans="1:31" ht="12" customHeight="1">
      <c r="A380" s="154"/>
      <c r="B380" s="48" t="s">
        <v>2193</v>
      </c>
      <c r="C380" s="54" t="s">
        <v>3898</v>
      </c>
      <c r="E380" s="150"/>
      <c r="O380" s="521" t="s">
        <v>2193</v>
      </c>
      <c r="P380" s="3111" t="s">
        <v>3156</v>
      </c>
      <c r="Q380" s="627"/>
    </row>
    <row r="381" spans="1:31" ht="12" customHeight="1">
      <c r="B381" s="48" t="s">
        <v>1801</v>
      </c>
      <c r="C381" s="54" t="s">
        <v>2157</v>
      </c>
      <c r="E381" s="150"/>
      <c r="G381" s="521" t="s">
        <v>1801</v>
      </c>
      <c r="H381" s="3163"/>
      <c r="I381" s="3164"/>
      <c r="J381" s="3164"/>
      <c r="K381" s="3164"/>
      <c r="L381" s="3164"/>
      <c r="M381" s="3164"/>
      <c r="N381" s="3164"/>
      <c r="O381" s="3165"/>
      <c r="P381" s="3109" t="s">
        <v>3156</v>
      </c>
      <c r="Q381" s="628"/>
    </row>
    <row r="382" spans="1:31" ht="11.25" customHeight="1">
      <c r="B382" s="151" t="s">
        <v>1936</v>
      </c>
      <c r="D382" s="151"/>
      <c r="E382" s="151"/>
      <c r="F382" s="151"/>
      <c r="G382" s="151"/>
      <c r="H382" s="41"/>
      <c r="I382" s="1419"/>
      <c r="J382" s="1419"/>
      <c r="K382" s="1419"/>
      <c r="L382" s="1411"/>
      <c r="M382" s="1411"/>
      <c r="N382" s="1411"/>
      <c r="O382" s="1411"/>
      <c r="P382" s="1411"/>
      <c r="Q382" s="1218"/>
    </row>
    <row r="383" spans="1:31" ht="11.45" customHeight="1">
      <c r="A383" s="3073" t="s">
        <v>4337</v>
      </c>
      <c r="B383" s="3074"/>
      <c r="C383" s="3074"/>
      <c r="D383" s="3074"/>
      <c r="E383" s="3074"/>
      <c r="F383" s="3074"/>
      <c r="G383" s="3074"/>
      <c r="H383" s="3074"/>
      <c r="I383" s="3074"/>
      <c r="J383" s="3074"/>
      <c r="K383" s="3074"/>
      <c r="L383" s="3074"/>
      <c r="M383" s="3074"/>
      <c r="N383" s="3074"/>
      <c r="O383" s="3074"/>
      <c r="P383" s="3074"/>
      <c r="Q383" s="3075"/>
      <c r="U383" s="146"/>
      <c r="V383" s="146"/>
      <c r="W383" s="146"/>
      <c r="X383" s="146"/>
      <c r="Y383" s="146"/>
      <c r="Z383" s="146"/>
      <c r="AA383" s="146"/>
      <c r="AB383" s="146"/>
      <c r="AC383" s="146"/>
      <c r="AD383" s="146"/>
      <c r="AE383" s="523"/>
    </row>
    <row r="384" spans="1:31" ht="11.25" customHeight="1">
      <c r="B384" s="147" t="s">
        <v>1937</v>
      </c>
      <c r="C384" s="148"/>
      <c r="D384" s="1418"/>
      <c r="E384" s="1418"/>
      <c r="F384" s="1418"/>
      <c r="G384" s="1418"/>
      <c r="H384" s="1418"/>
      <c r="I384" s="1418"/>
      <c r="J384" s="1418"/>
      <c r="K384" s="1418"/>
      <c r="L384" s="1418"/>
      <c r="M384" s="1418"/>
      <c r="N384" s="1418"/>
      <c r="O384" s="1418"/>
      <c r="P384" s="1418"/>
      <c r="Q384" s="1418"/>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1"/>
      <c r="B386" s="1419"/>
      <c r="C386" s="1418"/>
      <c r="D386" s="1418"/>
      <c r="E386" s="1418"/>
      <c r="F386" s="1418"/>
      <c r="G386" s="1418"/>
      <c r="H386" s="1418"/>
      <c r="I386" s="1418"/>
      <c r="J386" s="1418"/>
      <c r="K386" s="1418"/>
      <c r="L386" s="1418"/>
      <c r="M386" s="1418"/>
      <c r="N386" s="1418"/>
      <c r="O386" s="1418"/>
      <c r="P386" s="1418"/>
      <c r="Q386" s="1411"/>
    </row>
    <row r="387" spans="1:32" ht="13.9" customHeight="1">
      <c r="A387" s="1425">
        <v>25</v>
      </c>
      <c r="B387" s="4" t="s">
        <v>2763</v>
      </c>
      <c r="C387" s="4"/>
      <c r="D387" s="4"/>
      <c r="E387" s="4"/>
      <c r="F387" s="4"/>
      <c r="G387" s="4"/>
      <c r="H387" s="1418"/>
      <c r="I387" s="1418"/>
      <c r="J387" s="1418"/>
      <c r="K387" s="1418"/>
      <c r="L387" s="1418"/>
      <c r="M387" s="1418"/>
      <c r="O387" s="142" t="s">
        <v>1938</v>
      </c>
      <c r="P387" s="1711"/>
      <c r="Q387" s="1750"/>
    </row>
    <row r="388" spans="1:32" ht="12" customHeight="1">
      <c r="A388" s="43"/>
      <c r="B388" s="48" t="s">
        <v>2058</v>
      </c>
      <c r="C388" s="40" t="s">
        <v>782</v>
      </c>
      <c r="D388" s="43"/>
      <c r="E388" s="43"/>
      <c r="F388" s="43"/>
      <c r="G388" s="43"/>
      <c r="H388" s="43"/>
      <c r="I388" s="43"/>
      <c r="J388" s="43"/>
      <c r="K388" s="43"/>
      <c r="L388" s="43"/>
      <c r="M388" s="43"/>
      <c r="N388" s="43"/>
      <c r="O388" s="521" t="s">
        <v>2058</v>
      </c>
      <c r="P388" s="3108" t="s">
        <v>3156</v>
      </c>
      <c r="Q388" s="626"/>
    </row>
    <row r="389" spans="1:32" ht="12" customHeight="1">
      <c r="A389" s="43"/>
      <c r="B389" s="48" t="s">
        <v>2061</v>
      </c>
      <c r="C389" s="37" t="s">
        <v>3741</v>
      </c>
      <c r="D389" s="43"/>
      <c r="E389" s="43"/>
      <c r="F389" s="43"/>
      <c r="G389" s="43"/>
      <c r="H389" s="43"/>
      <c r="I389" s="43"/>
      <c r="J389" s="43"/>
      <c r="K389" s="43"/>
      <c r="L389" s="43"/>
      <c r="M389" s="43"/>
      <c r="N389" s="43"/>
      <c r="O389" s="521" t="s">
        <v>1502</v>
      </c>
      <c r="P389" s="3109" t="s">
        <v>3156</v>
      </c>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1" t="s">
        <v>1804</v>
      </c>
      <c r="P391" s="3108"/>
      <c r="Q391" s="626"/>
    </row>
    <row r="392" spans="1:32" s="158" customFormat="1" ht="12" customHeight="1">
      <c r="A392" s="100"/>
      <c r="B392" s="48"/>
      <c r="C392" s="54" t="s">
        <v>3857</v>
      </c>
      <c r="D392" s="54" t="s">
        <v>3858</v>
      </c>
      <c r="E392" s="54"/>
      <c r="F392" s="54"/>
      <c r="G392" s="54"/>
      <c r="H392" s="54"/>
      <c r="I392" s="54"/>
      <c r="J392" s="54"/>
      <c r="K392" s="54"/>
      <c r="L392" s="54"/>
      <c r="M392" s="54"/>
      <c r="N392" s="100"/>
      <c r="O392" s="521" t="s">
        <v>1805</v>
      </c>
      <c r="P392" s="3151" t="s">
        <v>3156</v>
      </c>
      <c r="Q392" s="624"/>
      <c r="AE392" s="525"/>
      <c r="AF392" s="525"/>
    </row>
    <row r="393" spans="1:32" ht="12" customHeight="1">
      <c r="A393" s="43"/>
      <c r="B393" s="48" t="s">
        <v>779</v>
      </c>
      <c r="C393" s="1719" t="s">
        <v>2280</v>
      </c>
      <c r="D393" s="1719"/>
      <c r="E393" s="1719"/>
      <c r="F393" s="1719"/>
      <c r="G393" s="1719"/>
      <c r="H393" s="1719"/>
      <c r="I393" s="1719"/>
      <c r="J393" s="1719"/>
      <c r="K393" s="1719"/>
      <c r="L393" s="1719"/>
      <c r="M393" s="1719"/>
      <c r="N393" s="1719"/>
      <c r="O393" s="521" t="s">
        <v>779</v>
      </c>
      <c r="P393" s="3109" t="s">
        <v>3156</v>
      </c>
      <c r="Q393" s="628"/>
    </row>
    <row r="394" spans="1:32" ht="12" customHeight="1">
      <c r="A394" s="43"/>
      <c r="B394" s="48" t="s">
        <v>2193</v>
      </c>
      <c r="C394" s="1219" t="s">
        <v>2938</v>
      </c>
      <c r="D394" s="1219"/>
      <c r="E394" s="1219"/>
      <c r="F394" s="1219"/>
      <c r="G394" s="1219"/>
      <c r="H394" s="1219"/>
      <c r="I394" s="1219"/>
      <c r="J394" s="1219"/>
      <c r="K394" s="1219"/>
      <c r="L394" s="1219"/>
      <c r="M394" s="1219"/>
      <c r="N394" s="43"/>
      <c r="O394" s="521"/>
      <c r="P394" s="43"/>
      <c r="Q394" s="43"/>
    </row>
    <row r="395" spans="1:32" ht="12" customHeight="1">
      <c r="A395" s="43"/>
      <c r="B395" s="48"/>
      <c r="C395" s="145" t="s">
        <v>2281</v>
      </c>
      <c r="D395" s="37"/>
      <c r="E395" s="43"/>
      <c r="F395" s="1219"/>
      <c r="G395" s="3166" t="s">
        <v>1006</v>
      </c>
      <c r="H395" s="640"/>
      <c r="J395" s="145" t="s">
        <v>2284</v>
      </c>
      <c r="K395" s="1219"/>
      <c r="N395" s="3166"/>
      <c r="O395" s="640"/>
    </row>
    <row r="396" spans="1:32" ht="12" customHeight="1">
      <c r="A396" s="43"/>
      <c r="B396" s="48"/>
      <c r="C396" s="145" t="s">
        <v>2282</v>
      </c>
      <c r="D396" s="37"/>
      <c r="E396" s="43"/>
      <c r="F396" s="1219"/>
      <c r="G396" s="3167"/>
      <c r="H396" s="641"/>
      <c r="J396" s="145" t="s">
        <v>2285</v>
      </c>
      <c r="K396" s="1219"/>
      <c r="N396" s="3168"/>
      <c r="O396" s="642"/>
    </row>
    <row r="397" spans="1:32" ht="12" customHeight="1">
      <c r="A397" s="43"/>
      <c r="B397" s="48"/>
      <c r="C397" s="145" t="s">
        <v>2283</v>
      </c>
      <c r="D397" s="37"/>
      <c r="E397" s="43"/>
      <c r="F397" s="1219"/>
      <c r="G397" s="3168"/>
      <c r="H397" s="642"/>
      <c r="K397" s="1219"/>
      <c r="L397" s="1219"/>
      <c r="M397" s="1219"/>
      <c r="N397" s="43"/>
      <c r="O397" s="521"/>
    </row>
    <row r="398" spans="1:32" ht="12" customHeight="1">
      <c r="A398" s="43"/>
      <c r="B398" s="48" t="s">
        <v>1801</v>
      </c>
      <c r="C398" s="1219" t="s">
        <v>2470</v>
      </c>
      <c r="D398" s="1219"/>
      <c r="E398" s="1219"/>
      <c r="F398" s="1219"/>
      <c r="G398" s="1219"/>
      <c r="J398" s="43"/>
      <c r="K398" s="1219"/>
      <c r="L398" s="1219"/>
      <c r="M398" s="1219"/>
      <c r="N398" s="43"/>
      <c r="O398" s="521"/>
      <c r="P398" s="521"/>
      <c r="Q398" s="521"/>
    </row>
    <row r="399" spans="1:32" ht="12" customHeight="1">
      <c r="A399" s="43"/>
      <c r="B399" s="48"/>
      <c r="C399" s="480" t="s">
        <v>2286</v>
      </c>
      <c r="D399" s="1219"/>
      <c r="E399" s="1219"/>
      <c r="F399" s="1219"/>
      <c r="G399" s="3108"/>
      <c r="H399" s="626"/>
      <c r="J399" s="480" t="s">
        <v>1225</v>
      </c>
      <c r="K399" s="1219"/>
      <c r="N399" s="3151"/>
      <c r="O399" s="624"/>
    </row>
    <row r="400" spans="1:32" ht="12" customHeight="1">
      <c r="A400" s="43"/>
      <c r="B400" s="48"/>
      <c r="C400" s="480" t="s">
        <v>1224</v>
      </c>
      <c r="D400" s="1219"/>
      <c r="E400" s="1219"/>
      <c r="F400" s="1219"/>
      <c r="G400" s="3109"/>
      <c r="H400" s="628"/>
      <c r="J400" s="480" t="s">
        <v>2333</v>
      </c>
      <c r="N400" s="3169"/>
      <c r="O400" s="3170"/>
      <c r="P400" s="3170"/>
      <c r="Q400" s="3171"/>
    </row>
    <row r="401" spans="1:32" ht="12" customHeight="1">
      <c r="B401" s="151" t="s">
        <v>1936</v>
      </c>
      <c r="D401" s="151"/>
      <c r="E401" s="151"/>
      <c r="F401" s="151"/>
      <c r="G401" s="151"/>
      <c r="H401" s="41"/>
      <c r="I401" s="1419"/>
      <c r="J401" s="1419"/>
      <c r="K401" s="1419"/>
      <c r="P401" s="1411"/>
      <c r="Q401" s="1218"/>
    </row>
    <row r="402" spans="1:32" ht="12" customHeight="1">
      <c r="A402" s="3073" t="s">
        <v>4307</v>
      </c>
      <c r="B402" s="3074"/>
      <c r="C402" s="3074"/>
      <c r="D402" s="3074"/>
      <c r="E402" s="3074"/>
      <c r="F402" s="3074"/>
      <c r="G402" s="3074"/>
      <c r="H402" s="3074"/>
      <c r="I402" s="3074"/>
      <c r="J402" s="3074"/>
      <c r="K402" s="3074"/>
      <c r="L402" s="3074"/>
      <c r="M402" s="3074"/>
      <c r="N402" s="3074"/>
      <c r="O402" s="3074"/>
      <c r="P402" s="3074"/>
      <c r="Q402" s="3075"/>
      <c r="U402" s="146"/>
      <c r="V402" s="146"/>
      <c r="W402" s="146"/>
      <c r="X402" s="146"/>
      <c r="Y402" s="146"/>
      <c r="Z402" s="146"/>
      <c r="AA402" s="146"/>
      <c r="AB402" s="146"/>
      <c r="AC402" s="146"/>
      <c r="AD402" s="146"/>
      <c r="AE402" s="523"/>
    </row>
    <row r="403" spans="1:32" ht="12" customHeight="1">
      <c r="B403" s="147" t="s">
        <v>1937</v>
      </c>
      <c r="C403" s="148"/>
      <c r="D403" s="1418"/>
      <c r="E403" s="1418"/>
      <c r="F403" s="1418"/>
      <c r="G403" s="1418"/>
      <c r="H403" s="1418"/>
      <c r="I403" s="1418"/>
      <c r="J403" s="1418"/>
      <c r="K403" s="1418"/>
      <c r="L403" s="1418"/>
      <c r="M403" s="1418"/>
      <c r="N403" s="1418"/>
      <c r="O403" s="1418"/>
      <c r="P403" s="1418"/>
      <c r="Q403" s="1418"/>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1"/>
      <c r="B405" s="1419"/>
      <c r="C405" s="1418"/>
      <c r="D405" s="1418"/>
      <c r="E405" s="1418"/>
      <c r="F405" s="1418"/>
      <c r="G405" s="1418"/>
      <c r="H405" s="1418"/>
      <c r="I405" s="1418"/>
      <c r="J405" s="1418"/>
      <c r="K405" s="1418"/>
      <c r="L405" s="1418"/>
      <c r="M405" s="1418"/>
      <c r="Q405" s="1218"/>
    </row>
    <row r="406" spans="1:32" ht="13.9" customHeight="1">
      <c r="A406" s="1425">
        <v>26</v>
      </c>
      <c r="B406" s="4" t="s">
        <v>2939</v>
      </c>
      <c r="C406" s="4"/>
      <c r="D406" s="92"/>
      <c r="E406" s="1418"/>
      <c r="F406" s="1418"/>
      <c r="G406" s="1418"/>
      <c r="H406" s="1418"/>
      <c r="O406" s="142" t="s">
        <v>1938</v>
      </c>
      <c r="P406" s="1711"/>
      <c r="Q406" s="1712"/>
    </row>
    <row r="407" spans="1:32" ht="13.9" customHeight="1">
      <c r="A407" s="1425"/>
      <c r="B407" s="92" t="s">
        <v>3561</v>
      </c>
      <c r="C407" s="4"/>
      <c r="D407" s="92"/>
      <c r="E407" s="1418"/>
      <c r="F407" s="1418"/>
      <c r="G407" s="1418"/>
      <c r="H407" s="1418"/>
    </row>
    <row r="408" spans="1:32" s="143" customFormat="1" ht="21.75" customHeight="1">
      <c r="B408" s="152" t="s">
        <v>2058</v>
      </c>
      <c r="C408" s="1749" t="s">
        <v>3562</v>
      </c>
      <c r="D408" s="1749"/>
      <c r="E408" s="1749"/>
      <c r="F408" s="1749"/>
      <c r="G408" s="1749"/>
      <c r="H408" s="1749"/>
      <c r="I408" s="1749"/>
      <c r="J408" s="1749"/>
      <c r="K408" s="1749"/>
      <c r="L408" s="1749"/>
      <c r="M408" s="1749"/>
      <c r="N408" s="1749"/>
      <c r="O408" s="174" t="s">
        <v>2058</v>
      </c>
      <c r="P408" s="3149" t="s">
        <v>4288</v>
      </c>
      <c r="Q408" s="629"/>
      <c r="AE408" s="524"/>
      <c r="AF408" s="524"/>
    </row>
    <row r="409" spans="1:32" s="143" customFormat="1">
      <c r="B409" s="152" t="s">
        <v>2061</v>
      </c>
      <c r="C409" s="1749" t="s">
        <v>3739</v>
      </c>
      <c r="D409" s="1749"/>
      <c r="E409" s="1749"/>
      <c r="F409" s="1749"/>
      <c r="G409" s="1749"/>
      <c r="H409" s="1749"/>
      <c r="I409" s="1749"/>
      <c r="J409" s="1749"/>
      <c r="K409" s="1749"/>
      <c r="L409" s="1749"/>
      <c r="M409" s="1749"/>
      <c r="N409" s="1749"/>
      <c r="O409" s="174" t="s">
        <v>2061</v>
      </c>
      <c r="P409" s="3112" t="s">
        <v>4288</v>
      </c>
      <c r="Q409" s="630"/>
      <c r="AE409" s="524"/>
      <c r="AF409" s="524"/>
    </row>
    <row r="410" spans="1:32" s="143" customFormat="1">
      <c r="B410" s="152" t="s">
        <v>779</v>
      </c>
      <c r="C410" s="1749" t="s">
        <v>3740</v>
      </c>
      <c r="D410" s="1749"/>
      <c r="E410" s="1749"/>
      <c r="F410" s="1749"/>
      <c r="G410" s="1749"/>
      <c r="H410" s="1749"/>
      <c r="I410" s="1749"/>
      <c r="J410" s="1749"/>
      <c r="K410" s="1749"/>
      <c r="L410" s="1749"/>
      <c r="M410" s="1749"/>
      <c r="N410" s="1749"/>
      <c r="O410" s="174" t="s">
        <v>779</v>
      </c>
      <c r="P410" s="3112" t="s">
        <v>4288</v>
      </c>
      <c r="Q410" s="630"/>
      <c r="AE410" s="524"/>
      <c r="AF410" s="524"/>
    </row>
    <row r="411" spans="1:32" s="143" customFormat="1" ht="22.5" customHeight="1">
      <c r="B411" s="152" t="s">
        <v>2193</v>
      </c>
      <c r="C411" s="1749" t="s">
        <v>3563</v>
      </c>
      <c r="D411" s="1749"/>
      <c r="E411" s="1749"/>
      <c r="F411" s="1749"/>
      <c r="G411" s="1749"/>
      <c r="H411" s="1749"/>
      <c r="I411" s="1749"/>
      <c r="J411" s="1749"/>
      <c r="K411" s="1749"/>
      <c r="L411" s="1749"/>
      <c r="M411" s="1749"/>
      <c r="N411" s="1749"/>
      <c r="O411" s="174" t="s">
        <v>2193</v>
      </c>
      <c r="P411" s="3112" t="s">
        <v>4288</v>
      </c>
      <c r="Q411" s="630"/>
      <c r="AE411" s="524"/>
      <c r="AF411" s="524"/>
    </row>
    <row r="412" spans="1:32" s="143" customFormat="1">
      <c r="B412" s="152" t="s">
        <v>1801</v>
      </c>
      <c r="C412" s="1749" t="s">
        <v>3564</v>
      </c>
      <c r="D412" s="1749"/>
      <c r="E412" s="1749"/>
      <c r="F412" s="1749"/>
      <c r="G412" s="1749"/>
      <c r="H412" s="1749"/>
      <c r="I412" s="1749"/>
      <c r="J412" s="1749"/>
      <c r="K412" s="1749"/>
      <c r="L412" s="1749"/>
      <c r="M412" s="1749"/>
      <c r="N412" s="1749"/>
      <c r="O412" s="174" t="s">
        <v>1801</v>
      </c>
      <c r="P412" s="3112" t="s">
        <v>4288</v>
      </c>
      <c r="Q412" s="630"/>
      <c r="AE412" s="524"/>
      <c r="AF412" s="524"/>
    </row>
    <row r="413" spans="1:32" s="143" customFormat="1">
      <c r="B413" s="152" t="s">
        <v>1802</v>
      </c>
      <c r="C413" s="1749" t="s">
        <v>3565</v>
      </c>
      <c r="D413" s="1749"/>
      <c r="E413" s="1749"/>
      <c r="F413" s="1749"/>
      <c r="G413" s="1749"/>
      <c r="H413" s="1749"/>
      <c r="I413" s="1749"/>
      <c r="J413" s="1749"/>
      <c r="K413" s="1749"/>
      <c r="L413" s="1749"/>
      <c r="M413" s="1749"/>
      <c r="N413" s="1749"/>
      <c r="O413" s="174" t="s">
        <v>1802</v>
      </c>
      <c r="P413" s="3112" t="s">
        <v>4288</v>
      </c>
      <c r="Q413" s="630"/>
      <c r="AE413" s="524"/>
      <c r="AF413" s="524"/>
    </row>
    <row r="414" spans="1:32" s="143" customFormat="1" ht="21.75" customHeight="1">
      <c r="B414" s="152" t="s">
        <v>2021</v>
      </c>
      <c r="C414" s="1749" t="s">
        <v>3742</v>
      </c>
      <c r="D414" s="1749"/>
      <c r="E414" s="1749"/>
      <c r="F414" s="1749"/>
      <c r="G414" s="1749"/>
      <c r="H414" s="1749"/>
      <c r="I414" s="1749"/>
      <c r="J414" s="1749"/>
      <c r="K414" s="1749"/>
      <c r="L414" s="1749"/>
      <c r="M414" s="1749"/>
      <c r="N414" s="1749"/>
      <c r="O414" s="174" t="s">
        <v>2021</v>
      </c>
      <c r="P414" s="3152" t="s">
        <v>4288</v>
      </c>
      <c r="Q414" s="631"/>
      <c r="AE414" s="524"/>
      <c r="AF414" s="524"/>
    </row>
    <row r="415" spans="1:32" ht="11.25" customHeight="1">
      <c r="B415" s="151" t="s">
        <v>1936</v>
      </c>
      <c r="D415" s="151"/>
      <c r="E415" s="151"/>
      <c r="F415" s="151"/>
      <c r="G415" s="151"/>
      <c r="H415" s="41"/>
      <c r="I415" s="1419"/>
      <c r="J415" s="1419"/>
      <c r="K415" s="1419"/>
      <c r="L415" s="1411"/>
      <c r="M415" s="1411"/>
      <c r="N415" s="1411"/>
      <c r="O415" s="1411"/>
      <c r="P415" s="1411"/>
      <c r="Q415" s="1218"/>
    </row>
    <row r="416" spans="1:32" ht="11.45" customHeight="1">
      <c r="A416" s="3073" t="s">
        <v>4308</v>
      </c>
      <c r="B416" s="3074"/>
      <c r="C416" s="3074"/>
      <c r="D416" s="3074"/>
      <c r="E416" s="3074"/>
      <c r="F416" s="3074"/>
      <c r="G416" s="3074"/>
      <c r="H416" s="3074"/>
      <c r="I416" s="3074"/>
      <c r="J416" s="3074"/>
      <c r="K416" s="3074"/>
      <c r="L416" s="3074"/>
      <c r="M416" s="3074"/>
      <c r="N416" s="3074"/>
      <c r="O416" s="3074"/>
      <c r="P416" s="3074"/>
      <c r="Q416" s="3075"/>
      <c r="R416" s="496" t="s">
        <v>1301</v>
      </c>
      <c r="S416" s="497"/>
      <c r="U416" s="146"/>
      <c r="V416" s="146"/>
      <c r="W416" s="146"/>
      <c r="X416" s="146"/>
      <c r="Y416" s="146"/>
      <c r="Z416" s="146"/>
      <c r="AA416" s="146"/>
      <c r="AB416" s="146"/>
      <c r="AC416" s="146"/>
      <c r="AD416" s="146"/>
      <c r="AE416" s="523"/>
    </row>
    <row r="417" spans="1:32" ht="11.25" customHeight="1">
      <c r="B417" s="147" t="s">
        <v>1937</v>
      </c>
      <c r="C417" s="148"/>
      <c r="D417" s="1418"/>
      <c r="E417" s="1418"/>
      <c r="F417" s="1418"/>
      <c r="G417" s="1418"/>
      <c r="H417" s="1418"/>
      <c r="I417" s="1418"/>
      <c r="J417" s="1418"/>
      <c r="K417" s="1418"/>
      <c r="L417" s="1418"/>
      <c r="M417" s="1418"/>
      <c r="N417" s="1418"/>
      <c r="O417" s="1418"/>
      <c r="P417" s="1418"/>
      <c r="Q417" s="1418"/>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1"/>
      <c r="B419" s="1419"/>
      <c r="C419" s="1418"/>
      <c r="D419" s="1418"/>
      <c r="E419" s="1418"/>
      <c r="F419" s="1418"/>
      <c r="G419" s="1418"/>
      <c r="H419" s="1418"/>
      <c r="I419" s="1418"/>
      <c r="J419" s="1418"/>
      <c r="K419" s="1418"/>
      <c r="L419" s="1418"/>
      <c r="M419" s="1418"/>
      <c r="Q419" s="1218"/>
    </row>
    <row r="420" spans="1:32" ht="13.9" customHeight="1">
      <c r="A420" s="1425">
        <v>27</v>
      </c>
      <c r="B420" s="4" t="s">
        <v>2764</v>
      </c>
      <c r="C420" s="4"/>
      <c r="D420" s="92"/>
      <c r="E420" s="1418"/>
      <c r="F420" s="1418"/>
      <c r="G420" s="1418"/>
      <c r="H420" s="1418"/>
      <c r="I420" s="1418"/>
      <c r="J420" s="1418"/>
      <c r="K420" s="1418"/>
      <c r="L420" s="1418"/>
      <c r="M420" s="1418"/>
      <c r="O420" s="142" t="s">
        <v>1938</v>
      </c>
      <c r="P420" s="1711"/>
      <c r="Q420" s="1712"/>
    </row>
    <row r="421" spans="1:32" ht="11.25" customHeight="1">
      <c r="A421" s="1425"/>
      <c r="B421" s="151" t="s">
        <v>1936</v>
      </c>
      <c r="D421" s="151"/>
      <c r="E421" s="151"/>
      <c r="F421" s="151"/>
      <c r="G421" s="151"/>
      <c r="H421" s="41"/>
      <c r="I421" s="1419"/>
      <c r="J421" s="1419"/>
      <c r="K421" s="1419"/>
      <c r="L421" s="1411"/>
      <c r="M421" s="1411"/>
      <c r="N421" s="1411"/>
      <c r="O421" s="1411"/>
      <c r="P421" s="1411"/>
      <c r="Q421" s="1218"/>
    </row>
    <row r="422" spans="1:32" ht="11.45" customHeight="1">
      <c r="A422" s="3073" t="s">
        <v>4356</v>
      </c>
      <c r="B422" s="3074"/>
      <c r="C422" s="3074"/>
      <c r="D422" s="3074"/>
      <c r="E422" s="3074"/>
      <c r="F422" s="3074"/>
      <c r="G422" s="3074"/>
      <c r="H422" s="3074"/>
      <c r="I422" s="3074"/>
      <c r="J422" s="3074"/>
      <c r="K422" s="3074"/>
      <c r="L422" s="3074"/>
      <c r="M422" s="3074"/>
      <c r="N422" s="3074"/>
      <c r="O422" s="3074"/>
      <c r="P422" s="3074"/>
      <c r="Q422" s="3075"/>
      <c r="R422" s="496" t="s">
        <v>1301</v>
      </c>
      <c r="S422" s="497"/>
      <c r="U422" s="146"/>
      <c r="V422" s="146"/>
      <c r="W422" s="146"/>
      <c r="X422" s="146"/>
      <c r="Y422" s="146"/>
      <c r="Z422" s="146"/>
      <c r="AA422" s="146"/>
      <c r="AB422" s="146"/>
      <c r="AC422" s="146"/>
      <c r="AD422" s="146"/>
      <c r="AE422" s="523"/>
    </row>
    <row r="423" spans="1:32" ht="11.25" customHeight="1">
      <c r="B423" s="147" t="s">
        <v>1937</v>
      </c>
      <c r="C423" s="148"/>
      <c r="D423" s="1418"/>
      <c r="E423" s="1418"/>
      <c r="F423" s="1418"/>
      <c r="G423" s="1418"/>
      <c r="H423" s="1418"/>
      <c r="I423" s="1418"/>
      <c r="J423" s="1418"/>
      <c r="K423" s="1418"/>
      <c r="L423" s="1418"/>
      <c r="M423" s="1418"/>
      <c r="N423" s="1418"/>
      <c r="O423" s="1418"/>
      <c r="P423" s="1418"/>
      <c r="Q423" s="1418"/>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1"/>
      <c r="B425" s="1419"/>
      <c r="C425" s="1418"/>
      <c r="D425" s="1418"/>
      <c r="E425" s="1418"/>
      <c r="F425" s="1418"/>
      <c r="G425" s="1418"/>
      <c r="H425" s="1418"/>
      <c r="I425" s="1418"/>
      <c r="J425" s="1418"/>
      <c r="K425" s="1418"/>
      <c r="L425" s="1418"/>
      <c r="M425" s="1418"/>
      <c r="N425" s="1418"/>
      <c r="O425" s="1418"/>
      <c r="P425" s="1418"/>
      <c r="Q425" s="1411"/>
    </row>
    <row r="426" spans="1:32" s="158" customFormat="1" ht="8.4499999999999993" customHeight="1">
      <c r="A426" s="1411"/>
      <c r="B426" s="1419"/>
      <c r="C426" s="1418"/>
      <c r="D426" s="1418"/>
      <c r="E426" s="1418"/>
      <c r="F426" s="1418"/>
      <c r="G426" s="1418"/>
      <c r="H426" s="1418"/>
      <c r="I426" s="1418"/>
      <c r="J426" s="1418"/>
      <c r="K426" s="1418"/>
      <c r="L426" s="1418"/>
      <c r="M426" s="1418"/>
      <c r="AE426" s="525"/>
      <c r="AF426" s="525"/>
    </row>
    <row r="427" spans="1:32" s="158" customFormat="1" ht="3" customHeight="1">
      <c r="A427" s="1411"/>
      <c r="B427" s="1419"/>
      <c r="C427" s="1418"/>
      <c r="D427" s="1418"/>
      <c r="E427" s="1418"/>
      <c r="F427" s="1418"/>
      <c r="G427" s="1418"/>
      <c r="H427" s="1418"/>
      <c r="I427" s="1418"/>
      <c r="J427" s="1418"/>
      <c r="K427" s="1418"/>
      <c r="L427" s="1418"/>
      <c r="M427" s="1418"/>
      <c r="N427" s="1418"/>
      <c r="O427" s="1418"/>
      <c r="P427" s="1418"/>
      <c r="Q427" s="1411"/>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3859</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9"/>
      <c r="P444" s="1409"/>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3"/>
      <c r="O445" s="834" t="s">
        <v>3028</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43"/>
      <c r="O446" s="834" t="s">
        <v>3029</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43"/>
      <c r="O447" s="834" t="s">
        <v>3030</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43"/>
      <c r="O448" s="834" t="s">
        <v>3031</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43"/>
      <c r="O449" s="834" t="s">
        <v>3032</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43"/>
      <c r="O450" s="834" t="s">
        <v>3033</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43"/>
      <c r="O451" s="834" t="s">
        <v>3034</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3"/>
      <c r="O452" s="834" t="s">
        <v>3035</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3"/>
      <c r="O453" s="834" t="s">
        <v>3036</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43"/>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3"/>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43"/>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3"/>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3"/>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43"/>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43"/>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43"/>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43"/>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43"/>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43"/>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43"/>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3"/>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2835</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zVBYo2aV3dw6iwZn07+eIoSY7v8rz6By5SS0kL/lvAnChGsgBSncywFYve7UMKZg9T+npdAjAxxfd0wB+/E62w==" saltValue="+9pt6vKaBfIq243EwgxU9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24" zoomScaleNormal="124"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9"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2016-010 The Preserve at Newport, Kingsland, Camden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3"/>
      <c r="P2" s="1413"/>
    </row>
    <row r="3" spans="1:19" s="36" customFormat="1" ht="12.6" customHeight="1">
      <c r="A3" s="1869" t="s">
        <v>4044</v>
      </c>
      <c r="B3" s="1869"/>
      <c r="C3" s="1869"/>
      <c r="D3" s="1869"/>
      <c r="E3" s="1869"/>
      <c r="F3" s="1869"/>
      <c r="G3" s="1869"/>
      <c r="H3" s="1869"/>
      <c r="I3" s="1869"/>
      <c r="J3" s="1869"/>
      <c r="K3" s="1869"/>
      <c r="L3" s="1869"/>
      <c r="M3" s="97" t="s">
        <v>2298</v>
      </c>
      <c r="N3" s="78"/>
      <c r="O3" s="88" t="s">
        <v>2297</v>
      </c>
      <c r="P3" s="189" t="s">
        <v>268</v>
      </c>
    </row>
    <row r="4" spans="1:19" s="45" customFormat="1" ht="12.6" customHeight="1">
      <c r="A4" s="1869"/>
      <c r="B4" s="1869"/>
      <c r="C4" s="1869"/>
      <c r="D4" s="1869"/>
      <c r="E4" s="1869"/>
      <c r="F4" s="1869"/>
      <c r="G4" s="1869"/>
      <c r="H4" s="1869"/>
      <c r="I4" s="1869"/>
      <c r="J4" s="1869"/>
      <c r="K4" s="1869"/>
      <c r="L4" s="1869"/>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1464" t="s">
        <v>4371</v>
      </c>
      <c r="G6" s="1465"/>
      <c r="H6" s="1466"/>
      <c r="I6" s="43"/>
      <c r="J6" s="43"/>
      <c r="L6" s="74" t="s">
        <v>1272</v>
      </c>
      <c r="M6" s="295">
        <f>M408</f>
        <v>103</v>
      </c>
      <c r="N6" s="9"/>
      <c r="O6" s="68">
        <f>O408</f>
        <v>60</v>
      </c>
      <c r="P6" s="68">
        <f>P408</f>
        <v>22</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2062</v>
      </c>
      <c r="B8" s="112" t="s">
        <v>2902</v>
      </c>
      <c r="C8" s="4"/>
      <c r="D8" s="4"/>
      <c r="E8" s="4"/>
      <c r="F8" s="10"/>
      <c r="H8" s="50" t="s">
        <v>3743</v>
      </c>
      <c r="M8" s="1413">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2058</v>
      </c>
      <c r="B10" s="180" t="s">
        <v>1939</v>
      </c>
      <c r="D10" s="49"/>
      <c r="E10" s="49"/>
      <c r="F10" s="1436" t="s">
        <v>2671</v>
      </c>
      <c r="G10" s="1219">
        <f>F15</f>
        <v>0</v>
      </c>
      <c r="H10" s="188" t="s">
        <v>4066</v>
      </c>
      <c r="M10" s="6"/>
      <c r="N10" s="69" t="s">
        <v>2058</v>
      </c>
      <c r="O10" s="3172">
        <v>0</v>
      </c>
      <c r="P10" s="3173">
        <f>F15</f>
        <v>0</v>
      </c>
    </row>
    <row r="11" spans="1:19" s="44" customFormat="1" ht="11.25" customHeight="1">
      <c r="A11" s="196"/>
      <c r="B11" s="116" t="s">
        <v>2191</v>
      </c>
      <c r="D11" s="49"/>
      <c r="E11" s="49"/>
      <c r="F11" s="1436" t="s">
        <v>2671</v>
      </c>
      <c r="G11" s="1219">
        <f>J15</f>
        <v>0</v>
      </c>
      <c r="H11" s="188" t="s">
        <v>2881</v>
      </c>
      <c r="J11" s="50"/>
      <c r="M11" s="6">
        <v>1</v>
      </c>
      <c r="N11" s="69"/>
      <c r="O11" s="3174">
        <v>0</v>
      </c>
      <c r="P11" s="3175">
        <f>J15</f>
        <v>0</v>
      </c>
    </row>
    <row r="12" spans="1:19" s="43" customFormat="1" ht="11.25" customHeight="1">
      <c r="A12" s="196" t="s">
        <v>2061</v>
      </c>
      <c r="B12" s="180" t="s">
        <v>756</v>
      </c>
      <c r="D12" s="49"/>
      <c r="E12" s="49"/>
      <c r="F12" s="1436" t="s">
        <v>2671</v>
      </c>
      <c r="G12" s="1219">
        <f>O15</f>
        <v>0</v>
      </c>
      <c r="H12" s="188" t="s">
        <v>2836</v>
      </c>
      <c r="J12" s="50"/>
      <c r="M12" s="6"/>
      <c r="N12" s="69" t="s">
        <v>2061</v>
      </c>
      <c r="O12" s="3176">
        <v>0</v>
      </c>
      <c r="P12" s="3177">
        <f>O15</f>
        <v>0</v>
      </c>
      <c r="Q12" s="115"/>
    </row>
    <row r="13" spans="1:19" s="43" customFormat="1" ht="10.9" customHeight="1">
      <c r="A13" s="71" t="s">
        <v>1937</v>
      </c>
      <c r="C13" s="100"/>
      <c r="D13" s="100"/>
      <c r="F13" s="1419" t="s">
        <v>1780</v>
      </c>
      <c r="K13" s="1419" t="s">
        <v>1780</v>
      </c>
      <c r="P13" s="521" t="s">
        <v>1780</v>
      </c>
      <c r="R13" s="498"/>
      <c r="S13" s="171"/>
    </row>
    <row r="14" spans="1:19" s="43" customFormat="1" ht="10.9" customHeight="1">
      <c r="A14" s="234" t="s">
        <v>3906</v>
      </c>
      <c r="B14" s="234"/>
      <c r="C14" s="234"/>
      <c r="D14" s="234"/>
      <c r="E14" s="234"/>
      <c r="K14" s="1419"/>
      <c r="P14" s="521"/>
      <c r="R14" s="498"/>
      <c r="S14" s="171"/>
    </row>
    <row r="15" spans="1:19" s="43" customFormat="1" ht="12" customHeight="1">
      <c r="A15" s="1176" t="s">
        <v>3905</v>
      </c>
      <c r="B15" s="1176"/>
      <c r="C15" s="1176"/>
      <c r="D15" s="1176"/>
      <c r="E15" s="70" t="s">
        <v>527</v>
      </c>
      <c r="F15" s="81">
        <f>SUM(F16:F27)</f>
        <v>0</v>
      </c>
      <c r="G15" s="1861" t="s">
        <v>3899</v>
      </c>
      <c r="H15" s="1862"/>
      <c r="I15" s="1177"/>
      <c r="J15" s="81">
        <f>SUM(J16:J27)</f>
        <v>0</v>
      </c>
      <c r="K15" s="1859" t="s">
        <v>3566</v>
      </c>
      <c r="L15" s="1860"/>
      <c r="M15" s="1860"/>
      <c r="N15" s="70" t="s">
        <v>527</v>
      </c>
      <c r="O15" s="1867">
        <f>SUM(O16:O27)</f>
        <v>0</v>
      </c>
      <c r="P15" s="1868"/>
      <c r="Q15" s="498"/>
      <c r="R15" s="171"/>
    </row>
    <row r="16" spans="1:19" s="43" customFormat="1" ht="37.5" customHeight="1">
      <c r="A16" s="1856">
        <v>1</v>
      </c>
      <c r="B16" s="1857"/>
      <c r="C16" s="1857"/>
      <c r="D16" s="1857"/>
      <c r="E16" s="1858"/>
      <c r="F16" s="1178"/>
      <c r="G16" s="1856">
        <v>1</v>
      </c>
      <c r="H16" s="1857"/>
      <c r="I16" s="1858"/>
      <c r="J16" s="1183" t="s">
        <v>1799</v>
      </c>
      <c r="K16" s="1854">
        <v>1</v>
      </c>
      <c r="L16" s="1855"/>
      <c r="M16" s="1855"/>
      <c r="N16" s="1855"/>
      <c r="O16" s="1865" t="s">
        <v>1799</v>
      </c>
      <c r="P16" s="1866"/>
      <c r="Q16" s="496" t="s">
        <v>1301</v>
      </c>
      <c r="R16" s="171"/>
    </row>
    <row r="17" spans="1:18" s="43" customFormat="1" ht="37.5" customHeight="1">
      <c r="A17" s="1839">
        <v>2</v>
      </c>
      <c r="B17" s="1840"/>
      <c r="C17" s="1840"/>
      <c r="D17" s="1840"/>
      <c r="E17" s="1841"/>
      <c r="F17" s="1179"/>
      <c r="G17" s="1839">
        <v>2</v>
      </c>
      <c r="H17" s="1840"/>
      <c r="I17" s="1841"/>
      <c r="J17" s="1179"/>
      <c r="K17" s="1852">
        <v>2</v>
      </c>
      <c r="L17" s="1853"/>
      <c r="M17" s="1853"/>
      <c r="N17" s="1853"/>
      <c r="O17" s="1879"/>
      <c r="P17" s="1880"/>
      <c r="Q17" s="497"/>
      <c r="R17" s="171"/>
    </row>
    <row r="18" spans="1:18" s="43" customFormat="1" ht="37.5" customHeight="1">
      <c r="A18" s="1839">
        <v>3</v>
      </c>
      <c r="B18" s="1840"/>
      <c r="C18" s="1840"/>
      <c r="D18" s="1840"/>
      <c r="E18" s="1841"/>
      <c r="F18" s="1179"/>
      <c r="G18" s="1839">
        <v>3</v>
      </c>
      <c r="H18" s="1840"/>
      <c r="I18" s="1841"/>
      <c r="J18" s="1184" t="s">
        <v>3056</v>
      </c>
      <c r="K18" s="1852">
        <v>3</v>
      </c>
      <c r="L18" s="1853"/>
      <c r="M18" s="1853"/>
      <c r="N18" s="1853"/>
      <c r="O18" s="1863" t="s">
        <v>3056</v>
      </c>
      <c r="P18" s="1864"/>
      <c r="Q18" s="497"/>
      <c r="R18" s="171"/>
    </row>
    <row r="19" spans="1:18" s="43" customFormat="1" ht="37.5" customHeight="1">
      <c r="A19" s="1839">
        <v>4</v>
      </c>
      <c r="B19" s="1840"/>
      <c r="C19" s="1840"/>
      <c r="D19" s="1840"/>
      <c r="E19" s="1841"/>
      <c r="F19" s="1179"/>
      <c r="G19" s="1839">
        <v>4</v>
      </c>
      <c r="H19" s="1840"/>
      <c r="I19" s="1841"/>
      <c r="J19" s="1179"/>
      <c r="K19" s="1852">
        <v>4</v>
      </c>
      <c r="L19" s="1853"/>
      <c r="M19" s="1853"/>
      <c r="N19" s="1853"/>
      <c r="O19" s="1863" t="s">
        <v>3056</v>
      </c>
      <c r="P19" s="1864"/>
      <c r="Q19" s="497"/>
      <c r="R19" s="171"/>
    </row>
    <row r="20" spans="1:18" s="43" customFormat="1" ht="37.5" customHeight="1">
      <c r="A20" s="1839">
        <v>5</v>
      </c>
      <c r="B20" s="1840"/>
      <c r="C20" s="1840"/>
      <c r="D20" s="1840"/>
      <c r="E20" s="1841"/>
      <c r="F20" s="1179"/>
      <c r="G20" s="1839">
        <v>5</v>
      </c>
      <c r="H20" s="1840"/>
      <c r="I20" s="1841"/>
      <c r="J20" s="1184" t="s">
        <v>3901</v>
      </c>
      <c r="K20" s="1852">
        <v>5</v>
      </c>
      <c r="L20" s="1853"/>
      <c r="M20" s="1853"/>
      <c r="N20" s="1853"/>
      <c r="O20" s="1879"/>
      <c r="P20" s="1880"/>
      <c r="Q20" s="171"/>
      <c r="R20" s="171"/>
    </row>
    <row r="21" spans="1:18" s="43" customFormat="1" ht="37.5" customHeight="1">
      <c r="A21" s="1839">
        <v>6</v>
      </c>
      <c r="B21" s="1840"/>
      <c r="C21" s="1840"/>
      <c r="D21" s="1840"/>
      <c r="E21" s="1841"/>
      <c r="F21" s="1179"/>
      <c r="G21" s="1839">
        <v>6</v>
      </c>
      <c r="H21" s="1840"/>
      <c r="I21" s="1841"/>
      <c r="J21" s="1179"/>
      <c r="K21" s="1852">
        <v>6</v>
      </c>
      <c r="L21" s="1853"/>
      <c r="M21" s="1853"/>
      <c r="N21" s="1853"/>
      <c r="O21" s="1879"/>
      <c r="P21" s="1880"/>
      <c r="Q21" s="171"/>
      <c r="R21" s="171"/>
    </row>
    <row r="22" spans="1:18" s="43" customFormat="1" ht="37.5" customHeight="1">
      <c r="A22" s="1839">
        <v>7</v>
      </c>
      <c r="B22" s="1840"/>
      <c r="C22" s="1840"/>
      <c r="D22" s="1840"/>
      <c r="E22" s="1841"/>
      <c r="F22" s="1179"/>
      <c r="G22" s="1839">
        <v>7</v>
      </c>
      <c r="H22" s="1840"/>
      <c r="I22" s="1841"/>
      <c r="J22" s="1184" t="s">
        <v>3902</v>
      </c>
      <c r="K22" s="1852">
        <v>7</v>
      </c>
      <c r="L22" s="1853"/>
      <c r="M22" s="1853"/>
      <c r="N22" s="1853"/>
      <c r="O22" s="1879"/>
      <c r="P22" s="1880"/>
      <c r="Q22" s="171"/>
      <c r="R22" s="171"/>
    </row>
    <row r="23" spans="1:18" s="43" customFormat="1" ht="37.5" customHeight="1">
      <c r="A23" s="1839">
        <v>8</v>
      </c>
      <c r="B23" s="1840"/>
      <c r="C23" s="1840"/>
      <c r="D23" s="1840"/>
      <c r="E23" s="1841"/>
      <c r="F23" s="1179"/>
      <c r="G23" s="1839">
        <v>8</v>
      </c>
      <c r="H23" s="1840"/>
      <c r="I23" s="1841"/>
      <c r="J23" s="1179"/>
      <c r="K23" s="1852">
        <v>8</v>
      </c>
      <c r="L23" s="1853"/>
      <c r="M23" s="1853"/>
      <c r="N23" s="1853"/>
      <c r="O23" s="1879"/>
      <c r="P23" s="1880"/>
      <c r="Q23" s="171"/>
      <c r="R23" s="171"/>
    </row>
    <row r="24" spans="1:18" s="43" customFormat="1" ht="24" customHeight="1">
      <c r="A24" s="1839">
        <v>9</v>
      </c>
      <c r="B24" s="1840"/>
      <c r="C24" s="1840"/>
      <c r="D24" s="1840"/>
      <c r="E24" s="1841"/>
      <c r="F24" s="1179"/>
      <c r="G24" s="1839">
        <v>9</v>
      </c>
      <c r="H24" s="1840"/>
      <c r="I24" s="1841"/>
      <c r="J24" s="1184" t="s">
        <v>3903</v>
      </c>
      <c r="K24" s="1852">
        <v>9</v>
      </c>
      <c r="L24" s="1853"/>
      <c r="M24" s="1853"/>
      <c r="N24" s="1853"/>
      <c r="O24" s="1879"/>
      <c r="P24" s="1880"/>
      <c r="Q24" s="171"/>
      <c r="R24" s="171"/>
    </row>
    <row r="25" spans="1:18" s="43" customFormat="1" ht="24" customHeight="1">
      <c r="A25" s="1839">
        <v>10</v>
      </c>
      <c r="B25" s="1840"/>
      <c r="C25" s="1840"/>
      <c r="D25" s="1840"/>
      <c r="E25" s="1841"/>
      <c r="F25" s="1179"/>
      <c r="G25" s="1839">
        <v>10</v>
      </c>
      <c r="H25" s="1840"/>
      <c r="I25" s="1841"/>
      <c r="J25" s="1179"/>
      <c r="K25" s="1852">
        <v>10</v>
      </c>
      <c r="L25" s="1853"/>
      <c r="M25" s="1853"/>
      <c r="N25" s="1853"/>
      <c r="O25" s="1879"/>
      <c r="P25" s="1880"/>
      <c r="Q25" s="171"/>
      <c r="R25" s="171"/>
    </row>
    <row r="26" spans="1:18" s="43" customFormat="1" ht="24" customHeight="1">
      <c r="A26" s="1839">
        <v>11</v>
      </c>
      <c r="B26" s="1840"/>
      <c r="C26" s="1840"/>
      <c r="D26" s="1840"/>
      <c r="E26" s="1841"/>
      <c r="F26" s="1179"/>
      <c r="G26" s="1839">
        <v>11</v>
      </c>
      <c r="H26" s="1840"/>
      <c r="I26" s="1841"/>
      <c r="J26" s="1184" t="s">
        <v>3904</v>
      </c>
      <c r="K26" s="1839">
        <v>11</v>
      </c>
      <c r="L26" s="1840"/>
      <c r="M26" s="1840"/>
      <c r="N26" s="1841"/>
      <c r="O26" s="1879"/>
      <c r="P26" s="1880"/>
      <c r="Q26" s="171"/>
      <c r="R26" s="171"/>
    </row>
    <row r="27" spans="1:18" s="43" customFormat="1" ht="24" customHeight="1">
      <c r="A27" s="1886">
        <v>12</v>
      </c>
      <c r="B27" s="1887"/>
      <c r="C27" s="1887"/>
      <c r="D27" s="1887"/>
      <c r="E27" s="1888"/>
      <c r="F27" s="1180"/>
      <c r="G27" s="1886">
        <v>12</v>
      </c>
      <c r="H27" s="1887"/>
      <c r="I27" s="1888"/>
      <c r="J27" s="1180"/>
      <c r="K27" s="1886">
        <v>12</v>
      </c>
      <c r="L27" s="1887"/>
      <c r="M27" s="1887"/>
      <c r="N27" s="1888"/>
      <c r="O27" s="1889"/>
      <c r="P27" s="1890"/>
    </row>
    <row r="28" spans="1:18" s="44" customFormat="1" ht="3" customHeight="1">
      <c r="D28" s="40"/>
      <c r="E28" s="37"/>
      <c r="F28" s="1189"/>
      <c r="G28" s="1189"/>
      <c r="H28" s="1189"/>
      <c r="I28" s="1189"/>
      <c r="J28" s="1219"/>
      <c r="K28" s="1219"/>
      <c r="L28" s="1219"/>
      <c r="M28" s="63"/>
      <c r="N28" s="1189"/>
      <c r="O28" s="1417"/>
      <c r="P28" s="3"/>
    </row>
    <row r="29" spans="1:18" s="44" customFormat="1" ht="12.6" customHeight="1">
      <c r="A29" s="491" t="s">
        <v>2064</v>
      </c>
      <c r="B29" s="119" t="s">
        <v>3907</v>
      </c>
      <c r="E29" s="60"/>
      <c r="G29" s="93"/>
      <c r="H29" s="54"/>
      <c r="I29" s="46" t="s">
        <v>3766</v>
      </c>
      <c r="M29" s="1189">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9"/>
      <c r="N30" s="7"/>
      <c r="O30" s="1187"/>
      <c r="P30" s="3"/>
      <c r="Q30" s="115"/>
      <c r="R30" s="413"/>
    </row>
    <row r="31" spans="1:18" s="44" customFormat="1" ht="13.5" customHeight="1">
      <c r="A31" s="149" t="s">
        <v>2058</v>
      </c>
      <c r="B31" s="1263" t="s">
        <v>2713</v>
      </c>
      <c r="E31" s="60"/>
      <c r="G31" s="93"/>
      <c r="H31" s="1900" t="s">
        <v>3908</v>
      </c>
      <c r="I31" s="1900"/>
      <c r="J31" s="1265">
        <f>'Part VI-Revenues &amp; Expenses'!$O$60</f>
        <v>72</v>
      </c>
      <c r="K31" s="1264"/>
      <c r="M31" s="1189"/>
      <c r="N31" s="7"/>
      <c r="Q31" s="7"/>
      <c r="R31" s="413"/>
    </row>
    <row r="32" spans="1:18" s="108" customFormat="1" ht="13.5" customHeight="1">
      <c r="A32" s="149"/>
      <c r="B32" s="1719" t="s">
        <v>3909</v>
      </c>
      <c r="C32" s="1719"/>
      <c r="D32" s="1719"/>
      <c r="E32" s="1719"/>
      <c r="F32" s="1719"/>
      <c r="G32" s="1177"/>
      <c r="H32" s="1268" t="s">
        <v>3910</v>
      </c>
      <c r="I32" s="1268" t="s">
        <v>3911</v>
      </c>
      <c r="J32" s="1177"/>
      <c r="K32" s="1901" t="s">
        <v>3568</v>
      </c>
      <c r="L32" s="1901"/>
      <c r="M32" s="1189"/>
      <c r="N32" s="7"/>
      <c r="Q32" s="7"/>
      <c r="R32" s="413"/>
    </row>
    <row r="33" spans="1:18" s="108" customFormat="1" ht="13.5" customHeight="1">
      <c r="B33" s="1719"/>
      <c r="C33" s="1719"/>
      <c r="D33" s="1719"/>
      <c r="E33" s="1719"/>
      <c r="F33" s="1719"/>
      <c r="H33" s="1903" t="s">
        <v>4067</v>
      </c>
      <c r="I33" s="1903"/>
      <c r="J33" s="1188"/>
      <c r="K33" s="1268" t="s">
        <v>3910</v>
      </c>
      <c r="L33" s="1268" t="s">
        <v>3911</v>
      </c>
      <c r="M33" s="479"/>
      <c r="N33" s="430" t="s">
        <v>2058</v>
      </c>
      <c r="O33" s="1273">
        <f>SUM(O34:O35)</f>
        <v>2</v>
      </c>
      <c r="P33" s="1273">
        <f>SUM(P34:P35)</f>
        <v>0</v>
      </c>
    </row>
    <row r="34" spans="1:18" s="473" customFormat="1" ht="13.5" customHeight="1">
      <c r="A34" s="472"/>
      <c r="B34" s="759" t="s">
        <v>2062</v>
      </c>
      <c r="C34" s="760">
        <v>0.15</v>
      </c>
      <c r="D34" s="150" t="s">
        <v>3567</v>
      </c>
      <c r="H34" s="3178">
        <v>21</v>
      </c>
      <c r="I34" s="621"/>
      <c r="K34" s="761">
        <f>IF(OR('Part VI-Revenues &amp; Expenses'!$O$60="", 'Part VI-Revenues &amp; Expenses'!$O$60=0),0,H34/'Part VI-Revenues &amp; Expenses'!$O$60)</f>
        <v>0.29166666666666669</v>
      </c>
      <c r="L34" s="761">
        <f>IF(OR('Part VI-Revenues &amp; Expenses'!$O$60="", 'Part VI-Revenues &amp; Expenses'!$O$60=0),0,I34/'Part VI-Revenues &amp; Expenses'!$O$60)</f>
        <v>0</v>
      </c>
      <c r="M34" s="479">
        <v>1</v>
      </c>
      <c r="N34" s="430" t="s">
        <v>2062</v>
      </c>
      <c r="O34" s="1266">
        <f>IF(AND(K34 &gt;= $C$34,K34&lt;$C$35),$M34,0)</f>
        <v>0</v>
      </c>
      <c r="P34" s="1266">
        <f>IF(AND(L34 &gt;= $C$34,L34&lt;$C$35),$M34,0)</f>
        <v>0</v>
      </c>
    </row>
    <row r="35" spans="1:18" s="473" customFormat="1" ht="13.5" customHeight="1">
      <c r="A35" s="767" t="s">
        <v>3529</v>
      </c>
      <c r="B35" s="759" t="s">
        <v>2064</v>
      </c>
      <c r="C35" s="760">
        <v>0.2</v>
      </c>
      <c r="D35" s="150" t="s">
        <v>3567</v>
      </c>
      <c r="H35" s="3179">
        <v>21</v>
      </c>
      <c r="I35" s="758"/>
      <c r="K35" s="1324">
        <f>IF(OR('Part VI-Revenues &amp; Expenses'!$O$60="", 'Part VI-Revenues &amp; Expenses'!$O$60=0),0,H35/'Part VI-Revenues &amp; Expenses'!$O$60)</f>
        <v>0.29166666666666669</v>
      </c>
      <c r="L35" s="1324">
        <f>IF(OR('Part VI-Revenues &amp; Expenses'!$O$60="", 'Part VI-Revenues &amp; Expenses'!$O$60=0),0,I35/'Part VI-Revenues &amp; Expenses'!$O$60)</f>
        <v>0</v>
      </c>
      <c r="M35" s="479">
        <v>2</v>
      </c>
      <c r="N35" s="430" t="s">
        <v>2064</v>
      </c>
      <c r="O35" s="1267">
        <f>IF(K35&gt;=$C$35,$M35,0)</f>
        <v>2</v>
      </c>
      <c r="P35" s="1267">
        <f>IF(L35&gt;=$C$35,$M35,0)</f>
        <v>0</v>
      </c>
    </row>
    <row r="36" spans="1:18" s="473" customFormat="1" ht="6.75" customHeight="1">
      <c r="A36" s="767"/>
      <c r="B36" s="759"/>
      <c r="C36" s="760"/>
      <c r="D36" s="150"/>
      <c r="K36" s="1262"/>
      <c r="L36" s="1262"/>
      <c r="M36" s="479"/>
      <c r="N36" s="430"/>
      <c r="O36" s="1272"/>
      <c r="P36" s="1272"/>
    </row>
    <row r="37" spans="1:18" s="473" customFormat="1" ht="13.5" customHeight="1">
      <c r="A37" s="149" t="s">
        <v>2061</v>
      </c>
      <c r="B37" s="1263" t="s">
        <v>4070</v>
      </c>
      <c r="E37" s="474"/>
      <c r="H37" s="1903" t="s">
        <v>4072</v>
      </c>
      <c r="I37" s="1903"/>
      <c r="M37" s="479"/>
      <c r="N37" s="174" t="s">
        <v>2061</v>
      </c>
      <c r="O37" s="1273">
        <f>SUM(O38:O39)</f>
        <v>0</v>
      </c>
      <c r="P37" s="1273">
        <f>SUM(P38:P39)</f>
        <v>0</v>
      </c>
    </row>
    <row r="38" spans="1:18" s="473" customFormat="1" ht="13.5" customHeight="1">
      <c r="A38" s="472"/>
      <c r="B38" s="759" t="s">
        <v>2062</v>
      </c>
      <c r="C38" s="760">
        <v>0.15</v>
      </c>
      <c r="D38" s="150" t="s">
        <v>4071</v>
      </c>
      <c r="E38" s="474"/>
      <c r="F38" s="1181"/>
      <c r="H38" s="3180">
        <v>0</v>
      </c>
      <c r="I38" s="1185"/>
      <c r="J38" s="1159"/>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2062</v>
      </c>
      <c r="O38" s="1271">
        <f>IF(K38 &gt;= $C$38,$M38,0)</f>
        <v>0</v>
      </c>
      <c r="P38" s="1266">
        <f>IF(L38 &gt;= $C$38,$M38,0)</f>
        <v>0</v>
      </c>
    </row>
    <row r="39" spans="1:18" s="473" customFormat="1" ht="13.5" customHeight="1">
      <c r="A39" s="767" t="s">
        <v>3529</v>
      </c>
      <c r="B39" s="759" t="s">
        <v>2064</v>
      </c>
      <c r="C39" s="1181" t="s">
        <v>4074</v>
      </c>
      <c r="E39" s="1349">
        <v>3</v>
      </c>
      <c r="F39" s="1181" t="s">
        <v>4073</v>
      </c>
      <c r="I39" s="1270" t="s">
        <v>4075</v>
      </c>
      <c r="K39" s="1269">
        <f>O113</f>
        <v>5</v>
      </c>
      <c r="L39" s="1269">
        <f>P113</f>
        <v>0</v>
      </c>
      <c r="M39" s="479">
        <v>1</v>
      </c>
      <c r="N39" s="430" t="s">
        <v>2064</v>
      </c>
      <c r="O39" s="3181"/>
      <c r="P39" s="620"/>
    </row>
    <row r="40" spans="1:18" s="44" customFormat="1" ht="10.5" customHeight="1">
      <c r="A40" s="43"/>
      <c r="B40" s="103" t="s">
        <v>1937</v>
      </c>
      <c r="C40" s="473"/>
      <c r="D40" s="91"/>
      <c r="E40" s="1418"/>
      <c r="F40" s="1418"/>
      <c r="G40" s="1418"/>
      <c r="H40" s="1418"/>
      <c r="I40" s="1418"/>
      <c r="J40" s="1418"/>
      <c r="K40" s="1418"/>
      <c r="L40" s="1418"/>
      <c r="M40" s="1418"/>
      <c r="N40" s="79"/>
      <c r="O40" s="75"/>
      <c r="P40" s="1413"/>
      <c r="Q40" s="473"/>
    </row>
    <row r="41" spans="1:18" s="44" customFormat="1" ht="23.25" customHeight="1">
      <c r="A41" s="1705"/>
      <c r="B41" s="1706"/>
      <c r="C41" s="1706"/>
      <c r="D41" s="1706"/>
      <c r="E41" s="1706"/>
      <c r="F41" s="1706"/>
      <c r="G41" s="1706"/>
      <c r="H41" s="1706"/>
      <c r="I41" s="1706"/>
      <c r="J41" s="1706"/>
      <c r="K41" s="1706"/>
      <c r="L41" s="1706"/>
      <c r="M41" s="1706"/>
      <c r="N41" s="1706"/>
      <c r="O41" s="1706"/>
      <c r="P41" s="1707"/>
      <c r="Q41" s="496" t="s">
        <v>1301</v>
      </c>
    </row>
    <row r="42" spans="1:18" ht="3" customHeight="1"/>
    <row r="43" spans="1:18" s="44" customFormat="1" ht="12.6" customHeight="1">
      <c r="A43" s="165" t="s">
        <v>2622</v>
      </c>
      <c r="B43" s="111" t="s">
        <v>1945</v>
      </c>
      <c r="D43" s="42"/>
      <c r="J43" s="1842" t="s">
        <v>619</v>
      </c>
      <c r="K43" s="1842"/>
      <c r="L43" s="1842"/>
      <c r="M43" s="1413">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9"/>
      <c r="G44" s="1189"/>
      <c r="J44" s="1842"/>
      <c r="K44" s="1842"/>
      <c r="L44" s="1842"/>
      <c r="M44" s="63"/>
      <c r="N44" s="1189"/>
      <c r="O44" s="1417"/>
      <c r="P44" s="3"/>
    </row>
    <row r="45" spans="1:18" s="44" customFormat="1" ht="12" customHeight="1">
      <c r="A45" s="149" t="s">
        <v>2058</v>
      </c>
      <c r="B45" s="180" t="s">
        <v>1946</v>
      </c>
      <c r="C45" s="4"/>
      <c r="D45" s="4"/>
      <c r="E45" s="188" t="s">
        <v>2824</v>
      </c>
      <c r="F45" s="327"/>
      <c r="G45" s="327"/>
      <c r="J45" s="1842"/>
      <c r="K45" s="1842"/>
      <c r="L45" s="1842"/>
      <c r="M45" s="77">
        <v>12</v>
      </c>
      <c r="N45" s="192" t="s">
        <v>2058</v>
      </c>
      <c r="O45" s="3182">
        <v>12</v>
      </c>
      <c r="P45" s="618"/>
      <c r="Q45" s="429" t="s">
        <v>2810</v>
      </c>
      <c r="R45" s="413"/>
    </row>
    <row r="46" spans="1:18" s="44" customFormat="1" ht="12" customHeight="1">
      <c r="A46" s="149" t="s">
        <v>2061</v>
      </c>
      <c r="B46" s="180" t="s">
        <v>3630</v>
      </c>
      <c r="C46" s="4"/>
      <c r="D46" s="4"/>
      <c r="F46" s="188" t="s">
        <v>3651</v>
      </c>
      <c r="H46" s="327"/>
      <c r="I46" s="188" t="s">
        <v>3652</v>
      </c>
      <c r="L46" s="1182" t="s">
        <v>3631</v>
      </c>
      <c r="M46" s="77">
        <v>1</v>
      </c>
      <c r="N46" s="521" t="s">
        <v>2061</v>
      </c>
      <c r="O46" s="3183">
        <v>1</v>
      </c>
      <c r="P46" s="620"/>
      <c r="Q46" s="429" t="s">
        <v>2810</v>
      </c>
      <c r="R46" s="413"/>
    </row>
    <row r="47" spans="1:18" s="44" customFormat="1" ht="12" customHeight="1">
      <c r="A47" s="149"/>
      <c r="B47" s="1902" t="s">
        <v>4076</v>
      </c>
      <c r="C47" s="1902"/>
      <c r="D47" s="1902"/>
      <c r="E47" s="1902"/>
      <c r="F47" s="3184" t="s">
        <v>3639</v>
      </c>
      <c r="G47" s="3185"/>
      <c r="H47" s="3186"/>
      <c r="I47" s="3184" t="s">
        <v>4357</v>
      </c>
      <c r="J47" s="3185"/>
      <c r="K47" s="3186"/>
      <c r="L47" s="3187">
        <v>0.01</v>
      </c>
      <c r="M47" s="77"/>
      <c r="N47" s="192"/>
      <c r="O47" s="192"/>
      <c r="P47" s="192"/>
      <c r="Q47" s="429"/>
      <c r="R47" s="413"/>
    </row>
    <row r="48" spans="1:18" s="44" customFormat="1" ht="12" customHeight="1">
      <c r="A48" s="149"/>
      <c r="B48" s="1902"/>
      <c r="C48" s="1902"/>
      <c r="D48" s="1902"/>
      <c r="E48" s="1902"/>
      <c r="F48" s="3188" t="s">
        <v>3636</v>
      </c>
      <c r="G48" s="3189"/>
      <c r="H48" s="3190"/>
      <c r="I48" s="3188" t="s">
        <v>4358</v>
      </c>
      <c r="J48" s="3189"/>
      <c r="K48" s="3190"/>
      <c r="L48" s="3191">
        <v>0.5</v>
      </c>
      <c r="M48" s="77"/>
      <c r="N48" s="192"/>
      <c r="O48" s="192"/>
      <c r="P48" s="192"/>
      <c r="Q48" s="429"/>
      <c r="R48" s="413"/>
    </row>
    <row r="49" spans="1:18" s="44" customFormat="1" ht="12" customHeight="1">
      <c r="A49" s="149"/>
      <c r="B49" s="1902"/>
      <c r="C49" s="1902"/>
      <c r="D49" s="1902"/>
      <c r="E49" s="1902"/>
      <c r="F49" s="3192" t="s">
        <v>3638</v>
      </c>
      <c r="G49" s="3193"/>
      <c r="H49" s="3194"/>
      <c r="I49" s="3192" t="s">
        <v>4309</v>
      </c>
      <c r="J49" s="3193"/>
      <c r="K49" s="3194"/>
      <c r="L49" s="3195">
        <v>0.1</v>
      </c>
      <c r="M49" s="77"/>
      <c r="N49" s="192"/>
      <c r="O49" s="192"/>
      <c r="P49" s="192"/>
      <c r="Q49" s="429"/>
      <c r="R49" s="413"/>
    </row>
    <row r="50" spans="1:18" s="44" customFormat="1" ht="12.6" customHeight="1">
      <c r="A50" s="149" t="s">
        <v>779</v>
      </c>
      <c r="B50" s="180" t="s">
        <v>1947</v>
      </c>
      <c r="D50" s="42"/>
      <c r="E50" s="188" t="s">
        <v>442</v>
      </c>
      <c r="F50" s="433"/>
      <c r="G50" s="433"/>
      <c r="H50" s="433"/>
      <c r="M50" s="1419" t="s">
        <v>1285</v>
      </c>
      <c r="N50" s="521" t="s">
        <v>779</v>
      </c>
      <c r="O50" s="3196">
        <v>0</v>
      </c>
      <c r="P50" s="1144"/>
      <c r="Q50" s="429" t="s">
        <v>2810</v>
      </c>
      <c r="R50" s="413"/>
    </row>
    <row r="51" spans="1:18" s="44" customFormat="1" ht="11.25" customHeight="1">
      <c r="A51" s="43"/>
      <c r="B51" s="50" t="s">
        <v>267</v>
      </c>
      <c r="C51" s="43"/>
      <c r="D51" s="49"/>
      <c r="E51" s="49"/>
      <c r="F51" s="49"/>
      <c r="G51" s="49"/>
      <c r="H51" s="37"/>
      <c r="I51" s="37"/>
      <c r="J51" s="37"/>
      <c r="K51" s="37"/>
      <c r="M51" s="47"/>
      <c r="N51" s="65"/>
      <c r="O51" s="3"/>
      <c r="P51" s="1417"/>
    </row>
    <row r="52" spans="1:18" s="44" customFormat="1" ht="36" customHeight="1">
      <c r="A52" s="3073" t="s">
        <v>4359</v>
      </c>
      <c r="B52" s="3074"/>
      <c r="C52" s="3074"/>
      <c r="D52" s="3074"/>
      <c r="E52" s="3074"/>
      <c r="F52" s="3074"/>
      <c r="G52" s="3074"/>
      <c r="H52" s="3074"/>
      <c r="I52" s="3074"/>
      <c r="J52" s="3074"/>
      <c r="K52" s="3074"/>
      <c r="L52" s="3074"/>
      <c r="M52" s="3074"/>
      <c r="N52" s="3074"/>
      <c r="O52" s="3074"/>
      <c r="P52" s="3075"/>
      <c r="Q52" s="496" t="s">
        <v>1301</v>
      </c>
      <c r="R52" s="497"/>
    </row>
    <row r="53" spans="1:18" s="44" customFormat="1" ht="11.45" customHeight="1">
      <c r="A53" s="43"/>
      <c r="B53" s="71" t="s">
        <v>1937</v>
      </c>
      <c r="C53" s="43"/>
      <c r="D53" s="147"/>
      <c r="E53" s="1418"/>
      <c r="F53" s="1418"/>
      <c r="G53" s="1418"/>
      <c r="H53" s="1418"/>
      <c r="I53" s="1418"/>
      <c r="J53" s="1418"/>
      <c r="K53" s="1418"/>
      <c r="L53" s="1418"/>
      <c r="M53" s="1418"/>
      <c r="N53" s="79"/>
      <c r="O53" s="75"/>
      <c r="P53" s="1413"/>
      <c r="Q53" s="473"/>
      <c r="R53" s="473"/>
    </row>
    <row r="54" spans="1:18" s="44" customFormat="1" ht="23.45" customHeight="1">
      <c r="A54" s="1705"/>
      <c r="B54" s="1706"/>
      <c r="C54" s="1706"/>
      <c r="D54" s="1706"/>
      <c r="E54" s="1706"/>
      <c r="F54" s="1706"/>
      <c r="G54" s="1706"/>
      <c r="H54" s="1706"/>
      <c r="I54" s="1706"/>
      <c r="J54" s="1706"/>
      <c r="K54" s="1706"/>
      <c r="L54" s="1706"/>
      <c r="M54" s="1706"/>
      <c r="N54" s="1706"/>
      <c r="O54" s="1706"/>
      <c r="P54" s="1707"/>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3">
        <v>5</v>
      </c>
      <c r="N56" s="521"/>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413"/>
      <c r="N57" s="521"/>
      <c r="O57" s="1190" t="s">
        <v>3919</v>
      </c>
      <c r="P57" s="1190" t="s">
        <v>3920</v>
      </c>
      <c r="Q57" s="115"/>
    </row>
    <row r="58" spans="1:18" s="44" customFormat="1" ht="12.6" customHeight="1">
      <c r="A58" s="165"/>
      <c r="B58" s="537" t="s">
        <v>2062</v>
      </c>
      <c r="C58" s="57" t="s">
        <v>3913</v>
      </c>
      <c r="D58" s="42"/>
      <c r="H58" s="46"/>
      <c r="I58" s="50"/>
      <c r="J58" s="49"/>
      <c r="K58" s="49"/>
      <c r="M58" s="1413"/>
      <c r="N58" s="521"/>
      <c r="O58" s="3069" t="s">
        <v>3153</v>
      </c>
      <c r="P58" s="623"/>
      <c r="Q58" s="115"/>
    </row>
    <row r="59" spans="1:18" s="44" customFormat="1" ht="12.6" customHeight="1">
      <c r="A59" s="165"/>
      <c r="B59" s="537" t="s">
        <v>2064</v>
      </c>
      <c r="C59" s="57" t="s">
        <v>3914</v>
      </c>
      <c r="D59" s="42"/>
      <c r="H59" s="46"/>
      <c r="I59" s="50"/>
      <c r="J59" s="49"/>
      <c r="K59" s="49"/>
      <c r="M59" s="1413"/>
      <c r="N59" s="521"/>
      <c r="O59" s="521"/>
      <c r="P59" s="624"/>
      <c r="Q59" s="115"/>
    </row>
    <row r="60" spans="1:18" s="44" customFormat="1" ht="12.6" customHeight="1">
      <c r="A60" s="165"/>
      <c r="B60" s="537" t="s">
        <v>2622</v>
      </c>
      <c r="C60" s="57" t="s">
        <v>3915</v>
      </c>
      <c r="D60" s="42"/>
      <c r="H60" s="46"/>
      <c r="I60" s="50"/>
      <c r="J60" s="49"/>
      <c r="K60" s="49"/>
      <c r="M60" s="1413"/>
      <c r="N60" s="521"/>
      <c r="O60" s="3069" t="s">
        <v>3153</v>
      </c>
      <c r="P60" s="623"/>
      <c r="Q60" s="115"/>
    </row>
    <row r="61" spans="1:18" s="44" customFormat="1" ht="22.5" customHeight="1">
      <c r="A61" s="165"/>
      <c r="B61" s="537" t="s">
        <v>1270</v>
      </c>
      <c r="C61" s="1878" t="s">
        <v>3916</v>
      </c>
      <c r="D61" s="1878"/>
      <c r="E61" s="1878"/>
      <c r="F61" s="1878"/>
      <c r="G61" s="1878"/>
      <c r="H61" s="1878"/>
      <c r="I61" s="1878"/>
      <c r="J61" s="1878"/>
      <c r="K61" s="1878"/>
      <c r="L61" s="1878"/>
      <c r="M61" s="617"/>
      <c r="N61" s="521"/>
      <c r="O61" s="3153" t="s">
        <v>4310</v>
      </c>
      <c r="P61" s="635"/>
      <c r="Q61" s="115"/>
    </row>
    <row r="62" spans="1:18" s="44" customFormat="1" ht="12.6" customHeight="1">
      <c r="A62" s="165"/>
      <c r="B62" s="537" t="s">
        <v>1271</v>
      </c>
      <c r="C62" s="57" t="s">
        <v>3917</v>
      </c>
      <c r="D62" s="42"/>
      <c r="H62" s="46"/>
      <c r="I62" s="50"/>
      <c r="J62" s="49"/>
      <c r="K62" s="49"/>
      <c r="M62" s="1413"/>
      <c r="N62" s="521"/>
      <c r="O62" s="3069" t="s">
        <v>4310</v>
      </c>
      <c r="P62" s="623"/>
      <c r="Q62" s="115"/>
    </row>
    <row r="63" spans="1:18" s="44" customFormat="1" ht="12.6" customHeight="1">
      <c r="A63" s="165"/>
      <c r="B63" s="537" t="s">
        <v>1955</v>
      </c>
      <c r="C63" s="57" t="s">
        <v>3918</v>
      </c>
      <c r="D63" s="42"/>
      <c r="H63" s="46"/>
      <c r="I63" s="50"/>
      <c r="J63" s="49"/>
      <c r="K63" s="49"/>
      <c r="M63" s="1413"/>
      <c r="N63" s="521"/>
      <c r="O63" s="3069" t="s">
        <v>3153</v>
      </c>
      <c r="P63" s="623"/>
      <c r="Q63" s="115"/>
    </row>
    <row r="64" spans="1:18" s="44" customFormat="1" ht="3" customHeight="1">
      <c r="A64" s="165"/>
      <c r="B64" s="111"/>
      <c r="D64" s="42"/>
      <c r="H64" s="46"/>
      <c r="I64" s="50"/>
      <c r="J64" s="49"/>
      <c r="K64" s="49"/>
      <c r="M64" s="1413"/>
      <c r="N64" s="521"/>
      <c r="O64" s="3"/>
      <c r="P64" s="3"/>
      <c r="Q64" s="115"/>
    </row>
    <row r="65" spans="1:18" s="44" customFormat="1" ht="12.6" customHeight="1">
      <c r="A65" s="589" t="s">
        <v>2903</v>
      </c>
      <c r="B65" s="111"/>
      <c r="D65" s="42"/>
      <c r="H65" s="180" t="s">
        <v>2912</v>
      </c>
      <c r="I65" s="590"/>
      <c r="J65" s="180" t="str">
        <f>'Part I-Project Information'!$H$90</f>
        <v>Rural</v>
      </c>
      <c r="L65" s="28"/>
      <c r="M65" s="1413"/>
      <c r="N65" s="1413"/>
      <c r="O65" s="1413"/>
      <c r="P65" s="1413"/>
      <c r="Q65" s="115"/>
    </row>
    <row r="66" spans="1:18" s="458" customFormat="1" ht="23.25" customHeight="1">
      <c r="A66" s="154" t="s">
        <v>2058</v>
      </c>
      <c r="B66" s="1843" t="s">
        <v>3922</v>
      </c>
      <c r="C66" s="1843"/>
      <c r="D66" s="1843"/>
      <c r="E66" s="1843"/>
      <c r="F66" s="1843"/>
      <c r="G66" s="1843"/>
      <c r="H66" s="1843"/>
      <c r="I66" s="1844" t="s">
        <v>3760</v>
      </c>
      <c r="J66" s="1845"/>
      <c r="K66" s="1845"/>
      <c r="L66" s="1846"/>
      <c r="M66" s="585">
        <v>5</v>
      </c>
      <c r="N66" s="430" t="s">
        <v>2058</v>
      </c>
      <c r="O66" s="3197">
        <v>0</v>
      </c>
      <c r="P66" s="1428"/>
      <c r="Q66" s="586" t="str">
        <f>IF(OR($O66=$M66,$O66=0,$O66=""),"","* * Check Score! * *")</f>
        <v/>
      </c>
      <c r="R66" s="429" t="s">
        <v>2810</v>
      </c>
    </row>
    <row r="67" spans="1:18" s="458" customFormat="1" ht="12" customHeight="1">
      <c r="A67" s="154" t="s">
        <v>2061</v>
      </c>
      <c r="B67" s="863" t="s">
        <v>3756</v>
      </c>
      <c r="C67" s="863"/>
      <c r="D67" s="863"/>
      <c r="E67" s="863"/>
      <c r="F67" s="863"/>
      <c r="G67" s="863"/>
      <c r="H67" s="863"/>
      <c r="I67" s="3198" t="s">
        <v>4311</v>
      </c>
      <c r="J67" s="3199"/>
      <c r="K67" s="3199"/>
      <c r="L67" s="3200">
        <v>8665436744</v>
      </c>
      <c r="M67" s="585">
        <v>4</v>
      </c>
      <c r="N67" s="174" t="s">
        <v>2061</v>
      </c>
      <c r="O67" s="3201">
        <v>0</v>
      </c>
      <c r="P67" s="1145"/>
      <c r="Q67" s="586" t="str">
        <f>IF(OR($O67=$M67,$O67=0,$O67=""),"","* * Check Score! * *")</f>
        <v/>
      </c>
      <c r="R67" s="429" t="s">
        <v>2810</v>
      </c>
    </row>
    <row r="68" spans="1:18" s="458" customFormat="1" ht="12" customHeight="1">
      <c r="A68" s="149" t="s">
        <v>779</v>
      </c>
      <c r="B68" s="116" t="s">
        <v>3757</v>
      </c>
      <c r="C68" s="863"/>
      <c r="D68" s="863"/>
      <c r="E68" s="863"/>
      <c r="F68" s="863"/>
      <c r="G68" s="863"/>
      <c r="H68" s="863"/>
      <c r="I68" s="3202" t="s">
        <v>4312</v>
      </c>
      <c r="J68" s="3203"/>
      <c r="K68" s="3203"/>
      <c r="L68" s="3204"/>
      <c r="M68" s="585">
        <v>3</v>
      </c>
      <c r="N68" s="192" t="s">
        <v>779</v>
      </c>
      <c r="O68" s="3201">
        <v>0</v>
      </c>
      <c r="P68" s="1145"/>
      <c r="Q68" s="586" t="str">
        <f>IF(OR($O68=$M68,$O68=0,$O68=""),"","* * Check Score! * *")</f>
        <v/>
      </c>
      <c r="R68" s="429" t="s">
        <v>2810</v>
      </c>
    </row>
    <row r="69" spans="1:18" s="44" customFormat="1" ht="12.6" customHeight="1">
      <c r="A69" s="149" t="s">
        <v>2193</v>
      </c>
      <c r="B69" s="116" t="s">
        <v>3758</v>
      </c>
      <c r="E69" s="42"/>
      <c r="I69" s="3205"/>
      <c r="J69" s="3206"/>
      <c r="K69" s="3206"/>
      <c r="L69" s="3207"/>
      <c r="M69" s="77">
        <v>2</v>
      </c>
      <c r="N69" s="192" t="s">
        <v>2193</v>
      </c>
      <c r="O69" s="3208">
        <v>0</v>
      </c>
      <c r="P69" s="619"/>
      <c r="Q69" s="413" t="str">
        <f>IF(OR($O69=$M69,$O69=0,$O69=""),"","* * Check Score! * *")</f>
        <v/>
      </c>
      <c r="R69" s="429" t="s">
        <v>2810</v>
      </c>
    </row>
    <row r="70" spans="1:18" s="44" customFormat="1" ht="12.6" customHeight="1">
      <c r="A70" s="149" t="s">
        <v>1801</v>
      </c>
      <c r="B70" s="863" t="s">
        <v>3759</v>
      </c>
      <c r="E70" s="42"/>
      <c r="I70" s="3202" t="s">
        <v>3921</v>
      </c>
      <c r="J70" s="3203"/>
      <c r="K70" s="3203"/>
      <c r="L70" s="3204"/>
      <c r="M70" s="77">
        <v>1</v>
      </c>
      <c r="N70" s="192" t="s">
        <v>1801</v>
      </c>
      <c r="O70" s="3183">
        <v>0</v>
      </c>
      <c r="P70" s="620"/>
      <c r="Q70" s="413" t="str">
        <f>IF(OR($O70=$M70,$O70=0,$O70=""),"","* * Check Score! * *")</f>
        <v/>
      </c>
      <c r="R70" s="429" t="s">
        <v>2810</v>
      </c>
    </row>
    <row r="71" spans="1:18" s="44" customFormat="1" ht="12.6" customHeight="1">
      <c r="A71" s="589" t="s">
        <v>2905</v>
      </c>
      <c r="B71" s="180"/>
      <c r="E71" s="42"/>
      <c r="I71" s="3209"/>
      <c r="J71" s="3210"/>
      <c r="K71" s="3210"/>
      <c r="L71" s="3211"/>
      <c r="M71" s="77"/>
      <c r="N71" s="77"/>
      <c r="O71" s="77"/>
      <c r="P71" s="77"/>
      <c r="Q71" s="413"/>
      <c r="R71" s="413"/>
    </row>
    <row r="72" spans="1:18" s="108" customFormat="1" ht="12" customHeight="1">
      <c r="A72" s="149" t="s">
        <v>1802</v>
      </c>
      <c r="B72" s="180" t="s">
        <v>3923</v>
      </c>
      <c r="C72" s="180"/>
      <c r="D72" s="180"/>
      <c r="E72" s="180"/>
      <c r="F72" s="180"/>
      <c r="G72" s="180"/>
      <c r="H72" s="180"/>
      <c r="I72" s="180"/>
      <c r="J72" s="180"/>
      <c r="K72" s="180"/>
      <c r="L72" s="180"/>
      <c r="M72" s="77">
        <v>2</v>
      </c>
      <c r="N72" s="192" t="s">
        <v>1802</v>
      </c>
      <c r="O72" s="3196">
        <v>2</v>
      </c>
      <c r="P72" s="1143"/>
      <c r="Q72" s="413" t="str">
        <f>IF(OR($O72=$M72,$O72=0,$O72=""),"","* * Check Score! * *")</f>
        <v/>
      </c>
      <c r="R72" s="429" t="s">
        <v>2810</v>
      </c>
    </row>
    <row r="73" spans="1:18" s="44" customFormat="1" ht="12.6" customHeight="1">
      <c r="A73" s="37" t="s">
        <v>3744</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3"/>
    </row>
    <row r="75" spans="1:18" s="44" customFormat="1" ht="39" customHeight="1">
      <c r="A75" s="3073" t="s">
        <v>4360</v>
      </c>
      <c r="B75" s="3074"/>
      <c r="C75" s="3074"/>
      <c r="D75" s="3074"/>
      <c r="E75" s="3074"/>
      <c r="F75" s="3074"/>
      <c r="G75" s="3074"/>
      <c r="H75" s="3074"/>
      <c r="I75" s="3074"/>
      <c r="J75" s="3074"/>
      <c r="K75" s="3074"/>
      <c r="L75" s="3074"/>
      <c r="M75" s="3074"/>
      <c r="N75" s="3074"/>
      <c r="O75" s="3074"/>
      <c r="P75" s="3075"/>
      <c r="Q75" s="496" t="s">
        <v>1301</v>
      </c>
    </row>
    <row r="76" spans="1:18" s="108" customFormat="1" ht="11.45" customHeight="1">
      <c r="A76" s="43"/>
      <c r="B76" s="103" t="s">
        <v>1937</v>
      </c>
      <c r="C76" s="43"/>
      <c r="D76" s="103"/>
      <c r="E76" s="1423"/>
      <c r="F76" s="1423"/>
      <c r="G76" s="1423"/>
      <c r="H76" s="1423"/>
      <c r="I76" s="1423"/>
      <c r="J76" s="1423"/>
      <c r="K76" s="1423"/>
      <c r="L76" s="1423"/>
      <c r="M76" s="1423"/>
      <c r="N76" s="99"/>
      <c r="O76" s="1161"/>
      <c r="P76" s="1413"/>
      <c r="Q76" s="473"/>
    </row>
    <row r="77" spans="1:18" s="44" customFormat="1" ht="12.75" customHeight="1">
      <c r="A77" s="1705"/>
      <c r="B77" s="1706"/>
      <c r="C77" s="1706"/>
      <c r="D77" s="1706"/>
      <c r="E77" s="1706"/>
      <c r="F77" s="1706"/>
      <c r="G77" s="1706"/>
      <c r="H77" s="1706"/>
      <c r="I77" s="1706"/>
      <c r="J77" s="1706"/>
      <c r="K77" s="1706"/>
      <c r="L77" s="1706"/>
      <c r="M77" s="1706"/>
      <c r="N77" s="1706"/>
      <c r="O77" s="1706"/>
      <c r="P77" s="1707"/>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3">
        <v>2</v>
      </c>
      <c r="N79" s="437" t="str">
        <f>IF(OR($O79=$M79,$O79=0,$O79=""),"","***")</f>
        <v/>
      </c>
      <c r="O79" s="3212">
        <v>0</v>
      </c>
      <c r="P79" s="1143"/>
      <c r="Q79" s="115" t="s">
        <v>456</v>
      </c>
      <c r="R79" s="429" t="s">
        <v>2810</v>
      </c>
    </row>
    <row r="80" spans="1:18" s="44" customFormat="1" ht="12.6" customHeight="1">
      <c r="A80" s="154" t="s">
        <v>2058</v>
      </c>
      <c r="B80" s="434" t="s">
        <v>2714</v>
      </c>
      <c r="D80" s="42"/>
      <c r="E80" s="37"/>
      <c r="K80" s="3213" t="s">
        <v>1006</v>
      </c>
      <c r="L80" s="3214"/>
      <c r="M80" s="3215"/>
      <c r="P80" s="521"/>
      <c r="Q80" s="115"/>
    </row>
    <row r="81" spans="1:18" s="44" customFormat="1" ht="12.6" customHeight="1">
      <c r="A81" s="154" t="s">
        <v>2061</v>
      </c>
      <c r="B81" s="434" t="s">
        <v>3653</v>
      </c>
      <c r="D81" s="42"/>
      <c r="E81" s="37"/>
      <c r="K81" s="3213" t="s">
        <v>1006</v>
      </c>
      <c r="L81" s="3214"/>
      <c r="M81" s="3215"/>
      <c r="O81" s="127" t="s">
        <v>2597</v>
      </c>
      <c r="P81" s="127" t="s">
        <v>2597</v>
      </c>
      <c r="Q81" s="115"/>
    </row>
    <row r="82" spans="1:18" s="44" customFormat="1" ht="12.6" customHeight="1">
      <c r="A82" s="149" t="s">
        <v>779</v>
      </c>
      <c r="B82" s="434" t="s">
        <v>3745</v>
      </c>
      <c r="D82" s="42"/>
      <c r="E82" s="37"/>
      <c r="N82" s="192" t="s">
        <v>779</v>
      </c>
      <c r="O82" s="3069" t="s">
        <v>4310</v>
      </c>
      <c r="P82" s="623"/>
      <c r="Q82" s="115"/>
    </row>
    <row r="83" spans="1:18" s="108" customFormat="1" ht="11.45" customHeight="1">
      <c r="A83" s="43"/>
      <c r="B83" s="103" t="s">
        <v>1937</v>
      </c>
      <c r="C83" s="43"/>
      <c r="D83" s="103"/>
      <c r="E83" s="1423"/>
      <c r="F83" s="1423"/>
      <c r="G83" s="1423"/>
      <c r="H83" s="1423"/>
      <c r="I83" s="1423"/>
      <c r="J83" s="1423"/>
      <c r="K83" s="1423"/>
      <c r="L83" s="1423"/>
      <c r="M83" s="1423"/>
      <c r="N83" s="99"/>
      <c r="O83" s="1161"/>
      <c r="P83" s="1413"/>
      <c r="Q83" s="473"/>
    </row>
    <row r="84" spans="1:18" s="44" customFormat="1" ht="12.75" customHeight="1">
      <c r="A84" s="1705"/>
      <c r="B84" s="1706"/>
      <c r="C84" s="1706"/>
      <c r="D84" s="1706"/>
      <c r="E84" s="1706"/>
      <c r="F84" s="1706"/>
      <c r="G84" s="1706"/>
      <c r="H84" s="1706"/>
      <c r="I84" s="1706"/>
      <c r="J84" s="1706"/>
      <c r="K84" s="1706"/>
      <c r="L84" s="1706"/>
      <c r="M84" s="1706"/>
      <c r="N84" s="1706"/>
      <c r="O84" s="1706"/>
      <c r="P84" s="1707"/>
      <c r="Q84" s="496" t="s">
        <v>1301</v>
      </c>
    </row>
    <row r="85" spans="1:18" ht="3" customHeight="1">
      <c r="B85" s="125"/>
      <c r="C85" s="125"/>
      <c r="D85" s="125"/>
      <c r="E85" s="125"/>
      <c r="R85" s="44"/>
    </row>
    <row r="86" spans="1:18" s="44" customFormat="1" ht="12.6" customHeight="1">
      <c r="A86" s="165" t="s">
        <v>1955</v>
      </c>
      <c r="B86" s="112" t="s">
        <v>223</v>
      </c>
      <c r="D86" s="40"/>
      <c r="E86" s="37"/>
      <c r="M86" s="1413">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29" t="s">
        <v>4313</v>
      </c>
      <c r="J87" s="3216"/>
      <c r="K87" s="2630"/>
      <c r="M87" s="1413"/>
      <c r="N87" s="437"/>
      <c r="O87" s="479"/>
      <c r="P87" s="479"/>
      <c r="Q87" s="115"/>
    </row>
    <row r="88" spans="1:18" s="44" customFormat="1" ht="12.6" customHeight="1">
      <c r="A88" s="165"/>
      <c r="B88" s="92" t="s">
        <v>2912</v>
      </c>
      <c r="G88" s="42"/>
      <c r="H88" s="42"/>
      <c r="I88" s="822" t="str">
        <f>'Part I-Project Information'!$H$90</f>
        <v>Rural</v>
      </c>
      <c r="K88" s="28"/>
      <c r="M88" s="1413"/>
      <c r="N88" s="437"/>
      <c r="O88" s="127" t="s">
        <v>2597</v>
      </c>
      <c r="P88" s="127" t="s">
        <v>2597</v>
      </c>
      <c r="Q88" s="115"/>
    </row>
    <row r="89" spans="1:18" s="44" customFormat="1" ht="6" customHeight="1">
      <c r="A89" s="165"/>
      <c r="B89" s="92"/>
      <c r="G89" s="42"/>
      <c r="H89" s="42"/>
      <c r="I89" s="822"/>
      <c r="K89" s="28"/>
      <c r="M89" s="1413"/>
      <c r="N89" s="437"/>
      <c r="O89" s="127"/>
      <c r="P89" s="127"/>
      <c r="Q89" s="115"/>
    </row>
    <row r="90" spans="1:18" s="44" customFormat="1" ht="12.6" customHeight="1">
      <c r="B90" s="1925" t="s">
        <v>4077</v>
      </c>
      <c r="C90" s="1926"/>
      <c r="D90" s="1926"/>
      <c r="E90" s="1926"/>
      <c r="F90" s="1927"/>
      <c r="G90" s="477" t="s">
        <v>4078</v>
      </c>
      <c r="H90" s="3217">
        <v>42474</v>
      </c>
      <c r="I90" s="3218" t="s">
        <v>4314</v>
      </c>
      <c r="J90" s="3219"/>
      <c r="K90" s="3218" t="s">
        <v>4244</v>
      </c>
      <c r="L90" s="3220"/>
      <c r="M90" s="3219"/>
      <c r="N90" s="192"/>
      <c r="O90" s="3151" t="s">
        <v>3153</v>
      </c>
      <c r="P90" s="624"/>
      <c r="Q90" s="115"/>
    </row>
    <row r="91" spans="1:18" ht="11.45" customHeight="1">
      <c r="B91" s="1928"/>
      <c r="C91" s="1929"/>
      <c r="D91" s="1929"/>
      <c r="E91" s="1929"/>
      <c r="F91" s="1930"/>
      <c r="G91" s="477" t="s">
        <v>4078</v>
      </c>
      <c r="H91" s="3221">
        <v>42474</v>
      </c>
      <c r="I91" s="3222" t="s">
        <v>4315</v>
      </c>
      <c r="J91" s="3223"/>
      <c r="K91" s="3222" t="s">
        <v>4242</v>
      </c>
      <c r="L91" s="3224"/>
      <c r="M91" s="3223"/>
      <c r="N91" s="28"/>
      <c r="O91" s="28"/>
      <c r="P91" s="28"/>
    </row>
    <row r="92" spans="1:18" s="44" customFormat="1" ht="12.6" customHeight="1">
      <c r="A92" s="165"/>
      <c r="B92" s="480" t="s">
        <v>4171</v>
      </c>
      <c r="G92" s="42"/>
      <c r="H92" s="42"/>
      <c r="I92" s="822"/>
      <c r="K92" s="28"/>
      <c r="M92" s="1413"/>
      <c r="N92" s="437"/>
      <c r="O92" s="3069" t="s">
        <v>3153</v>
      </c>
      <c r="P92" s="623"/>
      <c r="Q92" s="115"/>
    </row>
    <row r="93" spans="1:18" s="44" customFormat="1" ht="12.6" customHeight="1">
      <c r="A93" s="165"/>
      <c r="B93" s="92" t="s">
        <v>4177</v>
      </c>
      <c r="G93" s="42"/>
      <c r="H93" s="42"/>
      <c r="I93" s="311" t="s">
        <v>4178</v>
      </c>
      <c r="J93" s="3225"/>
      <c r="K93" s="311" t="s">
        <v>4176</v>
      </c>
      <c r="L93" s="3225"/>
      <c r="M93" s="1413"/>
      <c r="N93" s="437"/>
      <c r="O93" s="3069" t="s">
        <v>4310</v>
      </c>
      <c r="P93" s="623"/>
      <c r="Q93" s="115"/>
    </row>
    <row r="94" spans="1:18" s="44" customFormat="1" ht="6" customHeight="1">
      <c r="A94" s="165"/>
      <c r="B94" s="92"/>
      <c r="G94" s="42"/>
      <c r="H94" s="42"/>
      <c r="I94" s="822"/>
      <c r="K94" s="28"/>
      <c r="M94" s="1413"/>
      <c r="N94" s="1413"/>
      <c r="O94" s="1413"/>
      <c r="P94" s="1413"/>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4169</v>
      </c>
      <c r="D96" s="42"/>
      <c r="M96" s="1413"/>
      <c r="O96" s="3069" t="s">
        <v>3156</v>
      </c>
      <c r="P96" s="623"/>
      <c r="Q96" s="115"/>
    </row>
    <row r="97" spans="1:17" ht="11.45" customHeight="1">
      <c r="B97" s="411" t="s">
        <v>2062</v>
      </c>
      <c r="C97" s="422" t="s">
        <v>2715</v>
      </c>
      <c r="E97" s="125"/>
      <c r="N97" s="28"/>
      <c r="O97" s="28"/>
      <c r="P97" s="28"/>
    </row>
    <row r="98" spans="1:17" ht="11.25" customHeight="1">
      <c r="A98" s="457"/>
      <c r="B98" s="428"/>
      <c r="C98" s="1351" t="s">
        <v>4170</v>
      </c>
      <c r="D98" s="1350"/>
      <c r="E98" s="1350"/>
      <c r="F98" s="1350"/>
      <c r="G98" s="1350"/>
      <c r="H98" s="1350"/>
      <c r="I98" s="1350"/>
      <c r="J98" s="1350"/>
      <c r="K98" s="1350"/>
      <c r="L98" s="3225"/>
      <c r="M98" s="425"/>
      <c r="N98" s="28"/>
      <c r="O98" s="28"/>
      <c r="P98" s="28"/>
    </row>
    <row r="99" spans="1:17" ht="11.45" customHeight="1">
      <c r="B99" s="411" t="s">
        <v>2064</v>
      </c>
      <c r="C99" s="422" t="s">
        <v>3924</v>
      </c>
      <c r="E99" s="125"/>
      <c r="M99" s="426"/>
      <c r="N99" s="28"/>
      <c r="O99" s="28"/>
      <c r="P99" s="28"/>
    </row>
    <row r="100" spans="1:17" ht="11.25" customHeight="1">
      <c r="A100" s="457"/>
      <c r="B100" s="427" t="s">
        <v>2520</v>
      </c>
      <c r="C100" s="1351" t="s">
        <v>4175</v>
      </c>
      <c r="D100" s="1350"/>
      <c r="E100" s="1350"/>
      <c r="F100" s="1350"/>
      <c r="G100" s="1350"/>
      <c r="H100" s="1350"/>
      <c r="K100" s="1350"/>
      <c r="L100" s="3226"/>
      <c r="M100" s="425"/>
      <c r="N100" s="28"/>
      <c r="O100" s="28"/>
      <c r="P100" s="28"/>
    </row>
    <row r="101" spans="1:17" ht="11.25" customHeight="1">
      <c r="A101" s="457"/>
      <c r="B101" s="412" t="s">
        <v>2521</v>
      </c>
      <c r="C101" s="1351" t="s">
        <v>4172</v>
      </c>
      <c r="D101" s="1350"/>
      <c r="E101" s="1350"/>
      <c r="F101" s="1350"/>
      <c r="G101" s="1350"/>
      <c r="H101" s="1350"/>
      <c r="I101" s="3227" t="s">
        <v>4173</v>
      </c>
      <c r="J101" s="3228"/>
      <c r="K101" s="3227" t="s">
        <v>4174</v>
      </c>
      <c r="L101" s="3229"/>
      <c r="M101" s="3228"/>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2840</v>
      </c>
      <c r="D103" s="42"/>
      <c r="M103" s="1413"/>
      <c r="N103" s="537" t="s">
        <v>2062</v>
      </c>
      <c r="O103" s="3108" t="s">
        <v>3153</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2837</v>
      </c>
      <c r="D104" s="42"/>
      <c r="M104" s="1413"/>
      <c r="N104" s="537" t="s">
        <v>2064</v>
      </c>
      <c r="O104" s="3111" t="s">
        <v>3153</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2838</v>
      </c>
      <c r="D105" s="42"/>
      <c r="M105" s="1413"/>
      <c r="N105" s="537" t="s">
        <v>2622</v>
      </c>
      <c r="O105" s="3111" t="s">
        <v>3153</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2839</v>
      </c>
      <c r="D106" s="42"/>
      <c r="M106" s="1413"/>
      <c r="N106" s="537" t="s">
        <v>1270</v>
      </c>
      <c r="O106" s="3109" t="s">
        <v>3153</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3"/>
    </row>
    <row r="109" spans="1:17" s="44" customFormat="1" ht="12.75" customHeight="1">
      <c r="A109" s="3230" t="s">
        <v>4338</v>
      </c>
      <c r="B109" s="3231"/>
      <c r="C109" s="3231"/>
      <c r="D109" s="3231"/>
      <c r="E109" s="3231"/>
      <c r="F109" s="3231"/>
      <c r="G109" s="3231"/>
      <c r="H109" s="3231"/>
      <c r="I109" s="3231"/>
      <c r="J109" s="3231"/>
      <c r="K109" s="3231"/>
      <c r="L109" s="3231"/>
      <c r="M109" s="3231"/>
      <c r="N109" s="3231"/>
      <c r="O109" s="3231"/>
      <c r="P109" s="3232"/>
      <c r="Q109" s="496" t="s">
        <v>1301</v>
      </c>
    </row>
    <row r="110" spans="1:17" s="44" customFormat="1" ht="11.25" customHeight="1">
      <c r="B110" s="103" t="s">
        <v>1937</v>
      </c>
      <c r="C110" s="43"/>
      <c r="D110" s="91"/>
      <c r="E110" s="1418"/>
      <c r="F110" s="1418"/>
      <c r="G110" s="1418"/>
      <c r="H110" s="1418"/>
      <c r="I110" s="1418"/>
      <c r="J110" s="1418"/>
      <c r="K110" s="1418"/>
      <c r="L110" s="1418"/>
      <c r="M110" s="1418"/>
      <c r="N110" s="79"/>
      <c r="O110" s="75"/>
      <c r="P110" s="1413"/>
      <c r="Q110" s="473"/>
    </row>
    <row r="111" spans="1:17" s="44" customFormat="1" ht="12.75" customHeight="1">
      <c r="A111" s="1826"/>
      <c r="B111" s="1827"/>
      <c r="C111" s="1827"/>
      <c r="D111" s="1827"/>
      <c r="E111" s="1827"/>
      <c r="F111" s="1827"/>
      <c r="G111" s="1827"/>
      <c r="H111" s="1827"/>
      <c r="I111" s="1827"/>
      <c r="J111" s="1827"/>
      <c r="K111" s="1827"/>
      <c r="L111" s="1827"/>
      <c r="M111" s="1827"/>
      <c r="N111" s="1827"/>
      <c r="O111" s="1827"/>
      <c r="P111" s="1828"/>
      <c r="Q111" s="496" t="s">
        <v>1301</v>
      </c>
    </row>
    <row r="112" spans="1:17" s="44" customFormat="1" ht="3" customHeight="1">
      <c r="A112" s="43"/>
      <c r="D112" s="40"/>
      <c r="E112" s="37"/>
      <c r="F112" s="1189"/>
      <c r="G112" s="1189"/>
      <c r="H112" s="1189"/>
      <c r="I112" s="1189"/>
      <c r="J112" s="1219"/>
      <c r="K112" s="1219"/>
      <c r="L112" s="1219"/>
      <c r="M112" s="63"/>
      <c r="N112" s="1189"/>
      <c r="O112" s="1417"/>
      <c r="P112" s="3"/>
    </row>
    <row r="113" spans="1:18" s="108" customFormat="1" ht="12.6" customHeight="1">
      <c r="A113" s="165" t="s">
        <v>521</v>
      </c>
      <c r="B113" s="112" t="s">
        <v>2904</v>
      </c>
      <c r="C113" s="98"/>
      <c r="D113" s="62"/>
      <c r="E113" s="62"/>
      <c r="H113" s="188" t="s">
        <v>3925</v>
      </c>
      <c r="M113" s="1413">
        <v>8</v>
      </c>
      <c r="N113" s="7"/>
      <c r="O113" s="1195">
        <f>O115+O122+O125</f>
        <v>5</v>
      </c>
      <c r="P113" s="1195">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82" t="s">
        <v>3928</v>
      </c>
      <c r="B115" s="1157" t="s">
        <v>3926</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2"/>
      <c r="Q115" s="115"/>
      <c r="R115" s="44"/>
    </row>
    <row r="116" spans="1:18" ht="11.45" customHeight="1">
      <c r="A116" s="1882"/>
      <c r="B116" s="116" t="s">
        <v>2912</v>
      </c>
      <c r="C116" s="587"/>
      <c r="D116" s="587"/>
      <c r="E116" s="588" t="str">
        <f>'Part I-Project Information'!$H$90</f>
        <v>Rural</v>
      </c>
      <c r="N116" s="28"/>
      <c r="O116" s="127" t="s">
        <v>2597</v>
      </c>
      <c r="P116" s="127" t="s">
        <v>2597</v>
      </c>
    </row>
    <row r="117" spans="1:18" ht="11.45" customHeight="1">
      <c r="A117" s="1882"/>
      <c r="B117" s="411" t="s">
        <v>2062</v>
      </c>
      <c r="C117" s="488" t="s">
        <v>2785</v>
      </c>
      <c r="E117" s="125"/>
      <c r="M117" s="85"/>
      <c r="N117" s="28"/>
      <c r="O117" s="3151" t="s">
        <v>3153</v>
      </c>
      <c r="P117" s="624"/>
      <c r="Q117" s="1899" t="str">
        <f>IF(AND(O117="Yes",O120="Yes"),"Only 1 or 4 can be 'Yes'!","")</f>
        <v/>
      </c>
      <c r="R117" s="1899"/>
    </row>
    <row r="118" spans="1:18" ht="11.45" customHeight="1">
      <c r="B118" s="411" t="s">
        <v>2064</v>
      </c>
      <c r="C118" s="488" t="s">
        <v>2853</v>
      </c>
      <c r="D118" s="3233">
        <v>0.15</v>
      </c>
      <c r="E118" s="488" t="s">
        <v>2854</v>
      </c>
      <c r="G118" s="106" t="s">
        <v>2474</v>
      </c>
      <c r="K118" s="145" t="s">
        <v>2852</v>
      </c>
      <c r="L118" s="3234">
        <v>0.114</v>
      </c>
      <c r="M118" s="1193" t="str">
        <f>IF(L118&gt;D118,"CHECK ACTUAL PERCENT!!!","")</f>
        <v/>
      </c>
      <c r="N118" s="476"/>
      <c r="Q118" s="1899"/>
      <c r="R118" s="1899"/>
    </row>
    <row r="119" spans="1:18" ht="11.45" customHeight="1">
      <c r="B119" s="411" t="s">
        <v>2622</v>
      </c>
      <c r="C119" s="462" t="s">
        <v>2475</v>
      </c>
      <c r="E119" s="125"/>
      <c r="G119" s="106" t="s">
        <v>2476</v>
      </c>
      <c r="K119" s="533" t="s">
        <v>2844</v>
      </c>
      <c r="L119" s="3235" t="s">
        <v>4316</v>
      </c>
      <c r="Q119" s="1899"/>
      <c r="R119" s="1899"/>
    </row>
    <row r="120" spans="1:18" ht="11.45" customHeight="1">
      <c r="B120" s="411" t="s">
        <v>1270</v>
      </c>
      <c r="C120" s="1881" t="s">
        <v>3932</v>
      </c>
      <c r="D120" s="1881"/>
      <c r="E120" s="1881"/>
      <c r="F120" s="1881"/>
      <c r="G120" s="1881"/>
      <c r="H120" s="1881"/>
      <c r="I120" s="1881"/>
      <c r="J120" s="1881"/>
      <c r="K120" s="1881"/>
      <c r="L120" s="1881"/>
      <c r="M120" s="1881"/>
      <c r="N120" s="28"/>
      <c r="O120" s="3151" t="s">
        <v>4310</v>
      </c>
      <c r="P120" s="624"/>
      <c r="Q120" s="1899"/>
      <c r="R120" s="1899"/>
    </row>
    <row r="121" spans="1:18" ht="11.45" customHeight="1">
      <c r="B121" s="411"/>
      <c r="C121" s="1881"/>
      <c r="D121" s="1881"/>
      <c r="E121" s="1881"/>
      <c r="F121" s="1881"/>
      <c r="G121" s="1881"/>
      <c r="H121" s="1881"/>
      <c r="I121" s="1881"/>
      <c r="J121" s="1881"/>
      <c r="K121" s="1881"/>
      <c r="L121" s="1881"/>
      <c r="M121" s="1881"/>
    </row>
    <row r="122" spans="1:18" ht="11.45" customHeight="1">
      <c r="A122" s="590" t="s">
        <v>779</v>
      </c>
      <c r="B122" s="1191" t="s">
        <v>3927</v>
      </c>
      <c r="C122" s="462"/>
      <c r="E122" s="125"/>
      <c r="G122" s="106"/>
      <c r="K122" s="1443" t="s">
        <v>3910</v>
      </c>
      <c r="L122" s="1443" t="s">
        <v>3911</v>
      </c>
      <c r="M122" s="130">
        <v>3</v>
      </c>
      <c r="O122" s="1195">
        <f>IF(OR(K123="A2",K123="A3",K123="B1"),3,IF(OR(K123="A1",K123="B2",K123="C1"),2,IF(OR(K123="B3",K123="C2"),1,0)))</f>
        <v>3</v>
      </c>
      <c r="P122" s="81">
        <f>IF(OR(L123="A2",L123="A3",L123="B1"),3,IF(OR(L123="A1",L123="B2",L123="C1"),2,IF(OR(L123="B3",L123="C2"),1,0)))</f>
        <v>0</v>
      </c>
    </row>
    <row r="123" spans="1:18" ht="11.45" customHeight="1">
      <c r="A123" s="590"/>
      <c r="B123" s="1931" t="s">
        <v>3931</v>
      </c>
      <c r="C123" s="1931"/>
      <c r="D123" s="1931"/>
      <c r="E123" s="1931"/>
      <c r="F123" s="1931"/>
      <c r="G123" s="1931"/>
      <c r="H123" s="1931"/>
      <c r="I123" s="1931"/>
      <c r="J123" s="1931"/>
      <c r="K123" s="3236" t="s">
        <v>4317</v>
      </c>
      <c r="L123" s="624" t="s">
        <v>207</v>
      </c>
      <c r="O123" s="1189"/>
      <c r="P123" s="1189"/>
    </row>
    <row r="124" spans="1:18" ht="11.45" customHeight="1">
      <c r="A124" s="590"/>
      <c r="B124" s="1931"/>
      <c r="C124" s="1931"/>
      <c r="D124" s="1931"/>
      <c r="E124" s="1931"/>
      <c r="F124" s="1931"/>
      <c r="G124" s="1931"/>
      <c r="H124" s="1931"/>
      <c r="I124" s="1931"/>
      <c r="J124" s="1931"/>
      <c r="O124" s="1189"/>
      <c r="P124" s="1189"/>
    </row>
    <row r="125" spans="1:18" ht="11.45" customHeight="1">
      <c r="A125" s="590" t="s">
        <v>2193</v>
      </c>
      <c r="B125" s="1191" t="s">
        <v>3929</v>
      </c>
      <c r="C125" s="462"/>
      <c r="E125" s="125"/>
      <c r="G125" s="533" t="s">
        <v>3930</v>
      </c>
      <c r="H125" s="1192">
        <f>'Part VI-Revenues &amp; Expenses'!$O$59</f>
        <v>0</v>
      </c>
      <c r="I125" s="1443" t="s">
        <v>3945</v>
      </c>
      <c r="J125" s="1192">
        <f>'Part VI-Revenues &amp; Expenses'!$O$62</f>
        <v>72</v>
      </c>
      <c r="K125" s="1443" t="s">
        <v>3946</v>
      </c>
      <c r="L125" s="1194">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8"/>
      <c r="F126" s="1418"/>
      <c r="G126" s="1418"/>
      <c r="H126" s="1418"/>
      <c r="I126" s="1418"/>
      <c r="J126" s="1418"/>
      <c r="K126" s="1418"/>
      <c r="L126" s="1418"/>
      <c r="M126" s="1418"/>
      <c r="N126" s="79"/>
      <c r="O126" s="75"/>
      <c r="P126" s="1413"/>
      <c r="Q126" s="473"/>
    </row>
    <row r="127" spans="1:18" s="44" customFormat="1" ht="12.75" customHeight="1">
      <c r="A127" s="1826"/>
      <c r="B127" s="1827"/>
      <c r="C127" s="1827"/>
      <c r="D127" s="1827"/>
      <c r="E127" s="1827"/>
      <c r="F127" s="1827"/>
      <c r="G127" s="1827"/>
      <c r="H127" s="1827"/>
      <c r="I127" s="1827"/>
      <c r="J127" s="1827"/>
      <c r="K127" s="1827"/>
      <c r="L127" s="1827"/>
      <c r="M127" s="1827"/>
      <c r="N127" s="1827"/>
      <c r="O127" s="1827"/>
      <c r="P127" s="1828"/>
      <c r="Q127" s="496" t="s">
        <v>1301</v>
      </c>
    </row>
    <row r="128" spans="1:18" s="44" customFormat="1" ht="3" customHeight="1">
      <c r="A128" s="43"/>
      <c r="D128" s="40"/>
      <c r="E128" s="37"/>
      <c r="F128" s="1189"/>
      <c r="G128" s="1189"/>
      <c r="H128" s="1189"/>
      <c r="I128" s="1189"/>
      <c r="J128" s="1219"/>
      <c r="K128" s="1219"/>
      <c r="L128" s="1219"/>
      <c r="M128" s="63"/>
      <c r="N128" s="1189"/>
      <c r="O128" s="1417"/>
      <c r="P128" s="3"/>
    </row>
    <row r="129" spans="1:18" s="108" customFormat="1" ht="12.6" customHeight="1">
      <c r="A129" s="165" t="s">
        <v>522</v>
      </c>
      <c r="B129" s="112" t="s">
        <v>3569</v>
      </c>
      <c r="C129" s="98"/>
      <c r="D129" s="62"/>
      <c r="E129" s="62"/>
      <c r="H129" s="763"/>
      <c r="J129" s="3237" t="s">
        <v>3580</v>
      </c>
      <c r="K129" s="3238"/>
      <c r="L129" s="3239"/>
      <c r="M129" s="1413">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9" t="s">
        <v>4079</v>
      </c>
      <c r="E131" s="34"/>
      <c r="G131" s="3240"/>
      <c r="H131" s="3241"/>
      <c r="I131" s="3241"/>
      <c r="J131" s="3241"/>
      <c r="K131" s="3241"/>
      <c r="L131" s="3241"/>
      <c r="M131" s="3241"/>
      <c r="N131" s="3241"/>
      <c r="O131" s="3241"/>
      <c r="P131" s="3242"/>
    </row>
    <row r="132" spans="1:18" ht="6" customHeight="1">
      <c r="A132" s="583"/>
      <c r="B132" s="533"/>
      <c r="D132" s="762"/>
      <c r="E132" s="533"/>
      <c r="G132" s="773"/>
      <c r="H132" s="774"/>
      <c r="N132" s="28"/>
      <c r="O132" s="28"/>
      <c r="P132" s="28"/>
    </row>
    <row r="133" spans="1:18" s="44" customFormat="1" ht="12" customHeight="1">
      <c r="A133" s="149"/>
      <c r="B133" s="57" t="s">
        <v>3055</v>
      </c>
      <c r="D133" s="34"/>
      <c r="N133" s="521"/>
      <c r="O133" s="3151" t="s">
        <v>4310</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2971</v>
      </c>
      <c r="E135" s="41"/>
      <c r="O135" s="127" t="s">
        <v>2597</v>
      </c>
      <c r="P135" s="127" t="s">
        <v>2597</v>
      </c>
    </row>
    <row r="136" spans="1:18" s="44" customFormat="1" ht="11.45" customHeight="1">
      <c r="A136" s="410"/>
      <c r="B136" s="427" t="s">
        <v>2520</v>
      </c>
      <c r="C136" s="57" t="s">
        <v>3710</v>
      </c>
      <c r="D136" s="108"/>
      <c r="E136" s="41"/>
      <c r="G136" s="57" t="s">
        <v>3711</v>
      </c>
      <c r="L136" s="3243"/>
      <c r="M136" s="3243"/>
      <c r="N136" s="427" t="s">
        <v>2520</v>
      </c>
      <c r="O136" s="3108" t="s">
        <v>4310</v>
      </c>
      <c r="P136" s="626"/>
    </row>
    <row r="137" spans="1:18" s="44" customFormat="1" ht="11.45" customHeight="1">
      <c r="A137" s="410"/>
      <c r="B137" s="412" t="s">
        <v>2521</v>
      </c>
      <c r="C137" s="1829" t="s">
        <v>3933</v>
      </c>
      <c r="D137" s="1829"/>
      <c r="E137" s="1829"/>
      <c r="F137" s="1829"/>
      <c r="G137" s="57" t="s">
        <v>3575</v>
      </c>
      <c r="L137" s="3244"/>
      <c r="M137" s="3244"/>
      <c r="N137" s="412" t="s">
        <v>2521</v>
      </c>
      <c r="O137" s="3109" t="s">
        <v>4310</v>
      </c>
      <c r="P137" s="628"/>
    </row>
    <row r="138" spans="1:18" s="44" customFormat="1" ht="11.45" customHeight="1">
      <c r="A138" s="410"/>
      <c r="B138" s="412"/>
      <c r="C138" s="1829"/>
      <c r="D138" s="1829"/>
      <c r="E138" s="1829"/>
      <c r="F138" s="1829"/>
      <c r="G138" s="57" t="s">
        <v>3053</v>
      </c>
      <c r="L138" s="3192"/>
      <c r="M138" s="3194"/>
    </row>
    <row r="139" spans="1:18" s="44" customFormat="1" ht="11.45" customHeight="1">
      <c r="A139" s="410"/>
      <c r="B139" s="412"/>
      <c r="C139" s="1829"/>
      <c r="D139" s="1829"/>
      <c r="E139" s="1829"/>
      <c r="F139" s="1829"/>
      <c r="G139" s="57" t="s">
        <v>2948</v>
      </c>
      <c r="J139" s="3184" t="s">
        <v>2950</v>
      </c>
      <c r="K139" s="3186"/>
      <c r="L139" s="3245" t="s">
        <v>2950</v>
      </c>
      <c r="M139" s="3246"/>
    </row>
    <row r="140" spans="1:18" s="44" customFormat="1" ht="11.45" customHeight="1">
      <c r="A140" s="410"/>
      <c r="B140" s="412"/>
      <c r="C140" s="533"/>
      <c r="D140" s="108"/>
      <c r="E140" s="41"/>
      <c r="G140" s="57" t="s">
        <v>2949</v>
      </c>
      <c r="J140" s="3247"/>
      <c r="K140" s="3248"/>
      <c r="L140" s="3247"/>
      <c r="M140" s="3248"/>
    </row>
    <row r="141" spans="1:18" s="44" customFormat="1" ht="11.45" customHeight="1">
      <c r="A141" s="410"/>
      <c r="B141" s="412"/>
      <c r="C141" s="533"/>
      <c r="D141" s="108"/>
      <c r="E141" s="41"/>
      <c r="G141" s="1878" t="s">
        <v>4083</v>
      </c>
      <c r="H141" s="1878"/>
      <c r="I141" s="57" t="s">
        <v>1778</v>
      </c>
      <c r="J141" s="3249" t="s">
        <v>4081</v>
      </c>
      <c r="K141" s="3250"/>
      <c r="L141" s="3249" t="s">
        <v>4081</v>
      </c>
      <c r="M141" s="3250"/>
    </row>
    <row r="142" spans="1:18" s="44" customFormat="1" ht="11.45" customHeight="1">
      <c r="A142" s="410"/>
      <c r="B142" s="412"/>
      <c r="C142" s="533"/>
      <c r="D142" s="108"/>
      <c r="E142" s="41"/>
      <c r="G142" s="1878"/>
      <c r="H142" s="1878"/>
      <c r="I142" s="57" t="s">
        <v>4082</v>
      </c>
      <c r="J142" s="3192"/>
      <c r="K142" s="3194"/>
      <c r="L142" s="3192"/>
      <c r="M142" s="3194"/>
    </row>
    <row r="143" spans="1:18" ht="11.25" customHeight="1">
      <c r="B143" s="412" t="s">
        <v>2522</v>
      </c>
      <c r="C143" s="1829" t="s">
        <v>3934</v>
      </c>
      <c r="D143" s="1829"/>
      <c r="E143" s="1829"/>
      <c r="F143" s="1829"/>
      <c r="G143" s="480" t="s">
        <v>3054</v>
      </c>
      <c r="L143" s="3251"/>
      <c r="M143" s="3252"/>
      <c r="N143" s="412" t="s">
        <v>2522</v>
      </c>
      <c r="O143" s="3151" t="s">
        <v>4310</v>
      </c>
      <c r="P143" s="624"/>
    </row>
    <row r="144" spans="1:18" ht="11.25" customHeight="1">
      <c r="B144" s="412"/>
      <c r="C144" s="1829"/>
      <c r="D144" s="1829"/>
      <c r="E144" s="1829"/>
      <c r="F144" s="1829"/>
      <c r="G144" s="57" t="s">
        <v>3721</v>
      </c>
      <c r="L144" s="3247"/>
      <c r="M144" s="3248"/>
      <c r="N144" s="28"/>
      <c r="O144" s="28"/>
      <c r="P144" s="28"/>
    </row>
    <row r="145" spans="1:25" ht="11.25" customHeight="1">
      <c r="B145" s="412" t="s">
        <v>2523</v>
      </c>
      <c r="C145" s="565" t="s">
        <v>3935</v>
      </c>
      <c r="D145" s="106"/>
      <c r="G145" s="311"/>
      <c r="K145" s="41"/>
      <c r="L145" s="3253" t="s">
        <v>3937</v>
      </c>
      <c r="M145" s="3254"/>
      <c r="N145" s="412" t="s">
        <v>2523</v>
      </c>
      <c r="O145" s="3108" t="s">
        <v>4310</v>
      </c>
      <c r="P145" s="626"/>
    </row>
    <row r="146" spans="1:25" ht="11.25" customHeight="1">
      <c r="B146" s="412" t="s">
        <v>2524</v>
      </c>
      <c r="C146" s="565" t="s">
        <v>2951</v>
      </c>
      <c r="K146" s="41"/>
      <c r="L146" s="3255" t="s">
        <v>3937</v>
      </c>
      <c r="M146" s="3256"/>
      <c r="N146" s="412" t="s">
        <v>2524</v>
      </c>
      <c r="O146" s="3111" t="s">
        <v>4310</v>
      </c>
      <c r="P146" s="627"/>
    </row>
    <row r="147" spans="1:25" ht="11.25" customHeight="1">
      <c r="B147" s="427" t="s">
        <v>3578</v>
      </c>
      <c r="C147" s="54" t="s">
        <v>3572</v>
      </c>
      <c r="K147" s="41"/>
      <c r="L147" s="3255" t="s">
        <v>3937</v>
      </c>
      <c r="M147" s="3256"/>
      <c r="N147" s="427" t="s">
        <v>3578</v>
      </c>
      <c r="O147" s="3111" t="s">
        <v>4310</v>
      </c>
      <c r="P147" s="627"/>
    </row>
    <row r="148" spans="1:25" ht="11.25" customHeight="1">
      <c r="B148" s="427" t="s">
        <v>3579</v>
      </c>
      <c r="C148" s="54" t="s">
        <v>3570</v>
      </c>
      <c r="K148" s="41"/>
      <c r="L148" s="3255" t="s">
        <v>3937</v>
      </c>
      <c r="M148" s="3256"/>
      <c r="N148" s="427" t="s">
        <v>3579</v>
      </c>
      <c r="O148" s="3111" t="s">
        <v>4310</v>
      </c>
      <c r="P148" s="627"/>
    </row>
    <row r="149" spans="1:25" ht="11.25" customHeight="1">
      <c r="B149" s="412" t="s">
        <v>2541</v>
      </c>
      <c r="C149" s="565" t="s">
        <v>2952</v>
      </c>
      <c r="K149" s="41"/>
      <c r="L149" s="3255" t="s">
        <v>3937</v>
      </c>
      <c r="M149" s="3256"/>
      <c r="N149" s="412" t="s">
        <v>2541</v>
      </c>
      <c r="O149" s="3111" t="s">
        <v>4310</v>
      </c>
      <c r="P149" s="627"/>
    </row>
    <row r="150" spans="1:25" ht="11.25" customHeight="1">
      <c r="B150" s="427" t="s">
        <v>2542</v>
      </c>
      <c r="C150" s="565" t="s">
        <v>2953</v>
      </c>
      <c r="D150" s="106"/>
      <c r="K150" s="41"/>
      <c r="L150" s="3257" t="s">
        <v>3937</v>
      </c>
      <c r="M150" s="3258"/>
      <c r="N150" s="427" t="s">
        <v>2542</v>
      </c>
      <c r="O150" s="3111" t="s">
        <v>4310</v>
      </c>
      <c r="P150" s="627"/>
    </row>
    <row r="151" spans="1:25" ht="11.25" customHeight="1">
      <c r="B151" s="427" t="s">
        <v>2543</v>
      </c>
      <c r="C151" s="565" t="s">
        <v>3936</v>
      </c>
      <c r="K151" s="41"/>
      <c r="M151" s="410"/>
      <c r="N151" s="427" t="s">
        <v>2543</v>
      </c>
      <c r="O151" s="3109" t="s">
        <v>4310</v>
      </c>
      <c r="P151" s="628"/>
    </row>
    <row r="152" spans="1:25" ht="10.9" customHeight="1">
      <c r="B152" s="427"/>
      <c r="C152" s="565"/>
      <c r="K152" s="41"/>
      <c r="M152" s="410"/>
      <c r="N152" s="410"/>
      <c r="O152" s="410"/>
      <c r="P152" s="410"/>
    </row>
    <row r="153" spans="1:25" ht="11.25" customHeight="1">
      <c r="A153" s="149" t="s">
        <v>2058</v>
      </c>
      <c r="B153" s="195" t="s">
        <v>3571</v>
      </c>
      <c r="G153" s="533" t="s">
        <v>3699</v>
      </c>
      <c r="H153" s="172"/>
      <c r="I153" s="172"/>
      <c r="K153" s="41"/>
      <c r="L153" s="3259" t="s">
        <v>3700</v>
      </c>
      <c r="M153" s="479">
        <v>3</v>
      </c>
      <c r="N153" s="427" t="s">
        <v>2058</v>
      </c>
      <c r="O153" s="3151" t="s">
        <v>4310</v>
      </c>
      <c r="P153" s="624"/>
      <c r="X153" s="410"/>
      <c r="Y153" s="412"/>
    </row>
    <row r="154" spans="1:25" ht="11.25" customHeight="1">
      <c r="A154" s="583"/>
      <c r="G154" s="533" t="s">
        <v>3862</v>
      </c>
      <c r="H154" s="172"/>
      <c r="L154" s="1799" t="str">
        <f>'Part I-Project Information'!$O$28</f>
        <v>104.01</v>
      </c>
      <c r="M154" s="1799"/>
      <c r="N154" s="28"/>
      <c r="O154" s="28"/>
      <c r="P154" s="28"/>
    </row>
    <row r="155" spans="1:25" ht="11.25" customHeight="1">
      <c r="A155" s="583"/>
      <c r="B155" s="533"/>
      <c r="D155" s="762"/>
      <c r="G155" s="533" t="s">
        <v>3577</v>
      </c>
      <c r="H155" s="172"/>
      <c r="K155" s="1141"/>
      <c r="L155" s="487" t="str">
        <f>'Part I-Project Information'!$N$29</f>
        <v>No</v>
      </c>
      <c r="N155" s="28"/>
      <c r="O155" s="28"/>
      <c r="P155" s="28"/>
    </row>
    <row r="156" spans="1:25" ht="11.25" customHeight="1">
      <c r="A156" s="583"/>
      <c r="B156" s="533"/>
      <c r="D156" s="762"/>
      <c r="E156" s="533"/>
      <c r="G156" s="482" t="s">
        <v>3573</v>
      </c>
      <c r="H156" s="172"/>
      <c r="K156" s="1141"/>
      <c r="L156" s="1141"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3"/>
      <c r="B158" s="488" t="s">
        <v>3576</v>
      </c>
      <c r="E158" s="125"/>
      <c r="N158" s="69" t="s">
        <v>2061</v>
      </c>
      <c r="O158" s="3151" t="s">
        <v>4310</v>
      </c>
      <c r="P158" s="624"/>
      <c r="Q158" s="429"/>
    </row>
    <row r="159" spans="1:25" ht="11.45" customHeight="1">
      <c r="A159" s="149" t="s">
        <v>779</v>
      </c>
      <c r="B159" s="195" t="s">
        <v>2916</v>
      </c>
      <c r="C159" s="195"/>
      <c r="D159" s="34"/>
      <c r="M159" s="122"/>
      <c r="O159" s="591"/>
      <c r="P159" s="591"/>
    </row>
    <row r="160" spans="1:25" ht="22.5" customHeight="1">
      <c r="B160" s="490"/>
      <c r="C160" s="1829" t="s">
        <v>3939</v>
      </c>
      <c r="D160" s="1829"/>
      <c r="E160" s="1829"/>
      <c r="F160" s="1829"/>
      <c r="G160" s="1829"/>
      <c r="H160" s="1829"/>
      <c r="I160" s="1829"/>
      <c r="J160" s="1829"/>
      <c r="K160" s="1829"/>
      <c r="L160" s="1829"/>
      <c r="M160" s="825">
        <v>10</v>
      </c>
      <c r="N160" s="236" t="s">
        <v>779</v>
      </c>
      <c r="O160" s="3260" t="s">
        <v>4310</v>
      </c>
      <c r="P160" s="625"/>
      <c r="R160" s="1825" t="s">
        <v>3943</v>
      </c>
      <c r="S160" s="1825"/>
      <c r="T160" s="1825" t="s">
        <v>3943</v>
      </c>
      <c r="U160" s="1825"/>
    </row>
    <row r="161" spans="1:21" ht="11.45" customHeight="1">
      <c r="A161" s="149" t="s">
        <v>2193</v>
      </c>
      <c r="B161" s="195" t="s">
        <v>3938</v>
      </c>
      <c r="C161" s="195"/>
      <c r="D161" s="34"/>
      <c r="I161" s="1196" t="s">
        <v>4369</v>
      </c>
      <c r="J161" s="1196" t="s">
        <v>4370</v>
      </c>
      <c r="K161" s="1850" t="s">
        <v>4080</v>
      </c>
      <c r="L161" s="1850"/>
      <c r="M161" s="1377">
        <v>4</v>
      </c>
      <c r="N161" s="69" t="s">
        <v>2193</v>
      </c>
      <c r="O161" s="1197">
        <f>IF(O113&gt;=2,0,IF(AND(OR(J129="QCT &amp; Local Govt Adptd Revital Plan",$J$129="Local Govt Adopted Revitaliztn Plan"),SUM(R162:R166)&gt;=4),4,IF(AND(OR($J$129="QCT &amp; Local Govt Adptd Revital Plan",J129="Local Govt Adopted Revitaliztn Plan"),SUM(R162:R166)&gt;=3),3,0)))</f>
        <v>0</v>
      </c>
      <c r="P161" s="1197">
        <f>IF(P113&gt;=2,0,IF(AND(OR(K129="QCT &amp; Local Govt Adptd Revital Plan",$J$129="Local Govt Adopted Revitaliztn Plan"),SUM(S162:S166)&gt;=4),4,IF(AND(OR($J$129="QCT &amp; Local Govt Adptd Revital Plan",K129="Local Govt Adopted Revitaliztn Plan"),SUM(S162:S166)&gt;=3),3,0)))</f>
        <v>0</v>
      </c>
      <c r="R161" s="1206" t="s">
        <v>3421</v>
      </c>
      <c r="S161" s="1431" t="s">
        <v>268</v>
      </c>
      <c r="T161" s="1206" t="s">
        <v>3421</v>
      </c>
      <c r="U161" s="1431" t="s">
        <v>268</v>
      </c>
    </row>
    <row r="162" spans="1:21" ht="11.25" customHeight="1">
      <c r="B162" s="411" t="s">
        <v>2062</v>
      </c>
      <c r="C162" s="823" t="s">
        <v>3940</v>
      </c>
      <c r="D162" s="823"/>
      <c r="E162" s="823"/>
      <c r="F162" s="823"/>
      <c r="G162" s="823"/>
      <c r="H162" s="823"/>
      <c r="I162" s="1275">
        <f>$O$43</f>
        <v>13</v>
      </c>
      <c r="J162" s="1275">
        <f>$P$43</f>
        <v>0</v>
      </c>
      <c r="K162" s="3108"/>
      <c r="L162" s="626"/>
      <c r="M162" s="1851" t="str">
        <f>IF(OR(SUM(T162:T166)&gt;1,SUM(U162:U166)&gt;1),"Only one category can be met by other means!","")</f>
        <v/>
      </c>
      <c r="N162" s="484" t="s">
        <v>2062</v>
      </c>
      <c r="O162" s="1199" t="str">
        <f>IF(OR(I162&gt;=12,K162="Yes"),"Yes","No")</f>
        <v>Yes</v>
      </c>
      <c r="P162" s="626"/>
      <c r="R162" s="1431">
        <f>IF(O162="Yes",1,0)</f>
        <v>1</v>
      </c>
      <c r="S162" s="1431">
        <f>IF(P162="Yes",1,0)</f>
        <v>0</v>
      </c>
      <c r="T162" s="1431">
        <f>IF(K162="Yes",1,0)</f>
        <v>0</v>
      </c>
      <c r="U162" s="1431">
        <f>IF(L162="Yes",1,0)</f>
        <v>0</v>
      </c>
    </row>
    <row r="163" spans="1:21" ht="11.25" customHeight="1">
      <c r="B163" s="411" t="s">
        <v>2064</v>
      </c>
      <c r="C163" s="823" t="s">
        <v>4367</v>
      </c>
      <c r="D163" s="823"/>
      <c r="E163" s="823"/>
      <c r="F163" s="823"/>
      <c r="G163" s="823"/>
      <c r="H163" s="823"/>
      <c r="I163" s="1276" t="str">
        <f>IF(OR(M370="Yes",M371="Yes",M372="Yes"),"Yes","No")</f>
        <v>Yes</v>
      </c>
      <c r="J163" s="1276" t="str">
        <f>IF(OR(O370="Yes",O371="Yes",O372="Yes"),"Yes","No")</f>
        <v>No</v>
      </c>
      <c r="K163" s="3111"/>
      <c r="L163" s="627"/>
      <c r="M163" s="1851"/>
      <c r="N163" s="484" t="s">
        <v>2064</v>
      </c>
      <c r="O163" s="1200" t="str">
        <f>IF(OR(I163="Yes",K163="Yes"),"Yes","No")</f>
        <v>Yes</v>
      </c>
      <c r="P163" s="627"/>
      <c r="R163" s="1431">
        <f t="shared" ref="R163:S166" si="0">IF(O163="Yes",1,0)</f>
        <v>1</v>
      </c>
      <c r="S163" s="1431">
        <f t="shared" si="0"/>
        <v>0</v>
      </c>
      <c r="T163" s="1431">
        <f t="shared" ref="T163:U166" si="1">IF(K163="Yes",1,0)</f>
        <v>0</v>
      </c>
      <c r="U163" s="1431">
        <f t="shared" si="1"/>
        <v>0</v>
      </c>
    </row>
    <row r="164" spans="1:21" ht="11.25" customHeight="1">
      <c r="B164" s="411" t="s">
        <v>2622</v>
      </c>
      <c r="C164" s="823" t="s">
        <v>3942</v>
      </c>
      <c r="D164" s="823"/>
      <c r="E164" s="823"/>
      <c r="F164" s="823"/>
      <c r="G164" s="823"/>
      <c r="H164" s="823"/>
      <c r="I164" s="1275">
        <f>$O$275</f>
        <v>0</v>
      </c>
      <c r="J164" s="1275">
        <f>$P$275</f>
        <v>0</v>
      </c>
      <c r="K164" s="3111"/>
      <c r="L164" s="627"/>
      <c r="M164" s="1851"/>
      <c r="N164" s="484" t="s">
        <v>2622</v>
      </c>
      <c r="O164" s="1200" t="str">
        <f>IF(OR(I164&gt;=2,K164="Yes"),"Yes","No")</f>
        <v>No</v>
      </c>
      <c r="P164" s="627"/>
      <c r="R164" s="1431">
        <f t="shared" si="0"/>
        <v>0</v>
      </c>
      <c r="S164" s="1431">
        <f t="shared" si="0"/>
        <v>0</v>
      </c>
      <c r="T164" s="1431">
        <f t="shared" si="1"/>
        <v>0</v>
      </c>
      <c r="U164" s="1431">
        <f t="shared" si="1"/>
        <v>0</v>
      </c>
    </row>
    <row r="165" spans="1:21" ht="11.25" customHeight="1">
      <c r="B165" s="411" t="s">
        <v>1270</v>
      </c>
      <c r="C165" s="823" t="s">
        <v>3941</v>
      </c>
      <c r="D165" s="823"/>
      <c r="E165" s="823"/>
      <c r="F165" s="823"/>
      <c r="G165" s="823"/>
      <c r="H165" s="823"/>
      <c r="I165" s="1275">
        <f>$O$378</f>
        <v>0</v>
      </c>
      <c r="J165" s="1275">
        <f>$P$378</f>
        <v>0</v>
      </c>
      <c r="K165" s="3111"/>
      <c r="L165" s="627"/>
      <c r="M165" s="1851"/>
      <c r="N165" s="484" t="s">
        <v>1270</v>
      </c>
      <c r="O165" s="1200" t="str">
        <f>IF(OR(I165&gt;=2,K165="Yes"),"Yes","No")</f>
        <v>No</v>
      </c>
      <c r="P165" s="627"/>
      <c r="R165" s="1431">
        <f t="shared" si="0"/>
        <v>0</v>
      </c>
      <c r="S165" s="1431">
        <f t="shared" si="0"/>
        <v>0</v>
      </c>
      <c r="T165" s="1431">
        <f t="shared" si="1"/>
        <v>0</v>
      </c>
      <c r="U165" s="1431">
        <f t="shared" si="1"/>
        <v>0</v>
      </c>
    </row>
    <row r="166" spans="1:21" ht="11.25" customHeight="1">
      <c r="B166" s="411" t="s">
        <v>1271</v>
      </c>
      <c r="C166" s="823" t="s">
        <v>4368</v>
      </c>
      <c r="D166" s="823"/>
      <c r="E166" s="823"/>
      <c r="F166" s="823"/>
      <c r="G166" s="823"/>
      <c r="H166" s="823"/>
      <c r="I166" s="1198">
        <f>$L$125</f>
        <v>0</v>
      </c>
      <c r="J166" s="1376"/>
      <c r="K166" s="3109"/>
      <c r="L166" s="628"/>
      <c r="M166" s="1851"/>
      <c r="N166" s="484" t="s">
        <v>1271</v>
      </c>
      <c r="O166" s="1201" t="str">
        <f>IF(OR(I166&gt;=15%,K166="Yes"),"Yes","No")</f>
        <v>No</v>
      </c>
      <c r="P166" s="628"/>
      <c r="R166" s="1431">
        <f t="shared" si="0"/>
        <v>0</v>
      </c>
      <c r="S166" s="1431">
        <f t="shared" si="0"/>
        <v>0</v>
      </c>
      <c r="T166" s="1431">
        <f t="shared" si="1"/>
        <v>0</v>
      </c>
      <c r="U166" s="1431">
        <f t="shared" si="1"/>
        <v>0</v>
      </c>
    </row>
    <row r="167" spans="1:21" s="44" customFormat="1" ht="13.9" customHeight="1">
      <c r="A167" s="43"/>
      <c r="B167" s="50" t="s">
        <v>267</v>
      </c>
      <c r="C167" s="43"/>
      <c r="D167" s="49"/>
      <c r="E167" s="49"/>
      <c r="F167" s="49"/>
      <c r="G167" s="49"/>
      <c r="H167" s="37"/>
      <c r="I167" s="145"/>
      <c r="M167" s="47"/>
      <c r="N167" s="65"/>
      <c r="O167" s="3"/>
      <c r="P167" s="1417"/>
    </row>
    <row r="168" spans="1:21" s="44" customFormat="1" ht="12.75" customHeight="1">
      <c r="A168" s="3230" t="s">
        <v>4318</v>
      </c>
      <c r="B168" s="3231"/>
      <c r="C168" s="3231"/>
      <c r="D168" s="3231"/>
      <c r="E168" s="3231"/>
      <c r="F168" s="3231"/>
      <c r="G168" s="3231"/>
      <c r="H168" s="3231"/>
      <c r="I168" s="3231"/>
      <c r="J168" s="3231"/>
      <c r="K168" s="3231"/>
      <c r="L168" s="3231"/>
      <c r="M168" s="3231"/>
      <c r="N168" s="3231"/>
      <c r="O168" s="3231"/>
      <c r="P168" s="3232"/>
      <c r="Q168" s="496" t="s">
        <v>1301</v>
      </c>
    </row>
    <row r="169" spans="1:21" s="44" customFormat="1" ht="11.25" customHeight="1">
      <c r="A169" s="43"/>
      <c r="B169" s="91" t="s">
        <v>1937</v>
      </c>
      <c r="C169" s="43"/>
      <c r="D169" s="91"/>
      <c r="E169" s="1418"/>
      <c r="F169" s="1418"/>
      <c r="G169" s="1418"/>
      <c r="H169" s="1418"/>
      <c r="I169" s="1418"/>
      <c r="J169" s="1418"/>
      <c r="K169" s="1418"/>
      <c r="L169" s="1418"/>
      <c r="M169" s="1418"/>
      <c r="N169" s="79"/>
      <c r="O169" s="75"/>
      <c r="P169" s="1413"/>
      <c r="Q169" s="473"/>
    </row>
    <row r="170" spans="1:21" s="44" customFormat="1" ht="12.75" customHeight="1">
      <c r="A170" s="1826"/>
      <c r="B170" s="1827"/>
      <c r="C170" s="1827"/>
      <c r="D170" s="1827"/>
      <c r="E170" s="1827"/>
      <c r="F170" s="1827"/>
      <c r="G170" s="1827"/>
      <c r="H170" s="1827"/>
      <c r="I170" s="1827"/>
      <c r="J170" s="1827"/>
      <c r="K170" s="1827"/>
      <c r="L170" s="1827"/>
      <c r="M170" s="1827"/>
      <c r="N170" s="1827"/>
      <c r="O170" s="1827"/>
      <c r="P170" s="1828"/>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3">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2912</v>
      </c>
      <c r="I173" s="480"/>
      <c r="J173" s="1830" t="str">
        <f>'Part I-Project Information'!$H$90</f>
        <v>Rural</v>
      </c>
      <c r="K173" s="1830"/>
      <c r="N173" s="28"/>
      <c r="O173" s="28"/>
      <c r="P173" s="28"/>
    </row>
    <row r="174" spans="1:21" ht="12" customHeight="1">
      <c r="A174" s="1411" t="s">
        <v>2058</v>
      </c>
      <c r="B174" s="195" t="s">
        <v>2312</v>
      </c>
      <c r="D174" s="34"/>
      <c r="E174" s="34"/>
      <c r="F174" s="34"/>
      <c r="H174" s="92" t="s">
        <v>4129</v>
      </c>
      <c r="I174" s="480"/>
      <c r="J174" s="1830" t="str">
        <f>'Part I-Project Information'!$O$24</f>
        <v>No</v>
      </c>
      <c r="K174" s="1830"/>
      <c r="L174" s="1329">
        <f>'Part I-Project Information'!$O$25</f>
        <v>0</v>
      </c>
      <c r="M174" s="77">
        <v>3</v>
      </c>
      <c r="N174" s="521" t="s">
        <v>2058</v>
      </c>
      <c r="O174" s="3182">
        <v>0</v>
      </c>
      <c r="P174" s="618"/>
      <c r="Q174" s="429" t="s">
        <v>2810</v>
      </c>
    </row>
    <row r="175" spans="1:21" s="106" customFormat="1" ht="22.5" customHeight="1">
      <c r="B175" s="1154" t="s">
        <v>2062</v>
      </c>
      <c r="C175" s="1829" t="s">
        <v>3944</v>
      </c>
      <c r="D175" s="1771"/>
      <c r="E175" s="1771"/>
      <c r="F175" s="1771"/>
      <c r="G175" s="1771"/>
      <c r="H175" s="1771"/>
      <c r="I175" s="1771"/>
      <c r="J175" s="1771"/>
      <c r="K175" s="1771"/>
      <c r="L175" s="1771"/>
      <c r="M175" s="460"/>
      <c r="N175" s="430" t="s">
        <v>2062</v>
      </c>
      <c r="O175" s="3152" t="s">
        <v>4310</v>
      </c>
      <c r="P175" s="631"/>
    </row>
    <row r="176" spans="1:21" s="106" customFormat="1" ht="12" customHeight="1">
      <c r="B176" s="759"/>
      <c r="C176" s="126" t="s">
        <v>997</v>
      </c>
      <c r="H176" s="533" t="s">
        <v>2671</v>
      </c>
      <c r="J176" s="3261"/>
      <c r="K176" s="3262"/>
    </row>
    <row r="177" spans="1:17" s="106" customFormat="1" ht="12" customHeight="1">
      <c r="B177" s="759"/>
      <c r="C177" s="126"/>
      <c r="H177" s="533" t="s">
        <v>2381</v>
      </c>
      <c r="J177" s="3263"/>
      <c r="K177" s="3264"/>
      <c r="L177" s="3265"/>
    </row>
    <row r="178" spans="1:17" s="126" customFormat="1" ht="12" customHeight="1">
      <c r="B178" s="759" t="s">
        <v>2064</v>
      </c>
      <c r="C178" s="126" t="s">
        <v>998</v>
      </c>
      <c r="M178" s="7"/>
      <c r="N178" s="192" t="s">
        <v>2064</v>
      </c>
      <c r="O178" s="3108" t="s">
        <v>4310</v>
      </c>
      <c r="P178" s="626"/>
    </row>
    <row r="179" spans="1:17" s="126" customFormat="1" ht="12" customHeight="1">
      <c r="B179" s="759" t="s">
        <v>2622</v>
      </c>
      <c r="C179" s="126" t="s">
        <v>999</v>
      </c>
      <c r="M179" s="7"/>
      <c r="N179" s="192" t="s">
        <v>2622</v>
      </c>
      <c r="O179" s="3111" t="s">
        <v>4310</v>
      </c>
      <c r="P179" s="627"/>
    </row>
    <row r="180" spans="1:17" s="126" customFormat="1" ht="12" customHeight="1">
      <c r="A180" s="583"/>
      <c r="B180" s="759" t="s">
        <v>1270</v>
      </c>
      <c r="C180" s="126" t="s">
        <v>1000</v>
      </c>
      <c r="M180" s="7"/>
      <c r="N180" s="192" t="s">
        <v>1270</v>
      </c>
      <c r="O180" s="3109" t="s">
        <v>4310</v>
      </c>
      <c r="P180" s="628"/>
    </row>
    <row r="181" spans="1:17" s="34" customFormat="1" ht="12" customHeight="1">
      <c r="A181" s="1411" t="s">
        <v>2061</v>
      </c>
      <c r="B181" s="195" t="s">
        <v>3947</v>
      </c>
      <c r="D181" s="768"/>
      <c r="H181" s="64" t="s">
        <v>3602</v>
      </c>
      <c r="M181" s="764">
        <v>3</v>
      </c>
      <c r="N181" s="521" t="s">
        <v>2061</v>
      </c>
      <c r="O181" s="1205">
        <f>IF($J$173="Flexible", MIN($M$181, SUM(O183:O184)), 0)</f>
        <v>0</v>
      </c>
      <c r="P181" s="1205">
        <f>IF($J$173="Flexible", MIN($M$181, SUM(P183:P184)), 0)</f>
        <v>0</v>
      </c>
    </row>
    <row r="182" spans="1:17" s="34" customFormat="1" ht="12" customHeight="1">
      <c r="A182" s="1411"/>
      <c r="B182" s="1202" t="s">
        <v>3949</v>
      </c>
      <c r="D182" s="768"/>
      <c r="H182" s="64"/>
    </row>
    <row r="183" spans="1:17" s="34" customFormat="1" ht="12" customHeight="1">
      <c r="B183" s="411" t="s">
        <v>2062</v>
      </c>
      <c r="C183" s="766" t="s">
        <v>3952</v>
      </c>
      <c r="M183" s="77">
        <v>3</v>
      </c>
      <c r="N183" s="484" t="s">
        <v>2062</v>
      </c>
      <c r="O183" s="3182">
        <v>0</v>
      </c>
      <c r="P183" s="618"/>
      <c r="Q183" s="188" t="s">
        <v>2810</v>
      </c>
    </row>
    <row r="184" spans="1:17" ht="12" customHeight="1">
      <c r="A184" s="767" t="s">
        <v>1403</v>
      </c>
      <c r="B184" s="490" t="s">
        <v>2064</v>
      </c>
      <c r="C184" s="489" t="s">
        <v>3950</v>
      </c>
      <c r="D184" s="34"/>
      <c r="E184" s="34"/>
      <c r="F184" s="34"/>
      <c r="G184" s="41"/>
      <c r="H184" s="64"/>
      <c r="I184" s="41"/>
      <c r="M184" s="85">
        <v>2</v>
      </c>
      <c r="N184" s="1203" t="s">
        <v>2064</v>
      </c>
      <c r="O184" s="3183">
        <v>0</v>
      </c>
      <c r="P184" s="620"/>
      <c r="Q184" s="188" t="s">
        <v>2810</v>
      </c>
    </row>
    <row r="185" spans="1:17" s="34" customFormat="1" ht="12" customHeight="1">
      <c r="A185" s="1411" t="s">
        <v>779</v>
      </c>
      <c r="B185" s="195" t="s">
        <v>3948</v>
      </c>
      <c r="D185" s="768"/>
      <c r="H185" s="64" t="s">
        <v>3956</v>
      </c>
      <c r="M185" s="764">
        <v>4</v>
      </c>
      <c r="N185" s="521" t="s">
        <v>779</v>
      </c>
      <c r="O185" s="1205">
        <f>IF($J$173="Rural", MIN($M$185, SUM(O187:O189)), 0)</f>
        <v>3</v>
      </c>
      <c r="P185" s="1205">
        <f>IF($J$173="Rural", MIN($M$181, SUM(P187:P189)), 0)</f>
        <v>0</v>
      </c>
    </row>
    <row r="186" spans="1:17" s="34" customFormat="1" ht="12" customHeight="1">
      <c r="A186" s="1411"/>
      <c r="B186" s="1202" t="s">
        <v>3953</v>
      </c>
      <c r="D186" s="768"/>
      <c r="H186" s="64"/>
    </row>
    <row r="187" spans="1:17" s="34" customFormat="1" ht="12" customHeight="1">
      <c r="B187" s="411" t="s">
        <v>2062</v>
      </c>
      <c r="C187" s="766" t="s">
        <v>3955</v>
      </c>
      <c r="K187" s="1808" t="str">
        <f>IF(AND(O187&gt;0,O189&gt;0),"Choose either option 1 or option 3!!!","")</f>
        <v/>
      </c>
      <c r="L187" s="1808"/>
      <c r="M187" s="77">
        <v>3</v>
      </c>
      <c r="N187" s="484" t="s">
        <v>2062</v>
      </c>
      <c r="O187" s="3182">
        <v>3</v>
      </c>
      <c r="P187" s="618"/>
      <c r="Q187" s="188" t="s">
        <v>2810</v>
      </c>
    </row>
    <row r="188" spans="1:17" ht="12" customHeight="1">
      <c r="A188" s="767"/>
      <c r="B188" s="490" t="s">
        <v>2064</v>
      </c>
      <c r="C188" s="480" t="s">
        <v>3951</v>
      </c>
      <c r="D188" s="34"/>
      <c r="E188" s="34"/>
      <c r="F188" s="34"/>
      <c r="G188" s="41"/>
      <c r="H188" s="1204" t="s">
        <v>3957</v>
      </c>
      <c r="I188" s="41"/>
      <c r="K188" s="1808"/>
      <c r="L188" s="1808"/>
      <c r="M188" s="85">
        <v>1</v>
      </c>
      <c r="N188" s="1203" t="s">
        <v>2064</v>
      </c>
      <c r="O188" s="3208">
        <v>0</v>
      </c>
      <c r="P188" s="619"/>
      <c r="Q188" s="188" t="s">
        <v>2810</v>
      </c>
    </row>
    <row r="189" spans="1:17" ht="12" customHeight="1">
      <c r="A189" s="767" t="s">
        <v>1403</v>
      </c>
      <c r="B189" s="490" t="s">
        <v>2622</v>
      </c>
      <c r="C189" s="489" t="s">
        <v>3954</v>
      </c>
      <c r="D189" s="34"/>
      <c r="E189" s="34"/>
      <c r="F189" s="34"/>
      <c r="G189" s="41"/>
      <c r="H189" s="64"/>
      <c r="I189" s="41"/>
      <c r="K189" s="1808"/>
      <c r="L189" s="1808"/>
      <c r="M189" s="85">
        <v>2</v>
      </c>
      <c r="N189" s="1203" t="s">
        <v>2622</v>
      </c>
      <c r="O189" s="3183">
        <v>0</v>
      </c>
      <c r="P189" s="620"/>
      <c r="Q189" s="188" t="s">
        <v>2810</v>
      </c>
    </row>
    <row r="190" spans="1:17" s="44" customFormat="1" ht="12" customHeight="1">
      <c r="A190" s="43"/>
      <c r="B190" s="50" t="s">
        <v>267</v>
      </c>
      <c r="C190" s="43"/>
      <c r="D190" s="49"/>
      <c r="E190" s="49"/>
      <c r="F190" s="49"/>
      <c r="G190" s="49"/>
      <c r="H190" s="37"/>
      <c r="I190" s="37"/>
      <c r="J190" s="37"/>
      <c r="K190" s="37"/>
      <c r="M190" s="47"/>
      <c r="N190" s="65"/>
      <c r="O190" s="3"/>
      <c r="P190" s="1417"/>
    </row>
    <row r="191" spans="1:17" s="44" customFormat="1" ht="12" customHeight="1">
      <c r="A191" s="3073" t="s">
        <v>4339</v>
      </c>
      <c r="B191" s="3074"/>
      <c r="C191" s="3074"/>
      <c r="D191" s="3074"/>
      <c r="E191" s="3074"/>
      <c r="F191" s="3074"/>
      <c r="G191" s="3074"/>
      <c r="H191" s="3074"/>
      <c r="I191" s="3074"/>
      <c r="J191" s="3074"/>
      <c r="K191" s="3074"/>
      <c r="L191" s="3074"/>
      <c r="M191" s="3074"/>
      <c r="N191" s="3074"/>
      <c r="O191" s="3074"/>
      <c r="P191" s="3075"/>
      <c r="Q191" s="496" t="s">
        <v>1301</v>
      </c>
    </row>
    <row r="192" spans="1:17" s="44" customFormat="1" ht="12" customHeight="1">
      <c r="B192" s="91" t="s">
        <v>1937</v>
      </c>
      <c r="C192" s="104"/>
      <c r="D192" s="91"/>
      <c r="E192" s="105"/>
      <c r="F192" s="1418"/>
      <c r="G192" s="1418"/>
      <c r="H192" s="1418"/>
      <c r="I192" s="1418"/>
      <c r="J192" s="1418"/>
      <c r="K192" s="1418"/>
      <c r="L192" s="1418"/>
      <c r="M192" s="1418"/>
      <c r="N192" s="79"/>
      <c r="O192" s="75"/>
      <c r="P192" s="1413"/>
      <c r="Q192" s="473"/>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496" t="s">
        <v>1301</v>
      </c>
    </row>
    <row r="194" spans="1:20" ht="3" customHeight="1">
      <c r="B194" s="125"/>
      <c r="C194" s="125"/>
      <c r="D194" s="125"/>
      <c r="E194" s="125"/>
    </row>
    <row r="195" spans="1:20" s="44" customFormat="1" ht="12" customHeight="1">
      <c r="A195" s="165" t="s">
        <v>226</v>
      </c>
      <c r="B195" s="111" t="s">
        <v>3594</v>
      </c>
      <c r="E195" s="42"/>
      <c r="F195" s="42"/>
      <c r="H195" s="64"/>
      <c r="K195" s="49"/>
      <c r="L195" s="413"/>
      <c r="M195" s="1413">
        <v>2</v>
      </c>
      <c r="N195" s="437"/>
      <c r="O195" s="835">
        <f>IF(SUM(R197:R200)=0,2,IF(SUM(R197:R200)=1,1,0))</f>
        <v>2</v>
      </c>
      <c r="P195" s="835">
        <f>IF(SUM(S197:S200)=0,2,IF(SUM(S197:S200)=1,1,0))</f>
        <v>2</v>
      </c>
      <c r="Q195" s="115" t="s">
        <v>456</v>
      </c>
      <c r="R195" s="1825" t="s">
        <v>3943</v>
      </c>
      <c r="S195" s="1825"/>
    </row>
    <row r="196" spans="1:20" ht="11.45" customHeight="1">
      <c r="B196" s="178" t="s">
        <v>1729</v>
      </c>
      <c r="E196" s="125"/>
      <c r="M196" s="426"/>
      <c r="N196" s="28"/>
      <c r="O196" s="127" t="s">
        <v>2597</v>
      </c>
      <c r="P196" s="127" t="s">
        <v>2597</v>
      </c>
      <c r="R196" s="1206" t="s">
        <v>3421</v>
      </c>
      <c r="S196" s="1431" t="s">
        <v>268</v>
      </c>
    </row>
    <row r="197" spans="1:20" s="432" customFormat="1" ht="22.5" customHeight="1">
      <c r="A197" s="154" t="s">
        <v>2058</v>
      </c>
      <c r="B197" s="1847" t="s">
        <v>3958</v>
      </c>
      <c r="C197" s="1847"/>
      <c r="D197" s="1847"/>
      <c r="E197" s="1847"/>
      <c r="F197" s="1847"/>
      <c r="G197" s="1847"/>
      <c r="H197" s="1847"/>
      <c r="I197" s="1847"/>
      <c r="J197" s="1847"/>
      <c r="K197" s="1847"/>
      <c r="L197" s="1847"/>
      <c r="M197" s="110"/>
      <c r="N197" s="174" t="s">
        <v>2058</v>
      </c>
      <c r="O197" s="3149" t="s">
        <v>3156</v>
      </c>
      <c r="P197" s="629"/>
      <c r="R197" s="1207">
        <f t="shared" ref="R197:S200" si="2">IF(O197="Yes",1,0)</f>
        <v>0</v>
      </c>
      <c r="S197" s="1207">
        <f t="shared" si="2"/>
        <v>0</v>
      </c>
    </row>
    <row r="198" spans="1:20" s="432" customFormat="1" ht="22.5" customHeight="1">
      <c r="A198" s="154" t="s">
        <v>2061</v>
      </c>
      <c r="B198" s="1847" t="s">
        <v>2841</v>
      </c>
      <c r="C198" s="1847"/>
      <c r="D198" s="1847"/>
      <c r="E198" s="1847"/>
      <c r="F198" s="1847"/>
      <c r="G198" s="1847"/>
      <c r="H198" s="1847"/>
      <c r="I198" s="1847"/>
      <c r="J198" s="1847"/>
      <c r="K198" s="1847"/>
      <c r="L198" s="1847"/>
      <c r="M198" s="110"/>
      <c r="N198" s="174" t="s">
        <v>2061</v>
      </c>
      <c r="O198" s="3112" t="s">
        <v>3156</v>
      </c>
      <c r="P198" s="630"/>
      <c r="R198" s="1207">
        <f t="shared" si="2"/>
        <v>0</v>
      </c>
      <c r="S198" s="1207">
        <f t="shared" si="2"/>
        <v>0</v>
      </c>
    </row>
    <row r="199" spans="1:20" s="432" customFormat="1" ht="11.25" customHeight="1">
      <c r="A199" s="154" t="s">
        <v>779</v>
      </c>
      <c r="B199" s="233" t="s">
        <v>1730</v>
      </c>
      <c r="M199" s="486"/>
      <c r="N199" s="69" t="s">
        <v>779</v>
      </c>
      <c r="O199" s="3111" t="s">
        <v>3156</v>
      </c>
      <c r="P199" s="630"/>
      <c r="R199" s="1431">
        <f t="shared" si="2"/>
        <v>0</v>
      </c>
      <c r="S199" s="1431">
        <f t="shared" si="2"/>
        <v>0</v>
      </c>
    </row>
    <row r="200" spans="1:20" s="432" customFormat="1" ht="11.25" customHeight="1">
      <c r="A200" s="154" t="s">
        <v>2193</v>
      </c>
      <c r="B200" s="150" t="s">
        <v>3959</v>
      </c>
      <c r="M200" s="486"/>
      <c r="N200" s="69" t="s">
        <v>2193</v>
      </c>
      <c r="O200" s="3109" t="s">
        <v>3156</v>
      </c>
      <c r="P200" s="631"/>
      <c r="R200" s="1431">
        <f t="shared" si="2"/>
        <v>0</v>
      </c>
      <c r="S200" s="1431">
        <f t="shared" si="2"/>
        <v>0</v>
      </c>
    </row>
    <row r="201" spans="1:20" s="44" customFormat="1" ht="12.75" customHeight="1">
      <c r="A201" s="428"/>
      <c r="B201" s="50" t="s">
        <v>267</v>
      </c>
      <c r="C201" s="43"/>
      <c r="D201" s="49"/>
      <c r="E201" s="49"/>
      <c r="F201" s="49"/>
      <c r="G201" s="49"/>
      <c r="H201" s="37"/>
      <c r="I201" s="37"/>
      <c r="J201" s="37"/>
      <c r="K201" s="37"/>
      <c r="M201" s="47"/>
      <c r="N201" s="65"/>
      <c r="O201" s="3"/>
      <c r="P201" s="1417"/>
    </row>
    <row r="202" spans="1:20" s="44" customFormat="1" ht="22.5" customHeight="1">
      <c r="A202" s="3073" t="s">
        <v>4362</v>
      </c>
      <c r="B202" s="3074"/>
      <c r="C202" s="3074"/>
      <c r="D202" s="3074"/>
      <c r="E202" s="3074"/>
      <c r="F202" s="3074"/>
      <c r="G202" s="3074"/>
      <c r="H202" s="3074"/>
      <c r="I202" s="3074"/>
      <c r="J202" s="3074"/>
      <c r="K202" s="3074"/>
      <c r="L202" s="3074"/>
      <c r="M202" s="3074"/>
      <c r="N202" s="3074"/>
      <c r="O202" s="3074"/>
      <c r="P202" s="3075"/>
      <c r="Q202" s="496" t="s">
        <v>1301</v>
      </c>
    </row>
    <row r="203" spans="1:20" s="44" customFormat="1" ht="11.25" customHeight="1">
      <c r="A203" s="43"/>
      <c r="B203" s="91" t="s">
        <v>1937</v>
      </c>
      <c r="C203" s="43"/>
      <c r="D203" s="91"/>
      <c r="E203" s="1418"/>
      <c r="F203" s="1418"/>
      <c r="G203" s="1418"/>
      <c r="H203" s="1418"/>
      <c r="I203" s="1418"/>
      <c r="J203" s="1418"/>
      <c r="K203" s="1418"/>
      <c r="L203" s="1418"/>
      <c r="M203" s="1418"/>
      <c r="N203" s="79"/>
      <c r="O203" s="75"/>
      <c r="P203" s="1413"/>
      <c r="Q203" s="473"/>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496"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3">
        <v>1</v>
      </c>
      <c r="N206" s="6"/>
      <c r="O206" s="610">
        <f>MIN($M206,SUM(O207:O209))</f>
        <v>1</v>
      </c>
      <c r="P206" s="610">
        <f>MIN($M206,SUM(P207:P209))</f>
        <v>0</v>
      </c>
      <c r="Q206" s="115" t="s">
        <v>456</v>
      </c>
    </row>
    <row r="207" spans="1:20" s="108" customFormat="1" ht="12" customHeight="1">
      <c r="A207" s="149" t="s">
        <v>2058</v>
      </c>
      <c r="B207" s="180" t="s">
        <v>2313</v>
      </c>
      <c r="D207" s="64"/>
      <c r="E207" s="64"/>
      <c r="F207" s="45"/>
      <c r="G207" s="28"/>
      <c r="M207" s="7">
        <v>1</v>
      </c>
      <c r="N207" s="521" t="s">
        <v>2058</v>
      </c>
      <c r="O207" s="3182">
        <v>1</v>
      </c>
      <c r="P207" s="618"/>
      <c r="Q207" s="429" t="s">
        <v>2810</v>
      </c>
      <c r="T207" s="413" t="str">
        <f>IF(OR($O207=$M207,$O207=0,$O207=""),"","* * Check Score! * *")</f>
        <v/>
      </c>
    </row>
    <row r="208" spans="1:20" s="108" customFormat="1" ht="12" customHeight="1">
      <c r="A208" s="149"/>
      <c r="B208" s="41" t="s">
        <v>2794</v>
      </c>
      <c r="D208" s="64"/>
      <c r="E208" s="64"/>
      <c r="F208" s="45"/>
      <c r="G208" s="28"/>
      <c r="K208" s="521"/>
      <c r="M208" s="7"/>
      <c r="N208" s="521"/>
      <c r="O208" s="3109" t="s">
        <v>3153</v>
      </c>
      <c r="P208" s="628"/>
      <c r="Q208" s="429"/>
      <c r="R208" s="413"/>
    </row>
    <row r="209" spans="1:20" s="44" customFormat="1" ht="12" customHeight="1">
      <c r="A209" s="149" t="s">
        <v>2061</v>
      </c>
      <c r="B209" s="180" t="s">
        <v>2314</v>
      </c>
      <c r="D209" s="60"/>
      <c r="K209" s="54"/>
      <c r="L209" s="108"/>
      <c r="M209" s="7">
        <v>1</v>
      </c>
      <c r="N209" s="521" t="s">
        <v>2061</v>
      </c>
      <c r="O209" s="3182">
        <v>0</v>
      </c>
      <c r="P209" s="618"/>
      <c r="Q209" s="429" t="s">
        <v>2810</v>
      </c>
      <c r="T209" s="413" t="str">
        <f>IF(OR($O209=$M209,$O209=0,$O209=""),"","* * Check Score! * *")</f>
        <v/>
      </c>
    </row>
    <row r="210" spans="1:20" s="44" customFormat="1" ht="12" customHeight="1">
      <c r="A210" s="149"/>
      <c r="B210" s="1219" t="s">
        <v>3960</v>
      </c>
      <c r="D210" s="60"/>
      <c r="H210" s="1436"/>
      <c r="K210" s="54"/>
      <c r="L210" s="108"/>
      <c r="M210" s="7"/>
      <c r="N210" s="521"/>
      <c r="O210" s="3109" t="s">
        <v>4310</v>
      </c>
      <c r="P210" s="628"/>
      <c r="Q210" s="429"/>
      <c r="R210" s="413"/>
    </row>
    <row r="211" spans="1:20" s="44" customFormat="1" ht="12" customHeight="1">
      <c r="A211" s="43"/>
      <c r="B211" s="91" t="s">
        <v>1937</v>
      </c>
      <c r="C211" s="104"/>
      <c r="D211" s="91"/>
      <c r="E211" s="105"/>
      <c r="F211" s="1418"/>
      <c r="G211" s="1418"/>
      <c r="H211" s="1418"/>
      <c r="I211" s="1418"/>
      <c r="J211" s="1418"/>
      <c r="K211" s="1418"/>
      <c r="L211" s="1418"/>
      <c r="M211" s="1418"/>
      <c r="N211" s="79"/>
      <c r="O211" s="75"/>
      <c r="P211" s="1413"/>
      <c r="Q211" s="473"/>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496" t="s">
        <v>1301</v>
      </c>
    </row>
    <row r="213" spans="1:20" s="44" customFormat="1" ht="2.25" customHeight="1">
      <c r="A213" s="43"/>
      <c r="B213" s="43"/>
      <c r="C213" s="1418"/>
      <c r="D213" s="1418"/>
      <c r="E213" s="1418"/>
      <c r="F213" s="1418"/>
      <c r="G213" s="1418"/>
      <c r="H213" s="1418"/>
      <c r="I213" s="1418"/>
      <c r="J213" s="1418"/>
      <c r="K213" s="1418"/>
      <c r="L213" s="1418"/>
      <c r="M213" s="1418"/>
      <c r="N213" s="79"/>
      <c r="O213" s="75"/>
      <c r="P213" s="1189"/>
    </row>
    <row r="214" spans="1:20" s="44" customFormat="1" ht="15">
      <c r="A214" s="166" t="s">
        <v>245</v>
      </c>
      <c r="B214" s="119" t="s">
        <v>3595</v>
      </c>
      <c r="C214" s="93"/>
      <c r="D214" s="61"/>
      <c r="E214" s="54"/>
      <c r="M214" s="1413">
        <v>3</v>
      </c>
      <c r="N214" s="6"/>
      <c r="O214" s="6"/>
      <c r="P214" s="622"/>
      <c r="Q214" s="115" t="s">
        <v>456</v>
      </c>
    </row>
    <row r="215" spans="1:20" s="44" customFormat="1" ht="12" customHeight="1">
      <c r="A215" s="166"/>
      <c r="B215" s="41" t="s">
        <v>2786</v>
      </c>
      <c r="C215" s="93"/>
      <c r="D215" s="61"/>
      <c r="E215" s="54"/>
      <c r="I215" s="520" t="str">
        <f>'Part I-Project Information'!$H$86</f>
        <v>No</v>
      </c>
      <c r="M215" s="1413"/>
      <c r="N215" s="1413"/>
      <c r="O215" s="127" t="s">
        <v>2597</v>
      </c>
      <c r="P215" s="127" t="s">
        <v>2597</v>
      </c>
      <c r="Q215" s="115"/>
    </row>
    <row r="216" spans="1:20" s="44" customFormat="1" ht="12" customHeight="1">
      <c r="A216" s="149"/>
      <c r="B216" s="57" t="s">
        <v>3712</v>
      </c>
      <c r="D216" s="34"/>
      <c r="N216" s="521"/>
      <c r="O216" s="3108" t="s">
        <v>4310</v>
      </c>
      <c r="P216" s="626"/>
      <c r="R216" s="413"/>
    </row>
    <row r="217" spans="1:20" s="44" customFormat="1" ht="12" customHeight="1">
      <c r="A217" s="149"/>
      <c r="B217" s="57" t="s">
        <v>3713</v>
      </c>
      <c r="D217" s="34"/>
      <c r="N217" s="521"/>
      <c r="O217" s="3111" t="s">
        <v>4310</v>
      </c>
      <c r="P217" s="627"/>
      <c r="R217" s="413"/>
    </row>
    <row r="218" spans="1:20" s="44" customFormat="1" ht="12" customHeight="1">
      <c r="A218" s="149"/>
      <c r="B218" s="57" t="s">
        <v>3961</v>
      </c>
      <c r="D218" s="34"/>
      <c r="N218" s="521"/>
      <c r="O218" s="3109" t="s">
        <v>4310</v>
      </c>
      <c r="P218" s="628"/>
      <c r="R218" s="413"/>
    </row>
    <row r="219" spans="1:20" s="44" customFormat="1" ht="12" customHeight="1">
      <c r="B219" s="91" t="s">
        <v>1937</v>
      </c>
      <c r="C219" s="104"/>
      <c r="D219" s="91"/>
      <c r="E219" s="105"/>
      <c r="F219" s="1418"/>
      <c r="G219" s="1418"/>
      <c r="H219" s="1418"/>
      <c r="I219" s="1418"/>
      <c r="J219" s="1418"/>
      <c r="K219" s="1418"/>
      <c r="L219" s="1418"/>
      <c r="M219" s="1418"/>
      <c r="N219" s="79"/>
      <c r="O219" s="75"/>
      <c r="P219" s="1413"/>
      <c r="Q219" s="473"/>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496" t="s">
        <v>1301</v>
      </c>
    </row>
    <row r="221" spans="1:20" ht="2.25" customHeight="1"/>
    <row r="222" spans="1:20" s="66" customFormat="1" ht="12.6" customHeight="1">
      <c r="A222" s="165" t="s">
        <v>246</v>
      </c>
      <c r="B222" s="111" t="s">
        <v>2955</v>
      </c>
      <c r="E222" s="37" t="s">
        <v>3864</v>
      </c>
      <c r="G222" s="824" t="str">
        <f>'Part I-Project Information'!$H$90</f>
        <v>Rural</v>
      </c>
      <c r="H222" s="592" t="str">
        <f>IF(G222="Flexible","(NOTE: Only Rural pool applicants are eligible for this section.)","")</f>
        <v/>
      </c>
      <c r="K222" s="477" t="s">
        <v>3865</v>
      </c>
      <c r="L222" s="592" t="str">
        <f>'Part I-Project Information'!$K$30</f>
        <v>Rural</v>
      </c>
      <c r="M222" s="1413">
        <v>2</v>
      </c>
      <c r="N222" s="437"/>
      <c r="O222" s="3266">
        <v>2</v>
      </c>
      <c r="P222" s="622"/>
      <c r="Q222" s="115" t="s">
        <v>456</v>
      </c>
      <c r="R222" s="771" t="s">
        <v>2810</v>
      </c>
    </row>
    <row r="223" spans="1:20" s="66" customFormat="1" ht="3" customHeight="1">
      <c r="A223" s="165"/>
      <c r="M223" s="1413"/>
      <c r="N223" s="437"/>
      <c r="O223" s="437"/>
      <c r="P223" s="437"/>
    </row>
    <row r="224" spans="1:20" s="66" customFormat="1" ht="24.75" customHeight="1">
      <c r="A224" s="1718" t="s">
        <v>3962</v>
      </c>
      <c r="B224" s="1718"/>
      <c r="C224" s="1718"/>
      <c r="D224" s="1718"/>
      <c r="E224" s="1718"/>
      <c r="F224" s="1718"/>
      <c r="G224" s="1718"/>
      <c r="H224" s="1718"/>
      <c r="I224" s="1718"/>
      <c r="J224" s="1718"/>
      <c r="K224" s="1718"/>
      <c r="L224" s="1718"/>
      <c r="M224" s="1718"/>
      <c r="N224" s="1718"/>
      <c r="O224" s="1718"/>
      <c r="P224" s="236"/>
      <c r="R224" s="413"/>
    </row>
    <row r="225" spans="1:18" s="66" customFormat="1" ht="10.5" customHeight="1">
      <c r="A225" s="1165" t="s">
        <v>3863</v>
      </c>
      <c r="C225" s="1831" t="str">
        <f>'Part II-Development Team'!$H$14</f>
        <v>Vantage Partners 2016 GA, LLC</v>
      </c>
      <c r="D225" s="1831"/>
      <c r="F225" s="1277">
        <f>'Part II-Development Team'!$L$139</f>
        <v>1E-4</v>
      </c>
      <c r="G225" s="1832" t="str">
        <f>'Part II-Development Team'!$Q$14</f>
        <v>Lowell R. Barron II</v>
      </c>
      <c r="H225" s="1832"/>
      <c r="I225" s="1212" t="s">
        <v>4191</v>
      </c>
      <c r="J225" s="1364">
        <f>'Part VI-Revenues &amp; Expenses'!$O$62</f>
        <v>72</v>
      </c>
      <c r="K225" s="1848" t="s">
        <v>4192</v>
      </c>
      <c r="L225" s="1849"/>
      <c r="N225" s="437"/>
      <c r="O225" s="1923" t="s">
        <v>4198</v>
      </c>
      <c r="P225" s="1924"/>
      <c r="Q225" s="115"/>
      <c r="R225" s="28"/>
    </row>
    <row r="226" spans="1:18" s="66" customFormat="1" ht="10.5" customHeight="1">
      <c r="A226" s="1165" t="s">
        <v>3866</v>
      </c>
      <c r="C226" s="1831">
        <f>'Part II-Development Team'!$H$20</f>
        <v>0</v>
      </c>
      <c r="D226" s="1831"/>
      <c r="F226" s="1277">
        <f>'Part II-Development Team'!$L$140</f>
        <v>0</v>
      </c>
      <c r="G226" s="1832">
        <f>'Part II-Development Team'!$Q$20</f>
        <v>0</v>
      </c>
      <c r="H226" s="1832"/>
      <c r="I226" s="1213" t="s">
        <v>379</v>
      </c>
      <c r="J226" s="1365">
        <f>'Part VI-Revenues &amp; Expenses'!$O$81+'Part VI-Revenues &amp; Expenses'!$O$82</f>
        <v>0</v>
      </c>
      <c r="K226" s="1848"/>
      <c r="L226" s="1849"/>
      <c r="M226" s="3267"/>
      <c r="O226" s="1369" t="s">
        <v>1399</v>
      </c>
      <c r="P226" s="1370">
        <f>IF('Part VI-Revenues &amp; Expenses'!$O$62=0,0,'Part VI-Revenues &amp; Expenses'!$O$74/'Part VI-Revenues &amp; Expenses'!$O$62)</f>
        <v>1</v>
      </c>
      <c r="Q226" s="115"/>
      <c r="R226" s="28"/>
    </row>
    <row r="227" spans="1:18" s="66" customFormat="1" ht="10.5" customHeight="1">
      <c r="A227" s="1165" t="s">
        <v>3963</v>
      </c>
      <c r="C227" s="1831">
        <f>'Part II-Development Team'!$H$26</f>
        <v>0</v>
      </c>
      <c r="D227" s="1831"/>
      <c r="F227" s="1277">
        <f>'Part II-Development Team'!$L$141</f>
        <v>0</v>
      </c>
      <c r="G227" s="1832">
        <f>'Part II-Development Team'!$Q$26</f>
        <v>0</v>
      </c>
      <c r="H227" s="1832"/>
      <c r="I227" s="1214" t="s">
        <v>2375</v>
      </c>
      <c r="J227" s="1366">
        <f>'Part VI-Revenues &amp; Expenses'!$O$74</f>
        <v>72</v>
      </c>
      <c r="K227" s="1848"/>
      <c r="L227" s="1849"/>
      <c r="M227" s="1209"/>
      <c r="N227" s="437"/>
      <c r="O227" s="1371" t="s">
        <v>873</v>
      </c>
      <c r="P227" s="1372">
        <f>IF('Part VI-Revenues &amp; Expenses'!$O$62=0,0,('Part VI-Revenues &amp; Expenses'!$O$81 + 'Part VI-Revenues &amp; Expenses'!$O$82)/'Part VI-Revenues &amp; Expenses'!$O$62)</f>
        <v>0</v>
      </c>
      <c r="Q227" s="115"/>
      <c r="R227" s="28"/>
    </row>
    <row r="228" spans="1:18" s="66" customFormat="1" ht="10.5" customHeight="1">
      <c r="A228" s="1208" t="s">
        <v>3964</v>
      </c>
      <c r="C228" s="1831">
        <f>'Part II-Development Team'!$H$80</f>
        <v>0</v>
      </c>
      <c r="D228" s="1831"/>
      <c r="F228" s="1277">
        <f>'Part II-Development Team'!$L$148</f>
        <v>0</v>
      </c>
      <c r="G228" s="1832">
        <f>'Part II-Development Team'!$Q$80</f>
        <v>0</v>
      </c>
      <c r="H228" s="1832"/>
      <c r="I228" s="1166" t="s">
        <v>678</v>
      </c>
      <c r="J228" s="1831" t="str">
        <f>'Part II-Development Team'!$H$54</f>
        <v>Vantage Development, LLC</v>
      </c>
      <c r="K228" s="1831"/>
      <c r="L228" s="1277">
        <f>'Part II-Development Team'!$L$145</f>
        <v>0</v>
      </c>
      <c r="M228" s="1832" t="str">
        <f>'Part II-Development Team'!$Q$54</f>
        <v>Lowell R. Barron II</v>
      </c>
      <c r="N228" s="1832"/>
      <c r="Q228" s="115"/>
      <c r="R228" s="28"/>
    </row>
    <row r="229" spans="1:18" s="66" customFormat="1" ht="10.5" customHeight="1">
      <c r="A229" s="1166" t="s">
        <v>3967</v>
      </c>
      <c r="C229" s="1831" t="str">
        <f>'Part II-Development Team'!$H$33</f>
        <v>To Be Determined - 42 Equity Partners</v>
      </c>
      <c r="D229" s="1831"/>
      <c r="F229" s="1277">
        <f>'Part II-Development Team'!$L$142</f>
        <v>0.9899</v>
      </c>
      <c r="G229" s="1832" t="str">
        <f>'Part II-Development Team'!$Q$33</f>
        <v>Michael Haynes</v>
      </c>
      <c r="H229" s="1832"/>
      <c r="I229" s="1166" t="s">
        <v>3039</v>
      </c>
      <c r="J229" s="1831">
        <f>'Part II-Development Team'!$H$60</f>
        <v>0</v>
      </c>
      <c r="K229" s="1831"/>
      <c r="L229" s="1277">
        <f>'Part II-Development Team'!$L$146</f>
        <v>0</v>
      </c>
      <c r="M229" s="1832">
        <f>'Part II-Development Team'!$Q$60</f>
        <v>0</v>
      </c>
      <c r="N229" s="1832"/>
      <c r="O229" s="437"/>
      <c r="P229" s="437"/>
      <c r="Q229" s="115"/>
      <c r="R229" s="28"/>
    </row>
    <row r="230" spans="1:18" s="66" customFormat="1" ht="10.5" customHeight="1">
      <c r="A230" s="1166" t="s">
        <v>3968</v>
      </c>
      <c r="C230" s="1831" t="str">
        <f>'Part II-Development Team'!$H$39</f>
        <v>To Be Determined - State Tax Credit Exchange, LLC</v>
      </c>
      <c r="D230" s="1831"/>
      <c r="F230" s="1277">
        <f>'Part II-Development Team'!$L$143</f>
        <v>0.01</v>
      </c>
      <c r="G230" s="1832" t="str">
        <f>'Part II-Development Team'!$Q$39</f>
        <v>Robin Delmer</v>
      </c>
      <c r="H230" s="1832"/>
      <c r="I230" s="1166" t="s">
        <v>3040</v>
      </c>
      <c r="J230" s="1831">
        <f>'Part II-Development Team'!$H$66</f>
        <v>0</v>
      </c>
      <c r="K230" s="1831"/>
      <c r="L230" s="1277">
        <f>'Part II-Development Team'!$L$147</f>
        <v>0</v>
      </c>
      <c r="M230" s="1832">
        <f>'Part II-Development Team'!$Q$66</f>
        <v>0</v>
      </c>
      <c r="N230" s="1832"/>
      <c r="O230" s="437"/>
      <c r="P230" s="437"/>
      <c r="Q230" s="115"/>
      <c r="R230" s="28"/>
    </row>
    <row r="231" spans="1:18" s="66" customFormat="1" ht="10.5" customHeight="1">
      <c r="A231" s="1208" t="s">
        <v>3966</v>
      </c>
      <c r="C231" s="1831">
        <f>'Part II-Development Team'!$H$46</f>
        <v>0</v>
      </c>
      <c r="D231" s="1831"/>
      <c r="F231" s="1277">
        <f>'Part II-Development Team'!$L$144</f>
        <v>0</v>
      </c>
      <c r="G231" s="1832">
        <f>'Part II-Development Team'!$Q$46</f>
        <v>0</v>
      </c>
      <c r="H231" s="1832"/>
      <c r="I231" s="1166" t="s">
        <v>3965</v>
      </c>
      <c r="J231" s="1831">
        <f>'Part II-Development Team'!$H$72</f>
        <v>0</v>
      </c>
      <c r="K231" s="1831"/>
      <c r="L231" s="1277">
        <f>'Part II-Development Team'!$L$149</f>
        <v>0</v>
      </c>
      <c r="M231" s="1832">
        <f>'Part II-Development Team'!$Q$72</f>
        <v>0</v>
      </c>
      <c r="N231" s="1832"/>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17"/>
    </row>
    <row r="233" spans="1:18" s="44" customFormat="1" ht="12" customHeight="1">
      <c r="A233" s="3073" t="s">
        <v>4340</v>
      </c>
      <c r="B233" s="3074"/>
      <c r="C233" s="3074"/>
      <c r="D233" s="3074"/>
      <c r="E233" s="3074"/>
      <c r="F233" s="3074"/>
      <c r="G233" s="3074"/>
      <c r="H233" s="3074"/>
      <c r="I233" s="3075"/>
      <c r="J233" s="1705"/>
      <c r="K233" s="1706"/>
      <c r="L233" s="1706"/>
      <c r="M233" s="1706"/>
      <c r="N233" s="1706"/>
      <c r="O233" s="1706"/>
      <c r="P233" s="1707"/>
      <c r="Q233" s="496" t="s">
        <v>1301</v>
      </c>
    </row>
    <row r="234" spans="1:18" s="44" customFormat="1" ht="2.25" customHeight="1">
      <c r="A234" s="43"/>
      <c r="C234" s="1418"/>
      <c r="D234" s="1418"/>
      <c r="E234" s="1418"/>
      <c r="F234" s="1418"/>
      <c r="G234" s="1418"/>
      <c r="H234" s="1418"/>
      <c r="I234" s="1418"/>
      <c r="J234" s="1418"/>
      <c r="K234" s="1418"/>
      <c r="L234" s="1418"/>
      <c r="M234" s="1418"/>
      <c r="N234" s="79"/>
      <c r="O234" s="75"/>
      <c r="P234" s="1189"/>
    </row>
    <row r="235" spans="1:18" s="44" customFormat="1" ht="13.5" customHeight="1">
      <c r="A235" s="165" t="s">
        <v>1456</v>
      </c>
      <c r="B235" s="120" t="s">
        <v>1732</v>
      </c>
      <c r="D235" s="94"/>
      <c r="E235" s="94"/>
      <c r="G235" s="54"/>
      <c r="H235" s="54"/>
      <c r="I235" s="54"/>
      <c r="J235" s="56"/>
      <c r="K235" s="1436"/>
      <c r="L235" s="413"/>
      <c r="M235" s="1189">
        <v>2</v>
      </c>
      <c r="N235" s="437"/>
      <c r="O235" s="1210">
        <f>MIN($M$235,O236+O243)</f>
        <v>0</v>
      </c>
      <c r="P235" s="1210">
        <f>MIN($M$235,P236+P243)</f>
        <v>0</v>
      </c>
      <c r="Q235" s="115" t="s">
        <v>456</v>
      </c>
    </row>
    <row r="236" spans="1:18" s="44" customFormat="1" ht="13.5" customHeight="1">
      <c r="A236" s="149" t="s">
        <v>2058</v>
      </c>
      <c r="B236" s="121" t="s">
        <v>3971</v>
      </c>
      <c r="D236" s="94"/>
      <c r="E236" s="94"/>
      <c r="G236" s="54"/>
      <c r="H236" s="54"/>
      <c r="I236" s="54"/>
      <c r="J236" s="56"/>
      <c r="K236" s="1436"/>
      <c r="L236" s="413" t="str">
        <f>IF(OR($O236=$M236,$O236=0,$O236=""),"","* * Check Score! * *")</f>
        <v/>
      </c>
      <c r="M236" s="479">
        <v>1</v>
      </c>
      <c r="N236" s="437" t="str">
        <f>IF(OR($O236=$M236,$O236=0,$O236=""),"","***")</f>
        <v/>
      </c>
      <c r="O236" s="3196">
        <v>0</v>
      </c>
      <c r="P236" s="1144"/>
      <c r="Q236" s="115"/>
      <c r="R236" s="429" t="s">
        <v>2810</v>
      </c>
    </row>
    <row r="237" spans="1:18" s="44" customFormat="1" ht="12" customHeight="1">
      <c r="B237" s="41" t="s">
        <v>3969</v>
      </c>
      <c r="D237" s="108"/>
      <c r="E237" s="94"/>
      <c r="F237" s="54"/>
      <c r="G237" s="54"/>
      <c r="H237" s="54"/>
      <c r="I237" s="53"/>
      <c r="N237" s="521" t="s">
        <v>2058</v>
      </c>
      <c r="O237" s="127" t="s">
        <v>2597</v>
      </c>
      <c r="P237" s="127" t="s">
        <v>2597</v>
      </c>
    </row>
    <row r="238" spans="1:18" s="106" customFormat="1" ht="12" customHeight="1">
      <c r="B238" s="484" t="s">
        <v>2062</v>
      </c>
      <c r="C238" s="145" t="s">
        <v>3970</v>
      </c>
      <c r="D238" s="126"/>
      <c r="E238" s="126"/>
      <c r="F238" s="126"/>
      <c r="I238" s="3268" t="s">
        <v>2609</v>
      </c>
      <c r="J238" s="3269"/>
      <c r="K238" s="3270"/>
      <c r="N238" s="484" t="s">
        <v>2062</v>
      </c>
      <c r="O238" s="3108" t="s">
        <v>4310</v>
      </c>
      <c r="P238" s="626"/>
    </row>
    <row r="239" spans="1:18" s="106" customFormat="1" ht="12" customHeight="1">
      <c r="B239" s="484" t="s">
        <v>2064</v>
      </c>
      <c r="C239" s="145" t="s">
        <v>3021</v>
      </c>
      <c r="D239" s="126"/>
      <c r="E239" s="126"/>
      <c r="F239" s="126"/>
      <c r="G239" s="126"/>
      <c r="M239" s="126"/>
      <c r="N239" s="484" t="s">
        <v>2064</v>
      </c>
      <c r="O239" s="3111" t="s">
        <v>4310</v>
      </c>
      <c r="P239" s="627"/>
    </row>
    <row r="240" spans="1:18" s="106" customFormat="1" ht="12" customHeight="1">
      <c r="A240" s="149"/>
      <c r="B240" s="484" t="s">
        <v>2622</v>
      </c>
      <c r="C240" s="145" t="s">
        <v>3972</v>
      </c>
      <c r="D240" s="126"/>
      <c r="E240" s="126"/>
      <c r="F240" s="126"/>
      <c r="G240" s="126"/>
      <c r="H240" s="126"/>
      <c r="L240" s="126"/>
      <c r="M240" s="126"/>
      <c r="N240" s="484" t="s">
        <v>2622</v>
      </c>
      <c r="O240" s="3111" t="s">
        <v>4310</v>
      </c>
      <c r="P240" s="627"/>
    </row>
    <row r="241" spans="1:18" s="106" customFormat="1" ht="12" customHeight="1">
      <c r="A241" s="149"/>
      <c r="B241" s="484" t="s">
        <v>1270</v>
      </c>
      <c r="C241" s="145" t="s">
        <v>3973</v>
      </c>
      <c r="D241" s="126"/>
      <c r="E241" s="126"/>
      <c r="F241" s="126"/>
      <c r="G241" s="126"/>
      <c r="H241" s="126"/>
      <c r="I241" s="126"/>
      <c r="J241" s="126"/>
      <c r="K241" s="126"/>
      <c r="L241" s="126"/>
      <c r="M241" s="126"/>
      <c r="N241" s="484" t="s">
        <v>1270</v>
      </c>
      <c r="O241" s="3109" t="s">
        <v>4310</v>
      </c>
      <c r="P241" s="628"/>
    </row>
    <row r="242" spans="1:18" s="106" customFormat="1" ht="12" customHeight="1">
      <c r="B242" s="197" t="s">
        <v>3974</v>
      </c>
      <c r="D242" s="126"/>
      <c r="E242" s="126"/>
      <c r="F242" s="126"/>
      <c r="G242" s="126"/>
      <c r="H242" s="126"/>
      <c r="I242" s="126"/>
      <c r="J242" s="126"/>
      <c r="K242" s="126"/>
      <c r="L242" s="126"/>
      <c r="M242" s="126"/>
      <c r="N242" s="521"/>
      <c r="O242" s="521"/>
      <c r="P242" s="521"/>
    </row>
    <row r="243" spans="1:18" ht="11.45" customHeight="1">
      <c r="A243" s="149" t="s">
        <v>2061</v>
      </c>
      <c r="B243" s="195" t="s">
        <v>2915</v>
      </c>
      <c r="D243" s="34"/>
      <c r="G243" s="1877" t="s">
        <v>3761</v>
      </c>
      <c r="H243" s="1877"/>
      <c r="I243" s="1877"/>
      <c r="J243" s="1877"/>
      <c r="K243" s="1877"/>
      <c r="L243" s="413" t="str">
        <f>IF(OR($O243=$M243,$O243=0,$O243=""),"","* * Check Score! * *")</f>
        <v/>
      </c>
      <c r="M243" s="85">
        <v>1</v>
      </c>
      <c r="N243" s="437" t="str">
        <f>IF(OR($O243=$M243,$O243=0,$O243=""),"","***")</f>
        <v/>
      </c>
      <c r="O243" s="3196">
        <v>0</v>
      </c>
      <c r="P243" s="1144"/>
      <c r="Q243" s="115"/>
      <c r="R243" s="429" t="s">
        <v>2810</v>
      </c>
    </row>
    <row r="244" spans="1:18" ht="11.45" customHeight="1">
      <c r="B244" s="488" t="s">
        <v>2917</v>
      </c>
      <c r="E244" s="125"/>
      <c r="N244" s="69" t="s">
        <v>2061</v>
      </c>
      <c r="O244" s="3151" t="s">
        <v>4310</v>
      </c>
      <c r="P244" s="624"/>
      <c r="Q244" s="429"/>
    </row>
    <row r="245" spans="1:18" ht="11.25" customHeight="1">
      <c r="A245" s="583"/>
      <c r="C245" s="145" t="s">
        <v>3976</v>
      </c>
      <c r="D245" s="1211" t="str">
        <f>'Part I-Project Information'!$F$28</f>
        <v>Kingsland</v>
      </c>
      <c r="F245" s="145" t="s">
        <v>3755</v>
      </c>
      <c r="G245" s="1211" t="str">
        <f>'Part I-Project Information'!$J$29</f>
        <v>Camden</v>
      </c>
      <c r="H245" s="476" t="s">
        <v>468</v>
      </c>
      <c r="I245" s="487" t="str">
        <f>'Part I-Project Information'!$N$29</f>
        <v>No</v>
      </c>
      <c r="K245" s="533" t="s">
        <v>3975</v>
      </c>
      <c r="L245" s="1799" t="str">
        <f>'Part I-Project Information'!$O$28</f>
        <v>104.01</v>
      </c>
      <c r="M245" s="1799"/>
      <c r="N245" s="1799"/>
      <c r="O245" s="1799"/>
      <c r="P245" s="1799"/>
    </row>
    <row r="246" spans="1:18" s="44" customFormat="1" ht="12" customHeight="1">
      <c r="A246" s="43"/>
      <c r="B246" s="50" t="s">
        <v>267</v>
      </c>
      <c r="C246" s="43"/>
      <c r="D246" s="49"/>
      <c r="E246" s="49"/>
      <c r="F246" s="49"/>
      <c r="G246" s="49"/>
      <c r="H246" s="37"/>
      <c r="I246" s="37"/>
      <c r="J246" s="91" t="s">
        <v>1937</v>
      </c>
      <c r="M246" s="47"/>
      <c r="N246" s="65"/>
      <c r="O246" s="3"/>
      <c r="P246" s="1417"/>
    </row>
    <row r="247" spans="1:18" s="44" customFormat="1" ht="12" customHeight="1">
      <c r="A247" s="3073" t="s">
        <v>4341</v>
      </c>
      <c r="B247" s="3074"/>
      <c r="C247" s="3074"/>
      <c r="D247" s="3074"/>
      <c r="E247" s="3074"/>
      <c r="F247" s="3074"/>
      <c r="G247" s="3074"/>
      <c r="H247" s="3074"/>
      <c r="I247" s="3075"/>
      <c r="J247" s="1705"/>
      <c r="K247" s="1706"/>
      <c r="L247" s="1706"/>
      <c r="M247" s="1706"/>
      <c r="N247" s="1706"/>
      <c r="O247" s="1706"/>
      <c r="P247" s="1707"/>
      <c r="Q247" s="496" t="s">
        <v>1301</v>
      </c>
    </row>
    <row r="248" spans="1:18" ht="4.5" customHeight="1"/>
    <row r="249" spans="1:18" s="44" customFormat="1" ht="15">
      <c r="A249" s="165" t="s">
        <v>1731</v>
      </c>
      <c r="B249" s="120" t="s">
        <v>2957</v>
      </c>
      <c r="D249" s="94"/>
      <c r="E249" s="94"/>
      <c r="F249" s="54"/>
      <c r="G249" s="54"/>
      <c r="H249" s="54"/>
      <c r="I249" s="180" t="s">
        <v>2912</v>
      </c>
      <c r="J249" s="587"/>
      <c r="K249" s="66"/>
      <c r="L249" s="588" t="str">
        <f>'Part I-Project Information'!$H$90</f>
        <v>Rural</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4" t="s">
        <v>2062</v>
      </c>
      <c r="C251" s="480" t="s">
        <v>2956</v>
      </c>
      <c r="E251" s="94"/>
      <c r="F251" s="54"/>
      <c r="G251" s="54"/>
      <c r="H251" s="54"/>
      <c r="I251" s="54"/>
      <c r="J251" s="56"/>
      <c r="K251" s="63"/>
      <c r="L251" s="1935" t="str">
        <f>IF(OR(O251="No",O252="No",O253="No",O254="No",O256="No"),"Unmet criterion results in no points!","")</f>
        <v/>
      </c>
      <c r="N251" s="192" t="s">
        <v>2062</v>
      </c>
      <c r="O251" s="3108" t="s">
        <v>3153</v>
      </c>
      <c r="P251" s="626"/>
    </row>
    <row r="252" spans="1:18" s="106" customFormat="1" ht="11.25" customHeight="1">
      <c r="B252" s="484" t="s">
        <v>2064</v>
      </c>
      <c r="C252" s="106" t="s">
        <v>588</v>
      </c>
      <c r="L252" s="1935"/>
      <c r="N252" s="192" t="s">
        <v>2064</v>
      </c>
      <c r="O252" s="3111" t="s">
        <v>3153</v>
      </c>
      <c r="P252" s="627"/>
    </row>
    <row r="253" spans="1:18" s="106" customFormat="1" ht="11.25" customHeight="1">
      <c r="B253" s="484" t="s">
        <v>2622</v>
      </c>
      <c r="C253" s="106" t="s">
        <v>589</v>
      </c>
      <c r="L253" s="1838" t="str">
        <f>IF(OR(P251="No",P252="No",P253="No",P254="No",P256="No"),"Unmet criterion results in no points!","")</f>
        <v/>
      </c>
      <c r="N253" s="192" t="s">
        <v>2622</v>
      </c>
      <c r="O253" s="3109" t="s">
        <v>3153</v>
      </c>
      <c r="P253" s="628"/>
    </row>
    <row r="254" spans="1:18" s="106" customFormat="1" ht="11.25" customHeight="1">
      <c r="B254" s="484" t="s">
        <v>1270</v>
      </c>
      <c r="C254" s="480" t="s">
        <v>3979</v>
      </c>
      <c r="L254" s="1838"/>
      <c r="N254" s="192" t="s">
        <v>1270</v>
      </c>
      <c r="O254" s="3108" t="s">
        <v>3153</v>
      </c>
      <c r="P254" s="626"/>
    </row>
    <row r="255" spans="1:18" s="106" customFormat="1" ht="11.25" customHeight="1">
      <c r="B255" s="412" t="s">
        <v>2520</v>
      </c>
      <c r="C255" s="480" t="s">
        <v>3981</v>
      </c>
      <c r="N255" s="192" t="s">
        <v>2520</v>
      </c>
      <c r="O255" s="3111" t="s">
        <v>4310</v>
      </c>
      <c r="P255" s="627"/>
    </row>
    <row r="256" spans="1:18" s="485" customFormat="1" ht="22.5" customHeight="1">
      <c r="A256" s="1337" t="s">
        <v>3529</v>
      </c>
      <c r="B256" s="428" t="s">
        <v>2521</v>
      </c>
      <c r="C256" s="1829" t="s">
        <v>3980</v>
      </c>
      <c r="D256" s="1829"/>
      <c r="E256" s="1829"/>
      <c r="F256" s="1829"/>
      <c r="G256" s="1829"/>
      <c r="H256" s="1829"/>
      <c r="I256" s="1829"/>
      <c r="J256" s="1829"/>
      <c r="K256" s="1829"/>
      <c r="L256" s="1829"/>
      <c r="M256" s="1829"/>
      <c r="N256" s="430" t="s">
        <v>2521</v>
      </c>
      <c r="O256" s="3152" t="s">
        <v>3153</v>
      </c>
      <c r="P256" s="631"/>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3982</v>
      </c>
      <c r="I258" s="1885" t="s">
        <v>2066</v>
      </c>
      <c r="J258" s="1885"/>
      <c r="L258" s="1885" t="s">
        <v>2066</v>
      </c>
      <c r="M258" s="1885"/>
      <c r="N258" s="192"/>
    </row>
    <row r="259" spans="1:18" s="44" customFormat="1" ht="11.25" customHeight="1">
      <c r="A259" s="193"/>
      <c r="B259" s="412" t="s">
        <v>2520</v>
      </c>
      <c r="C259" s="37" t="s">
        <v>1539</v>
      </c>
      <c r="H259" s="412" t="s">
        <v>2520</v>
      </c>
      <c r="I259" s="3271"/>
      <c r="J259" s="3272"/>
      <c r="K259" s="412" t="s">
        <v>2520</v>
      </c>
      <c r="L259" s="1883"/>
      <c r="M259" s="1884"/>
      <c r="N259" s="192"/>
      <c r="O259" s="1409"/>
      <c r="P259" s="1409"/>
      <c r="R259" s="413"/>
    </row>
    <row r="260" spans="1:18" ht="11.25" customHeight="1">
      <c r="A260" s="194"/>
      <c r="B260" s="428" t="s">
        <v>2521</v>
      </c>
      <c r="C260" s="37" t="s">
        <v>3985</v>
      </c>
      <c r="H260" s="428" t="s">
        <v>2521</v>
      </c>
      <c r="I260" s="3273"/>
      <c r="J260" s="3274"/>
      <c r="K260" s="428" t="s">
        <v>2521</v>
      </c>
      <c r="L260" s="1809"/>
      <c r="M260" s="1810"/>
      <c r="N260" s="192"/>
      <c r="R260" s="413"/>
    </row>
    <row r="261" spans="1:18" ht="11.25" customHeight="1">
      <c r="B261" s="412" t="s">
        <v>2522</v>
      </c>
      <c r="C261" s="37" t="s">
        <v>2716</v>
      </c>
      <c r="H261" s="412" t="s">
        <v>2522</v>
      </c>
      <c r="I261" s="3273">
        <v>1250099</v>
      </c>
      <c r="J261" s="3274"/>
      <c r="K261" s="412" t="s">
        <v>2522</v>
      </c>
      <c r="L261" s="1809"/>
      <c r="M261" s="1810"/>
      <c r="N261" s="192"/>
      <c r="R261" s="413"/>
    </row>
    <row r="262" spans="1:18" ht="11.25" customHeight="1">
      <c r="A262" s="194"/>
      <c r="B262" s="412" t="s">
        <v>2523</v>
      </c>
      <c r="C262" s="37" t="s">
        <v>3714</v>
      </c>
      <c r="H262" s="412" t="s">
        <v>2523</v>
      </c>
      <c r="I262" s="3273"/>
      <c r="J262" s="3274"/>
      <c r="K262" s="412" t="s">
        <v>2523</v>
      </c>
      <c r="L262" s="1809"/>
      <c r="M262" s="1810"/>
      <c r="N262" s="192"/>
      <c r="R262" s="413"/>
    </row>
    <row r="263" spans="1:18" s="44" customFormat="1" ht="11.25" customHeight="1">
      <c r="A263" s="193"/>
      <c r="B263" s="428" t="s">
        <v>2524</v>
      </c>
      <c r="C263" s="37" t="s">
        <v>2842</v>
      </c>
      <c r="H263" s="428" t="s">
        <v>2524</v>
      </c>
      <c r="I263" s="3273"/>
      <c r="J263" s="3274"/>
      <c r="K263" s="428" t="s">
        <v>2524</v>
      </c>
      <c r="L263" s="1809"/>
      <c r="M263" s="1810"/>
      <c r="N263" s="192"/>
      <c r="O263" s="1409"/>
      <c r="P263" s="1409"/>
      <c r="R263" s="413"/>
    </row>
    <row r="264" spans="1:18" ht="11.25" customHeight="1">
      <c r="B264" s="412" t="s">
        <v>2540</v>
      </c>
      <c r="C264" s="37" t="s">
        <v>1538</v>
      </c>
      <c r="H264" s="412" t="s">
        <v>2540</v>
      </c>
      <c r="I264" s="3273"/>
      <c r="J264" s="3274"/>
      <c r="K264" s="412" t="s">
        <v>2540</v>
      </c>
      <c r="L264" s="1809"/>
      <c r="M264" s="1810"/>
      <c r="N264" s="192"/>
      <c r="R264" s="413"/>
    </row>
    <row r="265" spans="1:18" ht="11.25" customHeight="1">
      <c r="A265" s="194"/>
      <c r="B265" s="412" t="s">
        <v>2541</v>
      </c>
      <c r="C265" s="37" t="s">
        <v>3983</v>
      </c>
      <c r="H265" s="412" t="s">
        <v>2541</v>
      </c>
      <c r="I265" s="3273"/>
      <c r="J265" s="3274"/>
      <c r="K265" s="412" t="s">
        <v>2541</v>
      </c>
      <c r="L265" s="1809"/>
      <c r="M265" s="1810"/>
      <c r="N265" s="192"/>
      <c r="R265" s="413"/>
    </row>
    <row r="266" spans="1:18" ht="11.25" customHeight="1">
      <c r="B266" s="427" t="s">
        <v>2542</v>
      </c>
      <c r="C266" s="37" t="s">
        <v>3984</v>
      </c>
      <c r="H266" s="427" t="s">
        <v>2542</v>
      </c>
      <c r="I266" s="3273"/>
      <c r="J266" s="3274"/>
      <c r="K266" s="427" t="s">
        <v>2542</v>
      </c>
      <c r="L266" s="1809"/>
      <c r="M266" s="1810"/>
      <c r="N266" s="192"/>
      <c r="R266" s="413"/>
    </row>
    <row r="267" spans="1:18" ht="11.25" customHeight="1">
      <c r="B267" s="427" t="s">
        <v>2543</v>
      </c>
      <c r="C267" s="37" t="s">
        <v>3986</v>
      </c>
      <c r="H267" s="427" t="s">
        <v>2543</v>
      </c>
      <c r="I267" s="3273"/>
      <c r="J267" s="3274"/>
      <c r="K267" s="427" t="s">
        <v>2543</v>
      </c>
      <c r="L267" s="1809"/>
      <c r="M267" s="1810"/>
      <c r="N267" s="192"/>
      <c r="R267" s="413"/>
    </row>
    <row r="268" spans="1:18" ht="11.25" customHeight="1" thickBot="1">
      <c r="A268" s="194"/>
      <c r="B268" s="427" t="s">
        <v>3987</v>
      </c>
      <c r="C268" s="37" t="s">
        <v>3988</v>
      </c>
      <c r="H268" s="427" t="s">
        <v>3987</v>
      </c>
      <c r="I268" s="3273"/>
      <c r="J268" s="3274"/>
      <c r="K268" s="427" t="s">
        <v>3987</v>
      </c>
      <c r="L268" s="1809"/>
      <c r="M268" s="1810"/>
      <c r="N268" s="1216" t="s">
        <v>3989</v>
      </c>
      <c r="R268" s="413"/>
    </row>
    <row r="269" spans="1:18" ht="12" customHeight="1" thickBot="1">
      <c r="A269" s="194"/>
      <c r="B269" s="484"/>
      <c r="C269" s="482" t="s">
        <v>2718</v>
      </c>
      <c r="H269" s="57"/>
      <c r="I269" s="1811">
        <f>SUM(I259:J268)</f>
        <v>1250099</v>
      </c>
      <c r="J269" s="1812"/>
      <c r="L269" s="1811">
        <f>SUM($L259:$L268)</f>
        <v>0</v>
      </c>
      <c r="M269" s="1812"/>
      <c r="N269" s="192"/>
      <c r="R269" s="413"/>
    </row>
    <row r="270" spans="1:18" s="44" customFormat="1" ht="3" customHeight="1">
      <c r="A270" s="43"/>
      <c r="B270" s="117"/>
      <c r="D270" s="40"/>
      <c r="E270" s="37"/>
      <c r="F270" s="1189"/>
      <c r="G270" s="1921" t="str">
        <f>IF(OR(I268=0,I268="",$I$271=0),"",IF(I268/$I$271&lt;10%,"Check amount of conventional loan in (j) - must be at least 10% of TDC!",""))</f>
        <v/>
      </c>
      <c r="H270" s="1921"/>
      <c r="I270" s="1921"/>
      <c r="J270" s="1921"/>
      <c r="K270" s="1921"/>
      <c r="L270" s="1920" t="str">
        <f>IF(OR(L268=0,L268="",$I$271=0),"",IF(L268/$I$271&lt;10%,"Check amount of conventional loan in (j) - must be at least 10% of TDC!",""))</f>
        <v/>
      </c>
      <c r="M270" s="1920"/>
      <c r="N270" s="1920"/>
      <c r="O270" s="1920"/>
      <c r="P270" s="1920"/>
    </row>
    <row r="271" spans="1:18" ht="12" customHeight="1">
      <c r="B271" s="411" t="s">
        <v>2064</v>
      </c>
      <c r="C271" s="489" t="s">
        <v>2717</v>
      </c>
      <c r="D271" s="482" t="s">
        <v>2719</v>
      </c>
      <c r="I271" s="1894">
        <f>'Part IV-Uses of Funds'!$G$131</f>
        <v>11097534</v>
      </c>
      <c r="J271" s="1895"/>
      <c r="L271" s="1920"/>
      <c r="M271" s="1920"/>
      <c r="N271" s="1920"/>
      <c r="O271" s="1920"/>
      <c r="P271" s="1920"/>
    </row>
    <row r="272" spans="1:18" ht="12" customHeight="1">
      <c r="B272" s="192"/>
      <c r="C272" s="481"/>
      <c r="D272" s="487" t="s">
        <v>2720</v>
      </c>
      <c r="G272" s="1167"/>
      <c r="H272" s="1167"/>
      <c r="I272" s="1813">
        <f>IF($I271=0,0,$I269/$I271)</f>
        <v>0.11264655733426904</v>
      </c>
      <c r="J272" s="1814"/>
      <c r="L272" s="1891">
        <f>IF($I271=0,0,$L269/$I271)</f>
        <v>0</v>
      </c>
      <c r="M272" s="1892"/>
      <c r="N272" s="28"/>
      <c r="O272" s="28"/>
      <c r="P272" s="28"/>
    </row>
    <row r="273" spans="1:18" s="44" customFormat="1" ht="12.75" customHeight="1">
      <c r="A273" s="149" t="s">
        <v>2061</v>
      </c>
      <c r="B273" s="197" t="s">
        <v>3990</v>
      </c>
      <c r="D273" s="40"/>
      <c r="E273" s="37"/>
      <c r="F273" s="1189"/>
      <c r="H273" s="37"/>
      <c r="I273" s="1189"/>
      <c r="J273" s="1219"/>
      <c r="K273" s="1219"/>
      <c r="L273" s="1219"/>
      <c r="M273" s="77">
        <v>2</v>
      </c>
      <c r="N273" s="521" t="s">
        <v>2061</v>
      </c>
      <c r="O273" s="3275">
        <v>0</v>
      </c>
      <c r="P273" s="618"/>
      <c r="Q273" s="429" t="s">
        <v>2810</v>
      </c>
    </row>
    <row r="274" spans="1:18" s="44" customFormat="1" ht="11.25" customHeight="1">
      <c r="A274" s="149"/>
      <c r="B274" s="54" t="s">
        <v>3991</v>
      </c>
      <c r="C274" s="54"/>
      <c r="D274" s="54"/>
      <c r="E274" s="54"/>
      <c r="F274" s="54"/>
      <c r="G274" s="54"/>
      <c r="H274" s="54"/>
      <c r="I274" s="54"/>
      <c r="J274" s="54"/>
      <c r="K274" s="54"/>
      <c r="L274" s="54"/>
      <c r="M274" s="54"/>
      <c r="N274" s="54"/>
      <c r="O274" s="3109" t="s">
        <v>3156</v>
      </c>
      <c r="P274" s="628"/>
    </row>
    <row r="275" spans="1:18" s="44" customFormat="1" ht="12.75" customHeight="1">
      <c r="A275" s="149" t="s">
        <v>779</v>
      </c>
      <c r="B275" s="197" t="s">
        <v>667</v>
      </c>
      <c r="D275" s="40"/>
      <c r="E275" s="37"/>
      <c r="F275" s="1189"/>
      <c r="G275" s="1189"/>
      <c r="H275" s="1189"/>
      <c r="I275" s="1189"/>
      <c r="J275" s="1219"/>
      <c r="K275" s="1219"/>
      <c r="L275" s="1219"/>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2972</v>
      </c>
      <c r="I276" s="3116"/>
      <c r="J276" s="3117"/>
      <c r="K276" s="3117"/>
      <c r="L276" s="3117"/>
      <c r="M276" s="3117"/>
      <c r="N276" s="3118"/>
    </row>
    <row r="277" spans="1:18" s="44" customFormat="1" ht="11.25" customHeight="1">
      <c r="A277" s="193"/>
      <c r="B277" s="533" t="s">
        <v>3993</v>
      </c>
      <c r="I277" s="3263" t="s">
        <v>2958</v>
      </c>
      <c r="J277" s="3264"/>
      <c r="K277" s="3265"/>
    </row>
    <row r="278" spans="1:18" ht="11.25" customHeight="1">
      <c r="A278" s="194"/>
      <c r="B278" s="533" t="s">
        <v>4193</v>
      </c>
      <c r="F278" s="3276"/>
      <c r="G278" s="3276"/>
      <c r="H278" s="3276"/>
      <c r="I278" s="3277"/>
      <c r="K278" s="3276"/>
      <c r="L278" s="3276"/>
      <c r="M278" s="3276"/>
      <c r="N278" s="3276"/>
      <c r="O278" s="3276"/>
      <c r="P278" s="3276"/>
    </row>
    <row r="279" spans="1:18" ht="11.25" customHeight="1">
      <c r="A279" s="194"/>
      <c r="B279" s="431" t="s">
        <v>3992</v>
      </c>
      <c r="G279" s="431"/>
      <c r="I279" s="3278"/>
      <c r="J279" s="3279"/>
      <c r="K279" s="3276"/>
      <c r="L279" s="3276"/>
      <c r="M279" s="3276"/>
      <c r="N279" s="3276"/>
      <c r="O279" s="3276"/>
      <c r="P279" s="3276"/>
    </row>
    <row r="280" spans="1:18" ht="22.5" customHeight="1">
      <c r="A280" s="194"/>
      <c r="B280" s="1751" t="s">
        <v>2438</v>
      </c>
      <c r="C280" s="1751"/>
      <c r="D280" s="3280"/>
      <c r="E280" s="3281"/>
      <c r="F280" s="3281"/>
      <c r="G280" s="3281"/>
      <c r="H280" s="3281"/>
      <c r="I280" s="3281"/>
      <c r="J280" s="3281"/>
      <c r="K280" s="3281"/>
      <c r="L280" s="3281"/>
      <c r="M280" s="3281"/>
      <c r="N280" s="3281"/>
      <c r="O280" s="3281"/>
      <c r="P280" s="3282"/>
      <c r="Q280" s="496" t="s">
        <v>1301</v>
      </c>
    </row>
    <row r="281" spans="1:18" ht="11.25" customHeight="1">
      <c r="B281" s="37" t="s">
        <v>3701</v>
      </c>
      <c r="E281" s="1443"/>
      <c r="I281" s="3283"/>
      <c r="J281" s="3284"/>
      <c r="L281" s="1913"/>
      <c r="M281" s="1914"/>
      <c r="N281" s="28"/>
      <c r="O281" s="28"/>
    </row>
    <row r="282" spans="1:18" s="44" customFormat="1" ht="11.25" customHeight="1">
      <c r="A282" s="43"/>
      <c r="C282" s="37" t="s">
        <v>3702</v>
      </c>
      <c r="D282" s="1418"/>
      <c r="E282" s="1418"/>
      <c r="F282" s="1418"/>
      <c r="G282" s="1418"/>
      <c r="H282" s="1418"/>
      <c r="I282" s="1891">
        <f>IF($I281=0,0,$I281/$I271)</f>
        <v>0</v>
      </c>
      <c r="J282" s="1892"/>
      <c r="K282" s="1418"/>
      <c r="L282" s="1891">
        <f>IF($L281=0,0,$L281/$I271)</f>
        <v>0</v>
      </c>
      <c r="M282" s="1892"/>
      <c r="N282" s="79"/>
      <c r="O282" s="75"/>
      <c r="P282" s="1189"/>
    </row>
    <row r="283" spans="1:18" s="44" customFormat="1" ht="12" customHeight="1">
      <c r="A283" s="43"/>
      <c r="B283" s="50" t="s">
        <v>267</v>
      </c>
      <c r="C283" s="43"/>
      <c r="D283" s="49"/>
      <c r="E283" s="49"/>
      <c r="F283" s="49"/>
      <c r="G283" s="49"/>
      <c r="H283" s="37"/>
      <c r="I283" s="37"/>
      <c r="J283" s="37"/>
      <c r="K283" s="37"/>
      <c r="M283" s="47"/>
      <c r="N283" s="65"/>
      <c r="O283" s="3"/>
      <c r="P283" s="1417"/>
    </row>
    <row r="284" spans="1:18" s="44" customFormat="1" ht="12" customHeight="1">
      <c r="A284" s="3073" t="s">
        <v>4342</v>
      </c>
      <c r="B284" s="3074"/>
      <c r="C284" s="3074"/>
      <c r="D284" s="3074"/>
      <c r="E284" s="3074"/>
      <c r="F284" s="3074"/>
      <c r="G284" s="3074"/>
      <c r="H284" s="3074"/>
      <c r="I284" s="3074"/>
      <c r="J284" s="3074"/>
      <c r="K284" s="3074"/>
      <c r="L284" s="3074"/>
      <c r="M284" s="3074"/>
      <c r="N284" s="3074"/>
      <c r="O284" s="3074"/>
      <c r="P284" s="3075"/>
      <c r="Q284" s="496" t="s">
        <v>1301</v>
      </c>
    </row>
    <row r="285" spans="1:18" s="108" customFormat="1" ht="12" customHeight="1">
      <c r="A285" s="43"/>
      <c r="B285" s="103" t="s">
        <v>1937</v>
      </c>
      <c r="C285" s="104"/>
      <c r="D285" s="103"/>
      <c r="E285" s="198"/>
      <c r="F285" s="1423"/>
      <c r="G285" s="1423"/>
      <c r="H285" s="1423"/>
      <c r="I285" s="1423"/>
      <c r="J285" s="1423"/>
      <c r="K285" s="1423"/>
      <c r="L285" s="1423"/>
      <c r="M285" s="1423"/>
      <c r="N285" s="99"/>
      <c r="O285" s="1161"/>
      <c r="P285" s="1413"/>
      <c r="Q285" s="473"/>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496" t="s">
        <v>1301</v>
      </c>
    </row>
    <row r="287" spans="1:18" ht="3" customHeight="1"/>
    <row r="288" spans="1:18" s="44" customFormat="1" ht="15">
      <c r="A288" s="165" t="s">
        <v>1733</v>
      </c>
      <c r="B288" s="111" t="s">
        <v>3604</v>
      </c>
      <c r="C288" s="70"/>
      <c r="E288" s="42"/>
      <c r="G288" s="180" t="s">
        <v>2912</v>
      </c>
      <c r="I288" s="643" t="str">
        <f>'Part I-Project Information'!$H$90</f>
        <v>Rural</v>
      </c>
      <c r="J288" s="49"/>
      <c r="K288" s="49"/>
      <c r="L288" s="413" t="str">
        <f>IF(OR($O288=$M288,$O288=0,$O288=""),"","* * Check Score! * *")</f>
        <v/>
      </c>
      <c r="M288" s="1413">
        <v>3</v>
      </c>
      <c r="N288" s="108"/>
      <c r="O288" s="47"/>
      <c r="P288" s="622"/>
      <c r="Q288" s="115" t="s">
        <v>456</v>
      </c>
      <c r="R288" s="413"/>
    </row>
    <row r="289" spans="1:18" s="44" customFormat="1" ht="12" customHeight="1">
      <c r="A289" s="149" t="s">
        <v>2058</v>
      </c>
      <c r="B289" s="180" t="s">
        <v>2843</v>
      </c>
      <c r="D289" s="34"/>
      <c r="G289" s="57" t="s">
        <v>2433</v>
      </c>
      <c r="M289" s="77">
        <v>3</v>
      </c>
      <c r="N289" s="521" t="s">
        <v>2058</v>
      </c>
      <c r="O289" s="3151" t="s">
        <v>3156</v>
      </c>
      <c r="P289" s="624"/>
      <c r="R289" s="413"/>
    </row>
    <row r="290" spans="1:18" s="44" customFormat="1" ht="12" customHeight="1">
      <c r="A290" s="149" t="s">
        <v>2061</v>
      </c>
      <c r="B290" s="180" t="s">
        <v>3605</v>
      </c>
      <c r="D290" s="34"/>
      <c r="F290" s="427"/>
      <c r="G290" s="57" t="s">
        <v>4112</v>
      </c>
      <c r="I290" s="3285" t="s">
        <v>4005</v>
      </c>
      <c r="J290" s="3286"/>
      <c r="K290" s="3286"/>
      <c r="L290" s="3287"/>
      <c r="O290" s="1818" t="s">
        <v>4006</v>
      </c>
      <c r="P290" s="1818"/>
      <c r="R290" s="413"/>
    </row>
    <row r="291" spans="1:18" s="44" customFormat="1" ht="13.5" customHeight="1">
      <c r="A291" s="472" t="s">
        <v>779</v>
      </c>
      <c r="B291" s="846" t="s">
        <v>3994</v>
      </c>
      <c r="C291" s="473"/>
      <c r="D291" s="475"/>
      <c r="E291" s="475"/>
      <c r="F291" s="34"/>
      <c r="L291" s="1221" t="s">
        <v>4001</v>
      </c>
      <c r="O291" s="1819"/>
      <c r="P291" s="1819"/>
      <c r="R291" s="413"/>
    </row>
    <row r="292" spans="1:18" s="108" customFormat="1" ht="10.5" customHeight="1">
      <c r="A292" s="149"/>
      <c r="B292" s="411" t="s">
        <v>2062</v>
      </c>
      <c r="C292" s="37" t="s">
        <v>3995</v>
      </c>
      <c r="D292" s="34"/>
      <c r="F292" s="34"/>
      <c r="H292" s="37"/>
      <c r="L292" s="484" t="s">
        <v>4002</v>
      </c>
      <c r="N292" s="521" t="s">
        <v>779</v>
      </c>
      <c r="O292" s="192" t="s">
        <v>2062</v>
      </c>
      <c r="P292" s="626"/>
      <c r="R292" s="413"/>
    </row>
    <row r="293" spans="1:18" s="108" customFormat="1" ht="10.5" customHeight="1">
      <c r="A293" s="149"/>
      <c r="B293" s="411" t="s">
        <v>2064</v>
      </c>
      <c r="C293" s="37" t="s">
        <v>3996</v>
      </c>
      <c r="D293" s="34"/>
      <c r="F293" s="34"/>
      <c r="H293" s="37"/>
      <c r="L293" s="484" t="s">
        <v>4002</v>
      </c>
      <c r="O293" s="192" t="s">
        <v>2064</v>
      </c>
      <c r="P293" s="627"/>
      <c r="R293" s="413"/>
    </row>
    <row r="294" spans="1:18" s="108" customFormat="1" ht="10.5" customHeight="1">
      <c r="A294" s="149"/>
      <c r="B294" s="411" t="s">
        <v>2622</v>
      </c>
      <c r="C294" s="37" t="s">
        <v>3997</v>
      </c>
      <c r="D294" s="34"/>
      <c r="F294" s="34"/>
      <c r="H294" s="37"/>
      <c r="L294" s="484" t="s">
        <v>4003</v>
      </c>
      <c r="O294" s="192" t="s">
        <v>2622</v>
      </c>
      <c r="P294" s="627"/>
      <c r="R294" s="413"/>
    </row>
    <row r="295" spans="1:18" s="108" customFormat="1" ht="10.5" customHeight="1">
      <c r="A295" s="149"/>
      <c r="B295" s="411" t="s">
        <v>1270</v>
      </c>
      <c r="C295" s="37" t="s">
        <v>3998</v>
      </c>
      <c r="D295" s="34"/>
      <c r="F295" s="34"/>
      <c r="H295" s="37"/>
      <c r="L295" s="484" t="s">
        <v>4003</v>
      </c>
      <c r="O295" s="192" t="s">
        <v>1270</v>
      </c>
      <c r="P295" s="627"/>
      <c r="R295" s="413"/>
    </row>
    <row r="296" spans="1:18" s="108" customFormat="1" ht="10.5" customHeight="1">
      <c r="A296" s="149"/>
      <c r="B296" s="411" t="s">
        <v>1271</v>
      </c>
      <c r="C296" s="37" t="s">
        <v>3999</v>
      </c>
      <c r="D296" s="34"/>
      <c r="F296" s="34"/>
      <c r="H296" s="37"/>
      <c r="L296" s="484" t="s">
        <v>4003</v>
      </c>
      <c r="O296" s="192" t="s">
        <v>1271</v>
      </c>
      <c r="P296" s="627"/>
      <c r="R296" s="413"/>
    </row>
    <row r="297" spans="1:18" s="458" customFormat="1" ht="10.5" customHeight="1" thickBot="1">
      <c r="A297" s="154"/>
      <c r="B297" s="490" t="s">
        <v>1955</v>
      </c>
      <c r="C297" s="431" t="s">
        <v>4000</v>
      </c>
      <c r="D297" s="431"/>
      <c r="E297" s="431"/>
      <c r="F297" s="431"/>
      <c r="G297" s="431"/>
      <c r="H297" s="431"/>
      <c r="I297" s="431"/>
      <c r="J297" s="431"/>
      <c r="K297" s="431"/>
      <c r="L297" s="1222" t="s">
        <v>4003</v>
      </c>
      <c r="O297" s="430" t="s">
        <v>1955</v>
      </c>
      <c r="P297" s="630"/>
      <c r="R297" s="586"/>
    </row>
    <row r="298" spans="1:18" s="44" customFormat="1" ht="12" customHeight="1" thickBot="1">
      <c r="B298" s="103" t="s">
        <v>1937</v>
      </c>
      <c r="C298" s="57"/>
      <c r="D298" s="34"/>
      <c r="F298" s="34"/>
      <c r="H298" s="57"/>
      <c r="L298" s="484" t="s">
        <v>4004</v>
      </c>
      <c r="O298" s="769" t="s">
        <v>3606</v>
      </c>
      <c r="P298" s="1148">
        <f>SUM(P292:P297)</f>
        <v>0</v>
      </c>
      <c r="R298" s="413"/>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496" t="s">
        <v>1301</v>
      </c>
    </row>
    <row r="300" spans="1:18" s="44" customFormat="1" ht="3" customHeight="1">
      <c r="A300" s="43"/>
      <c r="B300" s="43"/>
      <c r="C300" s="1418"/>
      <c r="D300" s="1418"/>
      <c r="E300" s="1418"/>
      <c r="F300" s="1418"/>
      <c r="G300" s="1418"/>
      <c r="H300" s="1418"/>
      <c r="I300" s="1418"/>
      <c r="J300" s="1418"/>
      <c r="K300" s="1418"/>
      <c r="L300" s="1418"/>
      <c r="M300" s="1418"/>
      <c r="N300" s="79"/>
      <c r="O300" s="75"/>
      <c r="P300" s="1189"/>
    </row>
    <row r="301" spans="1:18" s="44" customFormat="1" ht="15">
      <c r="A301" s="166" t="s">
        <v>1734</v>
      </c>
      <c r="B301" s="119" t="s">
        <v>2825</v>
      </c>
      <c r="C301" s="93"/>
      <c r="D301" s="61"/>
      <c r="E301" s="54"/>
      <c r="J301" s="64"/>
      <c r="M301" s="1413">
        <v>3</v>
      </c>
      <c r="N301" s="6"/>
      <c r="O301" s="68">
        <f>MIN($M301,O302+O307)</f>
        <v>2</v>
      </c>
      <c r="P301" s="81">
        <f>MIN($M301,P302+P307)</f>
        <v>0</v>
      </c>
      <c r="Q301" s="115" t="s">
        <v>456</v>
      </c>
    </row>
    <row r="302" spans="1:18" s="44" customFormat="1" ht="12" customHeight="1">
      <c r="A302" s="149" t="s">
        <v>2058</v>
      </c>
      <c r="B302" s="180" t="s">
        <v>4069</v>
      </c>
      <c r="D302" s="34"/>
      <c r="E302" s="34"/>
      <c r="F302" s="34"/>
      <c r="H302" s="1132" t="s">
        <v>4350</v>
      </c>
      <c r="I302" s="862">
        <f>IF('Part VI-Revenues &amp; Expenses'!$O$62=0,0,L303/'Part VI-Revenues &amp; Expenses'!$O$62)</f>
        <v>9.7222222222222224E-2</v>
      </c>
      <c r="K302" s="521" t="s">
        <v>4068</v>
      </c>
      <c r="L302" s="862">
        <f>IF('Part VI-Revenues &amp; Expenses'!$O$58=0,0,'Part VI-Revenues &amp; Expenses'!$K$58/'Part VI-Revenues &amp; Expenses'!$O$58)</f>
        <v>0.16666666666666666</v>
      </c>
      <c r="M302" s="6">
        <v>2</v>
      </c>
      <c r="N302" s="521" t="s">
        <v>2058</v>
      </c>
      <c r="O302" s="1223">
        <f>IF(AND(J303&gt;0,L303&gt;0,I302&lt;=10%,L302&gt;=10%,O303="Agree",O304="Yes",O305="Yes"),$M$302,0)</f>
        <v>2</v>
      </c>
      <c r="P302" s="1223">
        <f>IF(AND(J303&gt;0,L303&gt;0,I302&lt;=10%,L302&gt;=10%,P303="Agree",P304="Yes",P305="Yes"),$M$302,0)</f>
        <v>0</v>
      </c>
      <c r="Q302" s="429"/>
      <c r="R302" s="115"/>
    </row>
    <row r="303" spans="1:18" s="458" customFormat="1" ht="22.5" customHeight="1">
      <c r="A303" s="154"/>
      <c r="B303" s="490" t="s">
        <v>2062</v>
      </c>
      <c r="C303" s="1751" t="s">
        <v>4347</v>
      </c>
      <c r="D303" s="1751"/>
      <c r="E303" s="1751"/>
      <c r="F303" s="1751"/>
      <c r="G303" s="1751"/>
      <c r="H303" s="1751"/>
      <c r="I303" s="1374" t="s">
        <v>4348</v>
      </c>
      <c r="J303" s="3196">
        <v>7</v>
      </c>
      <c r="K303" s="1374" t="s">
        <v>4349</v>
      </c>
      <c r="L303" s="3196">
        <v>7</v>
      </c>
      <c r="M303" s="1375" t="str">
        <f>IF(J303&lt;L303,"Check DCA RA units!","")</f>
        <v/>
      </c>
      <c r="N303" s="430" t="s">
        <v>2062</v>
      </c>
      <c r="O303" s="3149" t="s">
        <v>4288</v>
      </c>
      <c r="P303" s="629"/>
      <c r="Q303" s="593"/>
      <c r="R303" s="586"/>
    </row>
    <row r="304" spans="1:18" s="485" customFormat="1" ht="11.25" customHeight="1">
      <c r="A304" s="615"/>
      <c r="B304" s="490" t="s">
        <v>2064</v>
      </c>
      <c r="C304" s="1749" t="s">
        <v>3607</v>
      </c>
      <c r="D304" s="1749"/>
      <c r="E304" s="1749"/>
      <c r="F304" s="1749"/>
      <c r="G304" s="1749"/>
      <c r="H304" s="1749"/>
      <c r="I304" s="1749"/>
      <c r="J304" s="1749"/>
      <c r="K304" s="1749"/>
      <c r="L304" s="1749"/>
      <c r="M304" s="1749"/>
      <c r="N304" s="430" t="s">
        <v>2064</v>
      </c>
      <c r="O304" s="3111" t="s">
        <v>3153</v>
      </c>
      <c r="P304" s="627"/>
    </row>
    <row r="305" spans="1:18" s="485" customFormat="1" ht="11.25" customHeight="1">
      <c r="A305" s="615"/>
      <c r="B305" s="490" t="s">
        <v>2622</v>
      </c>
      <c r="C305" s="1749" t="s">
        <v>4007</v>
      </c>
      <c r="D305" s="1749"/>
      <c r="E305" s="1749"/>
      <c r="F305" s="1749"/>
      <c r="G305" s="1749"/>
      <c r="H305" s="1749"/>
      <c r="I305" s="1749"/>
      <c r="J305" s="1749"/>
      <c r="K305" s="1749"/>
      <c r="L305" s="1749"/>
      <c r="M305" s="1749"/>
      <c r="N305" s="430" t="s">
        <v>2622</v>
      </c>
      <c r="O305" s="3109" t="s">
        <v>3153</v>
      </c>
      <c r="P305" s="628"/>
    </row>
    <row r="306" spans="1:18" s="485" customFormat="1" ht="3" customHeight="1">
      <c r="B306" s="537"/>
      <c r="C306" s="1420"/>
      <c r="D306" s="1420"/>
      <c r="E306" s="1420"/>
      <c r="F306" s="1420"/>
      <c r="G306" s="1420"/>
      <c r="H306" s="1420"/>
      <c r="M306" s="1420"/>
      <c r="N306" s="1420"/>
      <c r="O306" s="1420"/>
      <c r="P306" s="1420"/>
    </row>
    <row r="307" spans="1:18" s="44" customFormat="1" ht="12" customHeight="1">
      <c r="A307" s="149" t="s">
        <v>2061</v>
      </c>
      <c r="B307" s="180" t="s">
        <v>2826</v>
      </c>
      <c r="D307" s="41"/>
      <c r="G307" s="37"/>
      <c r="M307" s="6">
        <v>3</v>
      </c>
      <c r="N307" s="521" t="s">
        <v>2061</v>
      </c>
      <c r="O307" s="1279">
        <f>IF(AND(O308="Agree",O310="Agree",$M$310&gt;=15%),$M$307,0)</f>
        <v>0</v>
      </c>
      <c r="P307" s="1279">
        <f>IF(AND(P308="Agree",P310="Agree",$M$310&gt;=15%),$M$307,0)</f>
        <v>0</v>
      </c>
      <c r="Q307" s="429"/>
      <c r="R307" s="413"/>
    </row>
    <row r="308" spans="1:18" s="458" customFormat="1" ht="33" customHeight="1">
      <c r="A308" s="154"/>
      <c r="B308" s="490" t="s">
        <v>2062</v>
      </c>
      <c r="C308" s="1751" t="s">
        <v>3715</v>
      </c>
      <c r="D308" s="1751"/>
      <c r="E308" s="1751"/>
      <c r="F308" s="1751"/>
      <c r="G308" s="1751"/>
      <c r="H308" s="1751"/>
      <c r="I308" s="1751"/>
      <c r="J308" s="1751"/>
      <c r="K308" s="1751"/>
      <c r="L308" s="1751"/>
      <c r="M308" s="770"/>
      <c r="N308" s="430" t="s">
        <v>2062</v>
      </c>
      <c r="O308" s="3260" t="s">
        <v>4320</v>
      </c>
      <c r="P308" s="625"/>
      <c r="Q308" s="593"/>
      <c r="R308" s="586"/>
    </row>
    <row r="309" spans="1:18" s="458" customFormat="1" ht="11.25" customHeight="1">
      <c r="A309" s="154"/>
      <c r="B309" s="490"/>
      <c r="C309" s="536" t="s">
        <v>4086</v>
      </c>
      <c r="D309" s="1422"/>
      <c r="E309" s="1422"/>
      <c r="F309" s="1422"/>
      <c r="G309" s="3288" t="s">
        <v>1006</v>
      </c>
      <c r="H309" s="3289"/>
      <c r="I309" s="3289"/>
      <c r="J309" s="3290"/>
      <c r="K309" s="1367" t="s">
        <v>4087</v>
      </c>
      <c r="L309" s="3291"/>
      <c r="M309" s="770"/>
      <c r="N309" s="430"/>
      <c r="O309" s="430"/>
      <c r="P309" s="430"/>
      <c r="Q309" s="593"/>
      <c r="R309" s="586"/>
    </row>
    <row r="310" spans="1:18" s="485" customFormat="1" ht="11.25" customHeight="1">
      <c r="A310" s="615"/>
      <c r="B310" s="490" t="s">
        <v>2064</v>
      </c>
      <c r="C310" s="431" t="s">
        <v>3608</v>
      </c>
      <c r="D310" s="431"/>
      <c r="E310" s="431"/>
      <c r="F310" s="431"/>
      <c r="G310" s="431"/>
      <c r="H310" s="431"/>
      <c r="I310" s="431"/>
      <c r="J310" s="431" t="s">
        <v>4085</v>
      </c>
      <c r="K310" s="431"/>
      <c r="L310" s="3292">
        <v>0</v>
      </c>
      <c r="M310" s="1278">
        <f>IF('Part VI-Revenues &amp; Expenses'!$O$62=0,0,L310/'Part VI-Revenues &amp; Expenses'!$O$62)</f>
        <v>0</v>
      </c>
      <c r="N310" s="430" t="s">
        <v>2064</v>
      </c>
      <c r="O310" s="3260" t="s">
        <v>4320</v>
      </c>
      <c r="P310" s="625"/>
    </row>
    <row r="311" spans="1:18" s="44" customFormat="1" ht="10.5" customHeight="1">
      <c r="B311" s="91" t="s">
        <v>1937</v>
      </c>
      <c r="C311" s="104"/>
      <c r="D311" s="91"/>
      <c r="E311" s="105"/>
      <c r="F311" s="1418"/>
      <c r="G311" s="1418"/>
      <c r="H311" s="1418"/>
      <c r="I311" s="1418"/>
      <c r="J311" s="1418"/>
      <c r="K311" s="1418"/>
      <c r="L311" s="1418"/>
      <c r="M311" s="1418"/>
      <c r="N311" s="79"/>
      <c r="O311" s="75"/>
      <c r="P311" s="1413"/>
      <c r="Q311" s="473"/>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496" t="s">
        <v>1301</v>
      </c>
    </row>
    <row r="313" spans="1:18" s="44" customFormat="1" ht="3" customHeight="1">
      <c r="A313" s="43"/>
      <c r="B313" s="43"/>
      <c r="C313" s="1418"/>
      <c r="D313" s="1418"/>
      <c r="E313" s="1418"/>
      <c r="F313" s="1418"/>
      <c r="G313" s="1418"/>
      <c r="H313" s="1418"/>
      <c r="I313" s="1418"/>
      <c r="J313" s="1418"/>
      <c r="K313" s="1418"/>
      <c r="L313" s="1418"/>
      <c r="M313" s="1418"/>
      <c r="N313" s="79"/>
      <c r="O313" s="75"/>
      <c r="P313" s="1189"/>
    </row>
    <row r="314" spans="1:18" s="44" customFormat="1" ht="12" customHeight="1">
      <c r="A314" s="165" t="s">
        <v>1735</v>
      </c>
      <c r="B314" s="111" t="s">
        <v>2827</v>
      </c>
      <c r="D314" s="41"/>
      <c r="G314" s="64" t="s">
        <v>3601</v>
      </c>
      <c r="M314" s="1413">
        <v>2</v>
      </c>
      <c r="N314" s="521"/>
      <c r="O314" s="81">
        <f>MIN($M314,O318+O324)</f>
        <v>0</v>
      </c>
      <c r="P314" s="81">
        <f>MIN($M314,P318+P324)</f>
        <v>0</v>
      </c>
      <c r="Q314" s="115" t="s">
        <v>456</v>
      </c>
      <c r="R314" s="413" t="str">
        <f>IF(OR($O318=$M314,$O318=0,$O318=""),"","* * Check Score! * *")</f>
        <v/>
      </c>
    </row>
    <row r="315" spans="1:18" s="458" customFormat="1" ht="3" customHeight="1">
      <c r="B315" s="490"/>
      <c r="F315" s="483"/>
      <c r="G315" s="1218"/>
      <c r="M315" s="459"/>
      <c r="N315" s="459"/>
      <c r="O315" s="459"/>
      <c r="P315" s="459"/>
      <c r="Q315" s="188"/>
    </row>
    <row r="316" spans="1:18" s="458" customFormat="1" ht="11.25" customHeight="1">
      <c r="B316" s="1216" t="s">
        <v>3716</v>
      </c>
      <c r="D316" s="3293" t="s">
        <v>3050</v>
      </c>
      <c r="E316" s="3294"/>
      <c r="F316" s="3294"/>
      <c r="G316" s="3294"/>
      <c r="H316" s="3294"/>
      <c r="I316" s="3295"/>
      <c r="J316" s="431" t="s">
        <v>2961</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2058</v>
      </c>
      <c r="B318" s="141" t="s">
        <v>4113</v>
      </c>
      <c r="C318" s="431"/>
      <c r="D318" s="431"/>
      <c r="E318" s="431"/>
      <c r="F318" s="431"/>
      <c r="G318" s="431"/>
      <c r="H318" s="431"/>
      <c r="I318" s="431"/>
      <c r="J318" s="431" t="s">
        <v>4008</v>
      </c>
      <c r="L318" s="786">
        <f>'Part VI-Revenues &amp; Expenses'!$O$82</f>
        <v>0</v>
      </c>
      <c r="M318" s="459">
        <v>2</v>
      </c>
      <c r="N318" s="174" t="s">
        <v>2058</v>
      </c>
      <c r="O318" s="3196">
        <v>0</v>
      </c>
      <c r="P318" s="1144"/>
      <c r="Q318" s="188" t="s">
        <v>2810</v>
      </c>
    </row>
    <row r="319" spans="1:18" s="458" customFormat="1" ht="11.25" customHeight="1">
      <c r="A319" s="457"/>
      <c r="B319" s="1751" t="s">
        <v>4009</v>
      </c>
      <c r="C319" s="1751"/>
      <c r="D319" s="1751"/>
      <c r="E319" s="1751"/>
      <c r="F319" s="1751"/>
      <c r="G319" s="1751"/>
      <c r="H319" s="1751"/>
      <c r="I319" s="431"/>
      <c r="J319" s="536" t="s">
        <v>2959</v>
      </c>
      <c r="L319" s="787">
        <f>'Part VI-Revenues &amp; Expenses'!$O$62</f>
        <v>72</v>
      </c>
      <c r="M319" s="459"/>
      <c r="N319" s="459"/>
      <c r="O319" s="459"/>
      <c r="P319" s="459"/>
      <c r="Q319" s="188"/>
    </row>
    <row r="320" spans="1:18" s="458" customFormat="1" ht="11.25" customHeight="1">
      <c r="B320" s="1751"/>
      <c r="C320" s="1751"/>
      <c r="D320" s="1751"/>
      <c r="E320" s="1751"/>
      <c r="F320" s="1751"/>
      <c r="G320" s="1751"/>
      <c r="H320" s="1751"/>
      <c r="J320" s="613" t="s">
        <v>2960</v>
      </c>
      <c r="L320" s="826">
        <f>IF(L319=0,0,L318/L319)</f>
        <v>0</v>
      </c>
      <c r="M320" s="459"/>
      <c r="N320" s="459"/>
      <c r="O320" s="459"/>
      <c r="P320" s="459"/>
      <c r="Q320" s="188"/>
    </row>
    <row r="321" spans="1:19" s="458" customFormat="1" ht="3" customHeight="1">
      <c r="B321" s="490"/>
      <c r="F321" s="483"/>
      <c r="G321" s="1218"/>
      <c r="M321" s="459"/>
      <c r="N321" s="459"/>
      <c r="O321" s="459"/>
      <c r="P321" s="459"/>
      <c r="Q321" s="188"/>
    </row>
    <row r="322" spans="1:19" s="44" customFormat="1" ht="36" customHeight="1">
      <c r="A322" s="615" t="s">
        <v>1403</v>
      </c>
      <c r="B322" s="3296" t="s">
        <v>4319</v>
      </c>
      <c r="C322" s="3297"/>
      <c r="D322" s="3297"/>
      <c r="E322" s="3297"/>
      <c r="F322" s="3297"/>
      <c r="G322" s="3297"/>
      <c r="H322" s="3297"/>
      <c r="I322" s="3297"/>
      <c r="J322" s="3297"/>
      <c r="K322" s="3297"/>
      <c r="L322" s="3297"/>
      <c r="M322" s="3297"/>
      <c r="N322" s="3297"/>
      <c r="O322" s="3297"/>
      <c r="P322" s="3298"/>
      <c r="Q322" s="1833" t="s">
        <v>1301</v>
      </c>
      <c r="R322" s="1834"/>
      <c r="S322" s="1834"/>
    </row>
    <row r="323" spans="1:19" s="458" customFormat="1" ht="3" customHeight="1">
      <c r="B323" s="490"/>
      <c r="F323" s="483"/>
      <c r="G323" s="1218"/>
      <c r="M323" s="459"/>
      <c r="N323" s="459"/>
      <c r="O323" s="459"/>
      <c r="P323" s="459"/>
      <c r="Q323" s="188"/>
    </row>
    <row r="324" spans="1:19" s="458" customFormat="1" ht="11.25" customHeight="1">
      <c r="A324" s="616" t="s">
        <v>2061</v>
      </c>
      <c r="B324" s="1325" t="s">
        <v>3544</v>
      </c>
      <c r="C324" s="150"/>
      <c r="D324" s="1160"/>
      <c r="H324" s="431"/>
      <c r="J324" s="431" t="s">
        <v>3610</v>
      </c>
      <c r="L324" s="786">
        <f>'Part VI-Revenues &amp; Expenses'!$O$84</f>
        <v>0</v>
      </c>
      <c r="M324" s="459">
        <v>1</v>
      </c>
      <c r="N324" s="174" t="s">
        <v>2061</v>
      </c>
      <c r="O324" s="3196">
        <v>0</v>
      </c>
      <c r="P324" s="1144"/>
      <c r="Q324" s="188" t="s">
        <v>2810</v>
      </c>
    </row>
    <row r="325" spans="1:19" s="458" customFormat="1" ht="11.25" customHeight="1">
      <c r="A325" s="616"/>
      <c r="B325" s="1718" t="s">
        <v>4114</v>
      </c>
      <c r="C325" s="1718"/>
      <c r="D325" s="1718"/>
      <c r="E325" s="1718"/>
      <c r="F325" s="1718"/>
      <c r="G325" s="1718"/>
      <c r="H325" s="1718"/>
      <c r="I325" s="1718"/>
      <c r="J325" s="536" t="s">
        <v>2959</v>
      </c>
      <c r="L325" s="787">
        <f>'Part VI-Revenues &amp; Expenses'!$O$62</f>
        <v>72</v>
      </c>
      <c r="M325" s="459"/>
      <c r="N325" s="459"/>
      <c r="O325" s="459"/>
      <c r="P325" s="459"/>
      <c r="Q325" s="188"/>
    </row>
    <row r="326" spans="1:19" s="458" customFormat="1" ht="11.25" customHeight="1">
      <c r="A326" s="616"/>
      <c r="B326" s="1718"/>
      <c r="C326" s="1718"/>
      <c r="D326" s="1718"/>
      <c r="E326" s="1718"/>
      <c r="F326" s="1718"/>
      <c r="G326" s="1718"/>
      <c r="H326" s="1718"/>
      <c r="I326" s="1718"/>
      <c r="J326" s="613" t="s">
        <v>2960</v>
      </c>
      <c r="L326" s="826">
        <f>IF(L325=0,0,L324/L325)</f>
        <v>0</v>
      </c>
      <c r="M326" s="459"/>
      <c r="N326" s="459"/>
      <c r="O326" s="459"/>
      <c r="P326" s="459"/>
      <c r="Q326" s="188"/>
    </row>
    <row r="327" spans="1:19" s="44" customFormat="1" ht="10.5" customHeight="1">
      <c r="B327" s="91" t="s">
        <v>1937</v>
      </c>
      <c r="C327" s="104"/>
      <c r="D327" s="91"/>
      <c r="E327" s="105"/>
      <c r="F327" s="1418"/>
      <c r="G327" s="1418"/>
      <c r="H327" s="1418"/>
      <c r="I327" s="1418"/>
      <c r="J327" s="1418"/>
      <c r="K327" s="1418"/>
      <c r="L327" s="1418"/>
      <c r="M327" s="1418"/>
      <c r="N327" s="79"/>
      <c r="O327" s="75"/>
      <c r="P327" s="1413"/>
      <c r="Q327" s="473"/>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496" t="s">
        <v>1301</v>
      </c>
    </row>
    <row r="329" spans="1:19" s="44" customFormat="1" ht="3" customHeight="1">
      <c r="A329" s="43"/>
      <c r="B329" s="43"/>
      <c r="C329" s="1418"/>
      <c r="D329" s="1418"/>
      <c r="E329" s="1418"/>
      <c r="F329" s="1418"/>
      <c r="G329" s="1418"/>
      <c r="H329" s="1418"/>
      <c r="I329" s="1418"/>
      <c r="J329" s="1418"/>
      <c r="K329" s="1418"/>
      <c r="L329" s="1418"/>
      <c r="M329" s="1418"/>
      <c r="N329" s="79"/>
      <c r="O329" s="75"/>
      <c r="P329" s="1189"/>
    </row>
    <row r="330" spans="1:19" s="44" customFormat="1" ht="12.75" customHeight="1">
      <c r="A330" s="166" t="s">
        <v>1736</v>
      </c>
      <c r="B330" s="112" t="s">
        <v>2721</v>
      </c>
      <c r="C330" s="56"/>
      <c r="D330" s="124"/>
      <c r="E330" s="124"/>
      <c r="I330" s="1416" t="s">
        <v>3022</v>
      </c>
      <c r="J330" s="42"/>
      <c r="K330" s="42"/>
      <c r="M330" s="1417">
        <v>5</v>
      </c>
      <c r="P330" s="632"/>
      <c r="Q330" s="115" t="s">
        <v>456</v>
      </c>
    </row>
    <row r="331" spans="1:19" s="44" customFormat="1" ht="1.5" customHeight="1">
      <c r="A331" s="166"/>
      <c r="M331" s="600"/>
      <c r="Q331" s="115"/>
    </row>
    <row r="332" spans="1:19" s="44" customFormat="1" ht="12" customHeight="1">
      <c r="A332" s="166"/>
      <c r="B332" s="1917" t="s">
        <v>4115</v>
      </c>
      <c r="C332" s="1917"/>
      <c r="D332" s="1837">
        <f>IF('Part VI-Revenues &amp; Expenses'!$O$62=0,0,'Part IV-Uses of Funds'!$J$172/'Part VI-Revenues &amp; Expenses'!$O$62)</f>
        <v>9304.0763888888887</v>
      </c>
      <c r="E332" s="1837"/>
      <c r="F332" s="116" t="s">
        <v>4116</v>
      </c>
      <c r="G332" s="1326"/>
      <c r="H332" s="1327">
        <f>IF('Part VI-Revenues &amp; Expenses'!$O$62=0,0,('Part VI-Revenues &amp; Expenses'!$O$77+'Part VI-Revenues &amp; Expenses'!$O$80+'Part VI-Revenues &amp; Expenses'!$O$84)/'Part VI-Revenues &amp; Expenses'!$O$62)</f>
        <v>0</v>
      </c>
      <c r="I332" s="1328" t="s">
        <v>4117</v>
      </c>
      <c r="J332" s="42"/>
      <c r="K332" s="1225"/>
      <c r="L332" s="1226"/>
      <c r="M332" s="77">
        <v>20</v>
      </c>
      <c r="N332" s="6"/>
      <c r="O332" s="1279">
        <f>MIN($M332,(SUM(O333:O355)))</f>
        <v>0</v>
      </c>
      <c r="P332" s="1279">
        <f>MIN($M332,(SUM(P333:P355)))</f>
        <v>0</v>
      </c>
      <c r="Q332" s="115"/>
    </row>
    <row r="333" spans="1:19" s="44" customFormat="1" ht="10.5" customHeight="1">
      <c r="A333" s="598" t="s">
        <v>2058</v>
      </c>
      <c r="B333" s="1228" t="s">
        <v>2062</v>
      </c>
      <c r="C333" s="1170" t="s">
        <v>4010</v>
      </c>
      <c r="E333" s="54"/>
      <c r="F333" s="1170"/>
      <c r="G333" s="1170"/>
      <c r="H333" s="56"/>
      <c r="I333" s="1171"/>
      <c r="J333" s="1171"/>
      <c r="M333" s="597">
        <v>6</v>
      </c>
      <c r="N333" s="612"/>
      <c r="O333" s="3299"/>
      <c r="P333" s="1815"/>
      <c r="Q333" s="647" t="s">
        <v>2810</v>
      </c>
    </row>
    <row r="334" spans="1:19" s="44" customFormat="1" ht="10.5" customHeight="1">
      <c r="A334" s="772"/>
      <c r="B334" s="1217"/>
      <c r="C334" s="1224" t="s">
        <v>3880</v>
      </c>
      <c r="D334" s="3300"/>
      <c r="E334" s="54"/>
      <c r="F334" s="1224" t="s">
        <v>3881</v>
      </c>
      <c r="G334" s="3301"/>
      <c r="H334" s="56"/>
      <c r="I334" s="462" t="s">
        <v>4011</v>
      </c>
      <c r="J334" s="462"/>
      <c r="K334" s="3302"/>
      <c r="L334" s="3303"/>
      <c r="M334" s="607"/>
      <c r="N334" s="1229"/>
      <c r="O334" s="3304"/>
      <c r="P334" s="1816"/>
      <c r="Q334" s="647"/>
    </row>
    <row r="335" spans="1:19" s="44" customFormat="1" ht="10.5" customHeight="1">
      <c r="A335" s="772" t="s">
        <v>1403</v>
      </c>
      <c r="B335" s="1217" t="s">
        <v>2064</v>
      </c>
      <c r="C335" s="54" t="s">
        <v>4012</v>
      </c>
      <c r="E335" s="54"/>
      <c r="F335" s="54"/>
      <c r="G335" s="1170"/>
      <c r="H335" s="56"/>
      <c r="I335" s="56"/>
      <c r="J335" s="56"/>
      <c r="M335" s="607">
        <v>2</v>
      </c>
      <c r="N335" s="1229"/>
      <c r="O335" s="3304"/>
      <c r="P335" s="1816"/>
      <c r="Q335" s="647"/>
    </row>
    <row r="336" spans="1:19" s="44" customFormat="1" ht="10.5" customHeight="1">
      <c r="A336" s="772"/>
      <c r="C336" s="1224" t="s">
        <v>3880</v>
      </c>
      <c r="D336" s="3300"/>
      <c r="E336" s="54"/>
      <c r="F336" s="1224" t="s">
        <v>3881</v>
      </c>
      <c r="G336" s="3301"/>
      <c r="H336" s="56"/>
      <c r="I336" s="462" t="s">
        <v>4011</v>
      </c>
      <c r="J336" s="462"/>
      <c r="K336" s="3302"/>
      <c r="L336" s="3303"/>
      <c r="M336" s="607"/>
      <c r="N336" s="124"/>
      <c r="O336" s="3304"/>
      <c r="P336" s="1816"/>
      <c r="Q336" s="647"/>
    </row>
    <row r="337" spans="1:18" s="458" customFormat="1" ht="34.5" customHeight="1">
      <c r="A337" s="772" t="s">
        <v>1403</v>
      </c>
      <c r="B337" s="1227" t="s">
        <v>2622</v>
      </c>
      <c r="C337" s="1744" t="s">
        <v>3611</v>
      </c>
      <c r="D337" s="1744"/>
      <c r="E337" s="1744"/>
      <c r="F337" s="1744"/>
      <c r="G337" s="1744"/>
      <c r="H337" s="1744"/>
      <c r="I337" s="1744"/>
      <c r="J337" s="1744"/>
      <c r="K337" s="1744"/>
      <c r="L337" s="1744"/>
      <c r="M337" s="585">
        <v>5</v>
      </c>
      <c r="N337" s="595"/>
      <c r="O337" s="3305"/>
      <c r="P337" s="1817"/>
      <c r="Q337" s="647"/>
    </row>
    <row r="338" spans="1:18" s="458" customFormat="1" ht="12.75" customHeight="1">
      <c r="A338" s="772"/>
      <c r="B338" s="154"/>
      <c r="C338" s="1174" t="s">
        <v>3868</v>
      </c>
      <c r="D338" s="1421"/>
      <c r="G338" s="3306"/>
      <c r="H338" s="1421"/>
      <c r="I338" s="1174" t="s">
        <v>3867</v>
      </c>
      <c r="K338" s="3306"/>
      <c r="M338" s="1421"/>
      <c r="N338" s="1421"/>
      <c r="O338" s="1421"/>
      <c r="P338" s="1421"/>
      <c r="Q338" s="1421"/>
      <c r="R338" s="1421"/>
    </row>
    <row r="339" spans="1:18" s="458" customFormat="1" ht="45" customHeight="1">
      <c r="A339" s="596" t="s">
        <v>2061</v>
      </c>
      <c r="B339" s="1280"/>
      <c r="C339" s="1893" t="s">
        <v>4013</v>
      </c>
      <c r="D339" s="1893"/>
      <c r="E339" s="1893"/>
      <c r="F339" s="1893"/>
      <c r="G339" s="1893"/>
      <c r="H339" s="1893"/>
      <c r="I339" s="1893"/>
      <c r="J339" s="1893"/>
      <c r="K339" s="1893"/>
      <c r="L339" s="1893"/>
      <c r="M339" s="597">
        <v>2</v>
      </c>
      <c r="N339" s="611"/>
      <c r="O339" s="3307"/>
      <c r="P339" s="1215"/>
      <c r="Q339" s="771" t="s">
        <v>2810</v>
      </c>
    </row>
    <row r="340" spans="1:18" s="458" customFormat="1" ht="11.25" customHeight="1">
      <c r="A340" s="1244"/>
      <c r="B340" s="1281"/>
      <c r="C340" s="1282" t="s">
        <v>4088</v>
      </c>
      <c r="D340" s="1430"/>
      <c r="E340" s="1430"/>
      <c r="F340" s="3308"/>
      <c r="G340" s="3309"/>
      <c r="H340" s="3309"/>
      <c r="I340" s="3310"/>
      <c r="J340" s="1348"/>
      <c r="K340" s="1430" t="s">
        <v>4087</v>
      </c>
      <c r="L340" s="3311"/>
      <c r="M340" s="1246"/>
      <c r="N340" s="1283"/>
      <c r="O340" s="430"/>
      <c r="P340" s="430"/>
      <c r="Q340" s="593"/>
      <c r="R340" s="586"/>
    </row>
    <row r="341" spans="1:18" s="458" customFormat="1" ht="12" customHeight="1">
      <c r="A341" s="775" t="s">
        <v>779</v>
      </c>
      <c r="C341" s="1718" t="s">
        <v>4014</v>
      </c>
      <c r="D341" s="1718"/>
      <c r="E341" s="1718"/>
      <c r="F341" s="1718"/>
      <c r="G341" s="1718"/>
      <c r="H341" s="1718"/>
      <c r="I341" s="1718"/>
      <c r="J341" s="1718" t="s">
        <v>4016</v>
      </c>
      <c r="K341" s="1718"/>
      <c r="L341" s="1235" t="str">
        <f>'Part I-Project Information'!$H$90</f>
        <v>Rural</v>
      </c>
      <c r="M341" s="607">
        <v>3</v>
      </c>
      <c r="N341" s="784"/>
      <c r="O341" s="3312"/>
      <c r="P341" s="1835"/>
      <c r="Q341" s="188" t="s">
        <v>2810</v>
      </c>
    </row>
    <row r="342" spans="1:18" s="458" customFormat="1" ht="12" customHeight="1">
      <c r="A342" s="775"/>
      <c r="C342" s="1718"/>
      <c r="D342" s="1718"/>
      <c r="E342" s="1718"/>
      <c r="F342" s="1718"/>
      <c r="G342" s="1718"/>
      <c r="H342" s="1718"/>
      <c r="I342" s="1718"/>
      <c r="J342" s="1718" t="s">
        <v>4017</v>
      </c>
      <c r="K342" s="1718"/>
      <c r="L342" s="1234">
        <f>$O$113</f>
        <v>5</v>
      </c>
      <c r="M342" s="607"/>
      <c r="N342" s="784"/>
      <c r="O342" s="3313"/>
      <c r="P342" s="1836"/>
      <c r="Q342" s="188"/>
    </row>
    <row r="343" spans="1:18" s="458" customFormat="1" ht="24" customHeight="1">
      <c r="A343" s="1230" t="s">
        <v>2193</v>
      </c>
      <c r="B343" s="1231"/>
      <c r="C343" s="1870" t="s">
        <v>4015</v>
      </c>
      <c r="D343" s="1870"/>
      <c r="E343" s="1870"/>
      <c r="F343" s="1870"/>
      <c r="G343" s="1870"/>
      <c r="H343" s="1870"/>
      <c r="I343" s="1236"/>
      <c r="J343" s="1870" t="s">
        <v>4018</v>
      </c>
      <c r="K343" s="1870"/>
      <c r="L343" s="1237">
        <f>$O$129</f>
        <v>0</v>
      </c>
      <c r="M343" s="1232">
        <v>3</v>
      </c>
      <c r="N343" s="1233"/>
      <c r="O343" s="3314"/>
      <c r="P343" s="1429"/>
      <c r="Q343" s="188" t="s">
        <v>2810</v>
      </c>
    </row>
    <row r="344" spans="1:18" s="44" customFormat="1" ht="11.25" customHeight="1">
      <c r="A344" s="775" t="s">
        <v>1801</v>
      </c>
      <c r="B344" s="1228" t="s">
        <v>2062</v>
      </c>
      <c r="C344" s="1744" t="s">
        <v>3704</v>
      </c>
      <c r="D344" s="1744"/>
      <c r="E344" s="1744"/>
      <c r="F344" s="1744"/>
      <c r="G344" s="1744"/>
      <c r="H344" s="1744"/>
      <c r="I344" s="1744"/>
      <c r="J344" s="1744"/>
      <c r="K344" s="1744"/>
      <c r="L344" s="1744"/>
      <c r="M344" s="607">
        <v>2</v>
      </c>
      <c r="N344" s="124"/>
      <c r="O344" s="3299"/>
      <c r="P344" s="1815"/>
      <c r="Q344" s="188" t="s">
        <v>2810</v>
      </c>
    </row>
    <row r="345" spans="1:18" s="44" customFormat="1" ht="11.25" customHeight="1">
      <c r="A345" s="772" t="s">
        <v>1403</v>
      </c>
      <c r="B345" s="1217" t="s">
        <v>2064</v>
      </c>
      <c r="C345" s="1824" t="s">
        <v>3703</v>
      </c>
      <c r="D345" s="1824"/>
      <c r="E345" s="1824"/>
      <c r="F345" s="1824"/>
      <c r="G345" s="1824"/>
      <c r="H345" s="1824"/>
      <c r="I345" s="1824"/>
      <c r="J345" s="1824"/>
      <c r="K345" s="1824"/>
      <c r="L345" s="1824"/>
      <c r="M345" s="609">
        <v>1</v>
      </c>
      <c r="N345" s="124"/>
      <c r="O345" s="3305"/>
      <c r="P345" s="1817"/>
      <c r="Q345" s="106"/>
    </row>
    <row r="346" spans="1:18" s="44" customFormat="1" ht="11.25" customHeight="1">
      <c r="B346" s="772"/>
      <c r="C346" s="1169" t="s">
        <v>3878</v>
      </c>
      <c r="D346" s="1169"/>
      <c r="E346" s="1169"/>
      <c r="F346" s="1432" t="s">
        <v>3871</v>
      </c>
      <c r="G346" s="1432" t="s">
        <v>3872</v>
      </c>
      <c r="H346" s="1432" t="s">
        <v>3873</v>
      </c>
      <c r="I346" s="1432" t="s">
        <v>3874</v>
      </c>
      <c r="J346" s="1432" t="s">
        <v>3875</v>
      </c>
      <c r="K346" s="1432" t="s">
        <v>3876</v>
      </c>
      <c r="L346" s="1432" t="s">
        <v>3877</v>
      </c>
      <c r="M346" s="1438"/>
      <c r="N346" s="1438"/>
      <c r="O346" s="1438"/>
      <c r="P346" s="1438"/>
      <c r="Q346" s="106"/>
    </row>
    <row r="347" spans="1:18" s="44" customFormat="1" ht="11.25" customHeight="1">
      <c r="A347" s="1226"/>
      <c r="B347" s="772"/>
      <c r="C347" s="1823" t="s">
        <v>3879</v>
      </c>
      <c r="D347" s="1823"/>
      <c r="E347" s="1823"/>
      <c r="F347" s="3315"/>
      <c r="G347" s="3315"/>
      <c r="H347" s="3315"/>
      <c r="I347" s="3315"/>
      <c r="J347" s="3315"/>
      <c r="K347" s="3315"/>
      <c r="L347" s="1340" t="str">
        <f>IF(OR(F347=0,G347=0,H347=0,I347=0,J347=0,K347=0),"Missing Rent Roll",AVERAGE(F347,G347,H347,I347,J347,K347))</f>
        <v>Missing Rent Roll</v>
      </c>
      <c r="M347" s="1438"/>
      <c r="N347" s="1438"/>
      <c r="O347" s="1438"/>
      <c r="P347" s="1438"/>
      <c r="Q347" s="106"/>
    </row>
    <row r="348" spans="1:18" s="458" customFormat="1" ht="22.5" customHeight="1">
      <c r="A348" s="596" t="s">
        <v>1802</v>
      </c>
      <c r="B348" s="1238" t="s">
        <v>2062</v>
      </c>
      <c r="C348" s="1872" t="s">
        <v>3612</v>
      </c>
      <c r="D348" s="1872"/>
      <c r="E348" s="1872"/>
      <c r="F348" s="1872"/>
      <c r="G348" s="1872"/>
      <c r="H348" s="1872"/>
      <c r="I348" s="1872"/>
      <c r="K348" s="1820" t="s">
        <v>4118</v>
      </c>
      <c r="L348" s="1820"/>
      <c r="M348" s="597">
        <v>2</v>
      </c>
      <c r="N348" s="611"/>
      <c r="O348" s="3299"/>
      <c r="P348" s="1815"/>
      <c r="Q348" s="188" t="s">
        <v>2810</v>
      </c>
    </row>
    <row r="349" spans="1:18" s="458" customFormat="1" ht="21.75" customHeight="1">
      <c r="A349" s="772" t="s">
        <v>1403</v>
      </c>
      <c r="B349" s="1239" t="s">
        <v>2064</v>
      </c>
      <c r="C349" s="1873" t="s">
        <v>3613</v>
      </c>
      <c r="D349" s="1873"/>
      <c r="E349" s="1873"/>
      <c r="F349" s="1873"/>
      <c r="G349" s="1873"/>
      <c r="H349" s="1873"/>
      <c r="I349" s="1873"/>
      <c r="J349" s="1220"/>
      <c r="K349" s="3316"/>
      <c r="L349" s="3317"/>
      <c r="M349" s="607">
        <v>1</v>
      </c>
      <c r="N349" s="608"/>
      <c r="O349" s="3305"/>
      <c r="P349" s="1817"/>
      <c r="Q349" s="188"/>
    </row>
    <row r="350" spans="1:18" s="108" customFormat="1" ht="11.25" customHeight="1">
      <c r="A350" s="598" t="s">
        <v>2021</v>
      </c>
      <c r="C350" s="1916" t="s">
        <v>3614</v>
      </c>
      <c r="D350" s="1916"/>
      <c r="E350" s="1916"/>
      <c r="F350" s="1916"/>
      <c r="G350" s="1916"/>
      <c r="H350" s="1916"/>
      <c r="I350" s="1916"/>
      <c r="J350" s="1916"/>
      <c r="K350" s="1916"/>
      <c r="L350" s="1916"/>
      <c r="M350" s="1241">
        <v>2</v>
      </c>
      <c r="N350" s="1242"/>
      <c r="O350" s="3318"/>
      <c r="P350" s="1144"/>
      <c r="Q350" s="188" t="s">
        <v>2810</v>
      </c>
    </row>
    <row r="351" spans="1:18" s="44" customFormat="1" ht="11.25" customHeight="1">
      <c r="A351" s="196"/>
      <c r="C351" s="1219" t="s">
        <v>4019</v>
      </c>
      <c r="D351" s="1438"/>
      <c r="E351" s="1918">
        <f>'Part IV-Uses of Funds'!$B$44</f>
        <v>7775420</v>
      </c>
      <c r="F351" s="1918"/>
      <c r="G351" s="1919" t="s">
        <v>4020</v>
      </c>
      <c r="H351" s="1919"/>
      <c r="I351" s="1435">
        <f>'Part IV-Uses of Funds'!$G$131</f>
        <v>11097534</v>
      </c>
      <c r="J351" s="1871" t="s">
        <v>4021</v>
      </c>
      <c r="K351" s="1871"/>
      <c r="L351" s="1339">
        <f>IF(I351=0, 0,E351/I351)</f>
        <v>0.70064394486198467</v>
      </c>
      <c r="M351" s="845"/>
      <c r="N351" s="845"/>
      <c r="O351" s="845"/>
      <c r="P351" s="845"/>
      <c r="Q351" s="188"/>
    </row>
    <row r="352" spans="1:18" s="458" customFormat="1" ht="22.5" customHeight="1">
      <c r="A352" s="1230" t="s">
        <v>3559</v>
      </c>
      <c r="B352" s="1231"/>
      <c r="C352" s="1915" t="s">
        <v>3615</v>
      </c>
      <c r="D352" s="1915"/>
      <c r="E352" s="1915"/>
      <c r="F352" s="1915"/>
      <c r="G352" s="1915"/>
      <c r="H352" s="1915"/>
      <c r="I352" s="1915"/>
      <c r="J352" s="1915"/>
      <c r="K352" s="1915"/>
      <c r="L352" s="1915"/>
      <c r="M352" s="1240">
        <v>2</v>
      </c>
      <c r="N352" s="1233"/>
      <c r="O352" s="3307"/>
      <c r="P352" s="1215"/>
      <c r="Q352" s="771" t="s">
        <v>2810</v>
      </c>
    </row>
    <row r="353" spans="1:18" s="458" customFormat="1" ht="11.25" customHeight="1">
      <c r="A353" s="775" t="s">
        <v>640</v>
      </c>
      <c r="C353" s="1744" t="s">
        <v>3705</v>
      </c>
      <c r="D353" s="1744"/>
      <c r="E353" s="1744"/>
      <c r="F353" s="1744"/>
      <c r="G353" s="1744"/>
      <c r="H353" s="1744"/>
      <c r="I353" s="1744"/>
      <c r="J353" s="1744"/>
      <c r="K353" s="1744"/>
      <c r="L353" s="1744"/>
      <c r="M353" s="785">
        <v>2</v>
      </c>
      <c r="N353" s="784"/>
      <c r="O353" s="3319"/>
      <c r="P353" s="1440"/>
      <c r="Q353" s="771" t="s">
        <v>2810</v>
      </c>
    </row>
    <row r="354" spans="1:18" s="458" customFormat="1" ht="11.25" customHeight="1">
      <c r="A354" s="1230" t="s">
        <v>3560</v>
      </c>
      <c r="B354" s="1231"/>
      <c r="C354" s="1870" t="s">
        <v>3616</v>
      </c>
      <c r="D354" s="1870"/>
      <c r="E354" s="1870"/>
      <c r="F354" s="1870"/>
      <c r="G354" s="1870"/>
      <c r="H354" s="1870"/>
      <c r="I354" s="1870"/>
      <c r="J354" s="1870"/>
      <c r="K354" s="1243"/>
      <c r="L354" s="1243"/>
      <c r="M354" s="1240">
        <v>1</v>
      </c>
      <c r="N354" s="1233"/>
      <c r="O354" s="3307"/>
      <c r="P354" s="1215"/>
      <c r="Q354" s="771" t="s">
        <v>2810</v>
      </c>
    </row>
    <row r="355" spans="1:18" s="458" customFormat="1" ht="11.25" customHeight="1">
      <c r="A355" s="596" t="s">
        <v>4022</v>
      </c>
      <c r="B355" s="1160"/>
      <c r="C355" s="1872" t="s">
        <v>4023</v>
      </c>
      <c r="D355" s="1872"/>
      <c r="E355" s="1872"/>
      <c r="F355" s="1872"/>
      <c r="G355" s="1872"/>
      <c r="H355" s="1872"/>
      <c r="I355" s="1872"/>
      <c r="J355" s="1872"/>
      <c r="K355" s="1220" t="s">
        <v>4024</v>
      </c>
      <c r="L355" s="1338">
        <f>'Part IV-Uses of Funds'!$G$127</f>
        <v>0</v>
      </c>
      <c r="M355" s="785">
        <v>1</v>
      </c>
      <c r="N355" s="785"/>
      <c r="O355" s="3307"/>
      <c r="P355" s="1215"/>
      <c r="Q355" s="771" t="s">
        <v>2810</v>
      </c>
    </row>
    <row r="356" spans="1:18" s="458" customFormat="1" ht="11.25" customHeight="1">
      <c r="A356" s="1244"/>
      <c r="B356" s="1245"/>
      <c r="C356" s="1873"/>
      <c r="D356" s="1873"/>
      <c r="E356" s="1873"/>
      <c r="F356" s="1873"/>
      <c r="G356" s="1873"/>
      <c r="H356" s="1873"/>
      <c r="I356" s="1873"/>
      <c r="J356" s="1873"/>
      <c r="K356" s="1246" t="s">
        <v>4025</v>
      </c>
      <c r="L356" s="1435">
        <f>'Part IV-Uses of Funds'!$G$20</f>
        <v>0</v>
      </c>
      <c r="M356" s="1247"/>
      <c r="N356" s="1247"/>
      <c r="O356" s="1247"/>
      <c r="P356" s="1247"/>
      <c r="Q356" s="771"/>
    </row>
    <row r="357" spans="1:18" s="44" customFormat="1" ht="10.5" customHeight="1">
      <c r="A357" s="43"/>
      <c r="B357" s="50" t="s">
        <v>267</v>
      </c>
      <c r="C357" s="43"/>
      <c r="D357" s="49"/>
      <c r="E357" s="49"/>
      <c r="F357" s="49"/>
      <c r="G357" s="49"/>
      <c r="H357" s="37"/>
      <c r="I357" s="37"/>
      <c r="J357" s="37"/>
      <c r="K357" s="37"/>
      <c r="M357" s="47"/>
      <c r="N357" s="65"/>
      <c r="O357" s="3"/>
      <c r="P357" s="1417"/>
    </row>
    <row r="358" spans="1:18" s="44" customFormat="1" ht="24.75" customHeight="1">
      <c r="A358" s="3073" t="s">
        <v>4319</v>
      </c>
      <c r="B358" s="3074"/>
      <c r="C358" s="3074"/>
      <c r="D358" s="3074"/>
      <c r="E358" s="3074"/>
      <c r="F358" s="3074"/>
      <c r="G358" s="3074"/>
      <c r="H358" s="3074"/>
      <c r="I358" s="3074"/>
      <c r="J358" s="3074"/>
      <c r="K358" s="3074"/>
      <c r="L358" s="3074"/>
      <c r="M358" s="3074"/>
      <c r="N358" s="3074"/>
      <c r="O358" s="3074"/>
      <c r="P358" s="3075"/>
      <c r="Q358" s="496" t="s">
        <v>1301</v>
      </c>
    </row>
    <row r="359" spans="1:18" s="44" customFormat="1" ht="10.5" customHeight="1">
      <c r="A359" s="43"/>
      <c r="B359" s="91" t="s">
        <v>1937</v>
      </c>
      <c r="C359" s="104"/>
      <c r="D359" s="91"/>
      <c r="E359" s="105"/>
      <c r="F359" s="1418"/>
      <c r="G359" s="1418"/>
      <c r="H359" s="1418"/>
      <c r="I359" s="1418"/>
      <c r="J359" s="1418"/>
      <c r="K359" s="1418"/>
      <c r="L359" s="1418"/>
      <c r="M359" s="1418"/>
      <c r="N359" s="79"/>
      <c r="O359" s="75"/>
      <c r="P359" s="1413"/>
      <c r="Q359" s="473"/>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496" t="s">
        <v>1301</v>
      </c>
    </row>
    <row r="361" spans="1:18" s="44" customFormat="1" ht="3" customHeight="1">
      <c r="A361" s="43"/>
      <c r="C361" s="1418"/>
      <c r="D361" s="1418"/>
      <c r="E361" s="1418"/>
      <c r="F361" s="1418"/>
      <c r="G361" s="1418"/>
      <c r="H361" s="1418"/>
      <c r="I361" s="1418"/>
      <c r="J361" s="1418"/>
      <c r="K361" s="1418"/>
      <c r="L361" s="1418"/>
      <c r="M361" s="1418"/>
      <c r="N361" s="79"/>
      <c r="O361" s="75"/>
      <c r="P361" s="1189"/>
    </row>
    <row r="362" spans="1:18" s="44" customFormat="1" ht="12" customHeight="1">
      <c r="A362" s="166" t="s">
        <v>2962</v>
      </c>
      <c r="B362" s="112" t="s">
        <v>3627</v>
      </c>
      <c r="C362" s="56"/>
      <c r="D362" s="124"/>
      <c r="E362" s="124"/>
      <c r="F362" s="42"/>
      <c r="G362" s="42"/>
      <c r="H362" s="42"/>
      <c r="I362" s="42"/>
      <c r="J362" s="42"/>
      <c r="K362" s="42"/>
      <c r="L362" s="42"/>
      <c r="M362" s="1189">
        <v>2</v>
      </c>
      <c r="N362" s="192"/>
      <c r="O362" s="1378">
        <f>IF(AND($J$367="Family",M370="Yes",M371="Yes",M372="Yes"),2,IF(AND($J$367="Family",OR(M370="Yes",M371="Yes",M372="Yes")),1,0))</f>
        <v>2</v>
      </c>
      <c r="P362" s="1378">
        <f>IF(AND($J$367="Family",O370="Yes",O371="Yes",O372="Yes"),2,IF(AND($J$367="Family",OR(O370="Yes",O371="Yes",O372="Yes")),1,0))</f>
        <v>0</v>
      </c>
      <c r="Q362" s="115" t="s">
        <v>456</v>
      </c>
      <c r="R362" s="188"/>
    </row>
    <row r="363" spans="1:18" s="44" customFormat="1" ht="12" customHeight="1">
      <c r="B363" s="1878" t="s">
        <v>3629</v>
      </c>
      <c r="C363" s="1878"/>
      <c r="D363" s="1878"/>
      <c r="E363" s="1878"/>
      <c r="F363" s="1878"/>
      <c r="G363" s="1878"/>
      <c r="H363" s="1878"/>
      <c r="I363" s="1878"/>
      <c r="J363" s="1878"/>
      <c r="K363" s="1878"/>
      <c r="L363" s="1878"/>
      <c r="M363" s="1878"/>
      <c r="N363" s="1878"/>
      <c r="O363" s="3069" t="s">
        <v>3153</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4026</v>
      </c>
      <c r="F365" s="54" t="s">
        <v>3624</v>
      </c>
      <c r="G365" s="54"/>
      <c r="J365" s="3320" t="s">
        <v>4321</v>
      </c>
      <c r="K365" s="3321"/>
      <c r="L365" s="3321"/>
      <c r="M365" s="3321"/>
      <c r="N365" s="3322"/>
      <c r="O365" s="1922" t="s">
        <v>3722</v>
      </c>
    </row>
    <row r="366" spans="1:18" s="44" customFormat="1" ht="3" customHeight="1">
      <c r="A366" s="149"/>
      <c r="C366" s="1427"/>
      <c r="D366" s="1427"/>
      <c r="E366" s="1427"/>
      <c r="F366" s="413"/>
      <c r="H366" s="1427"/>
      <c r="I366" s="1427"/>
      <c r="J366" s="1427"/>
      <c r="K366" s="1427"/>
      <c r="L366" s="1427"/>
      <c r="N366" s="617"/>
      <c r="O366" s="1922"/>
      <c r="P366" s="617"/>
    </row>
    <row r="367" spans="1:18" s="44" customFormat="1" ht="11.25" customHeight="1">
      <c r="A367" s="149"/>
      <c r="C367" s="1427"/>
      <c r="D367" s="1427"/>
      <c r="E367" s="1427"/>
      <c r="F367" s="57" t="s">
        <v>3051</v>
      </c>
      <c r="G367" s="57"/>
      <c r="J367" s="1821" t="str">
        <f>'Part I-Project Information'!$H$67</f>
        <v>Family</v>
      </c>
      <c r="K367" s="1822"/>
      <c r="L367" s="1427"/>
      <c r="M367" s="1876" t="s">
        <v>3900</v>
      </c>
      <c r="N367" s="617"/>
      <c r="O367" s="1922"/>
      <c r="P367" s="617"/>
    </row>
    <row r="368" spans="1:18" s="44" customFormat="1" ht="11.25" customHeight="1">
      <c r="A368" s="149"/>
      <c r="B368" s="649" t="s">
        <v>3625</v>
      </c>
      <c r="C368" s="648"/>
      <c r="D368" s="648"/>
      <c r="E368" s="1427"/>
      <c r="F368" s="413"/>
      <c r="H368" s="1427"/>
      <c r="I368" s="1427"/>
      <c r="J368" s="1427"/>
      <c r="K368" s="1427"/>
      <c r="L368" s="1427"/>
      <c r="M368" s="1876"/>
      <c r="N368" s="617"/>
      <c r="O368" s="1922"/>
      <c r="P368" s="1874" t="s">
        <v>3621</v>
      </c>
    </row>
    <row r="369" spans="1:18" s="44" customFormat="1" ht="12.75" customHeight="1">
      <c r="A369" s="149"/>
      <c r="C369" s="1415"/>
      <c r="F369" s="482" t="s">
        <v>3626</v>
      </c>
      <c r="H369" s="1427"/>
      <c r="I369" s="777" t="s">
        <v>3620</v>
      </c>
      <c r="J369" s="603" t="s">
        <v>3622</v>
      </c>
      <c r="K369" s="1419" t="s">
        <v>3621</v>
      </c>
      <c r="L369" s="779" t="s">
        <v>3623</v>
      </c>
      <c r="M369" s="1876"/>
      <c r="N369" s="778"/>
      <c r="O369" s="1922"/>
      <c r="P369" s="1875"/>
    </row>
    <row r="370" spans="1:18" s="44" customFormat="1" ht="12" customHeight="1">
      <c r="A370" s="149"/>
      <c r="B370" s="412" t="s">
        <v>2520</v>
      </c>
      <c r="C370" s="776" t="s">
        <v>3619</v>
      </c>
      <c r="D370" s="648"/>
      <c r="E370" s="1427"/>
      <c r="F370" s="3323" t="s">
        <v>4322</v>
      </c>
      <c r="G370" s="3324"/>
      <c r="H370" s="3325"/>
      <c r="I370" s="3326" t="s">
        <v>4323</v>
      </c>
      <c r="J370" s="3326" t="s">
        <v>3156</v>
      </c>
      <c r="K370" s="3327">
        <v>90.8</v>
      </c>
      <c r="L370" s="778">
        <v>78</v>
      </c>
      <c r="M370" s="836" t="str">
        <f>IF(K370="","",IF(K370&gt;=L370,"Yes",IF(K370&lt;L370,"No","")))</f>
        <v>Yes</v>
      </c>
      <c r="N370" s="778"/>
      <c r="O370" s="839" t="str">
        <f>IF(P370="","",IF(P370&gt;=L370,"Yes",IF(P370&lt;L370,"No","")))</f>
        <v/>
      </c>
      <c r="P370" s="780"/>
      <c r="Q370" s="37" t="s">
        <v>4119</v>
      </c>
    </row>
    <row r="371" spans="1:18" s="44" customFormat="1" ht="12" customHeight="1">
      <c r="A371" s="149"/>
      <c r="B371" s="428" t="s">
        <v>2521</v>
      </c>
      <c r="C371" s="776" t="s">
        <v>3617</v>
      </c>
      <c r="D371" s="648"/>
      <c r="E371" s="1427"/>
      <c r="F371" s="3328" t="s">
        <v>4324</v>
      </c>
      <c r="G371" s="3329"/>
      <c r="H371" s="3330"/>
      <c r="I371" s="3331" t="s">
        <v>4325</v>
      </c>
      <c r="J371" s="3331" t="s">
        <v>3156</v>
      </c>
      <c r="K371" s="3332">
        <v>85.7</v>
      </c>
      <c r="L371" s="778">
        <v>75</v>
      </c>
      <c r="M371" s="837" t="str">
        <f>IF(K371="","",IF(K371&gt;=L371,"Yes",IF(K371&lt;L371,"No","")))</f>
        <v>Yes</v>
      </c>
      <c r="N371" s="778"/>
      <c r="O371" s="840" t="str">
        <f>IF(P371="","",IF(P371&gt;=L371,"Yes",IF(P371&lt;L371,"No","")))</f>
        <v/>
      </c>
      <c r="P371" s="781"/>
      <c r="Q371" s="37" t="s">
        <v>4119</v>
      </c>
    </row>
    <row r="372" spans="1:18" s="44" customFormat="1" ht="12" customHeight="1">
      <c r="A372" s="149"/>
      <c r="B372" s="412" t="s">
        <v>2522</v>
      </c>
      <c r="C372" s="776" t="s">
        <v>3618</v>
      </c>
      <c r="D372" s="648"/>
      <c r="E372" s="1427"/>
      <c r="F372" s="3333" t="s">
        <v>4326</v>
      </c>
      <c r="G372" s="3334"/>
      <c r="H372" s="3335"/>
      <c r="I372" s="3336" t="s">
        <v>4327</v>
      </c>
      <c r="J372" s="3336" t="s">
        <v>3156</v>
      </c>
      <c r="K372" s="3337">
        <v>86.5</v>
      </c>
      <c r="L372" s="778">
        <v>72</v>
      </c>
      <c r="M372" s="838" t="str">
        <f>IF(K372="","",IF(K372&gt;=L372,"Yes",IF(K372&lt;L372,"No","")))</f>
        <v>Yes</v>
      </c>
      <c r="N372" s="778"/>
      <c r="O372" s="841" t="str">
        <f>IF(P372="","",IF(P372&gt;=L372,"Yes",IF(P372&lt;L372,"No","")))</f>
        <v/>
      </c>
      <c r="P372" s="782"/>
      <c r="Q372" s="37" t="s">
        <v>4119</v>
      </c>
    </row>
    <row r="373" spans="1:18" s="44" customFormat="1" ht="10.5" customHeight="1">
      <c r="A373" s="43"/>
      <c r="B373" s="50" t="s">
        <v>267</v>
      </c>
      <c r="C373" s="43"/>
      <c r="D373" s="49"/>
      <c r="E373" s="49"/>
      <c r="F373" s="49"/>
      <c r="G373" s="49"/>
      <c r="H373" s="37"/>
      <c r="I373" s="37"/>
      <c r="J373" s="37"/>
      <c r="K373" s="37"/>
      <c r="M373" s="47"/>
      <c r="N373" s="65"/>
      <c r="O373" s="3"/>
      <c r="P373" s="1417"/>
    </row>
    <row r="374" spans="1:18" s="44" customFormat="1" ht="11.25" customHeight="1">
      <c r="A374" s="3073" t="s">
        <v>4390</v>
      </c>
      <c r="B374" s="3074"/>
      <c r="C374" s="3074"/>
      <c r="D374" s="3074"/>
      <c r="E374" s="3074"/>
      <c r="F374" s="3074"/>
      <c r="G374" s="3074"/>
      <c r="H374" s="3074"/>
      <c r="I374" s="3074"/>
      <c r="J374" s="3074"/>
      <c r="K374" s="3074"/>
      <c r="L374" s="3074"/>
      <c r="M374" s="3074"/>
      <c r="N374" s="3074"/>
      <c r="O374" s="3074"/>
      <c r="P374" s="3075"/>
      <c r="Q374" s="496" t="s">
        <v>1301</v>
      </c>
    </row>
    <row r="375" spans="1:18" s="44" customFormat="1" ht="10.5" customHeight="1">
      <c r="A375" s="43"/>
      <c r="B375" s="91" t="s">
        <v>1937</v>
      </c>
      <c r="C375" s="104"/>
      <c r="D375" s="91"/>
      <c r="E375" s="105"/>
      <c r="F375" s="1418"/>
      <c r="G375" s="1418"/>
      <c r="H375" s="1418"/>
      <c r="I375" s="1418"/>
      <c r="J375" s="1418"/>
      <c r="K375" s="1418"/>
      <c r="L375" s="1418"/>
      <c r="M375" s="1418"/>
      <c r="N375" s="79"/>
      <c r="O375" s="75"/>
      <c r="P375" s="1413"/>
      <c r="Q375" s="473"/>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496" t="s">
        <v>1301</v>
      </c>
    </row>
    <row r="377" spans="1:18" s="44" customFormat="1" ht="3" customHeight="1">
      <c r="A377" s="43"/>
      <c r="C377" s="1418"/>
      <c r="D377" s="1418"/>
      <c r="E377" s="1418"/>
      <c r="F377" s="1418"/>
      <c r="G377" s="1418"/>
      <c r="H377" s="1418"/>
      <c r="I377" s="1418"/>
      <c r="J377" s="1418"/>
      <c r="K377" s="1418"/>
      <c r="L377" s="1418"/>
      <c r="M377" s="1418"/>
      <c r="N377" s="79"/>
      <c r="O377" s="75"/>
      <c r="P377" s="1189"/>
    </row>
    <row r="378" spans="1:18" s="44" customFormat="1" ht="12" customHeight="1">
      <c r="A378" s="166" t="s">
        <v>2965</v>
      </c>
      <c r="B378" s="112" t="s">
        <v>2964</v>
      </c>
      <c r="C378" s="56"/>
      <c r="D378" s="124"/>
      <c r="E378" s="124"/>
      <c r="F378" s="42"/>
      <c r="G378" s="1419" t="s">
        <v>4027</v>
      </c>
      <c r="H378" s="42"/>
      <c r="M378" s="1189">
        <v>2</v>
      </c>
      <c r="N378" s="192"/>
      <c r="O378" s="1223">
        <f>IF(AND($H$388="",$I$391&gt;=0.6),2,IF(AND($H$388="",$I$391&gt;=0.5),1,0))</f>
        <v>0</v>
      </c>
      <c r="P378" s="1223">
        <f>IF(AND($K$387="",$J$391&gt;=0.6),2,IF(AND($K$387="",$J$391&gt;=0.5),1,0))</f>
        <v>0</v>
      </c>
      <c r="Q378" s="115" t="s">
        <v>456</v>
      </c>
      <c r="R378" s="37" t="s">
        <v>2810</v>
      </c>
    </row>
    <row r="379" spans="1:18" s="57" customFormat="1" ht="3" customHeight="1">
      <c r="R379" s="599"/>
    </row>
    <row r="380" spans="1:18" s="57" customFormat="1" ht="12" customHeight="1">
      <c r="B380" s="149" t="s">
        <v>2058</v>
      </c>
      <c r="C380" s="37" t="s">
        <v>4034</v>
      </c>
      <c r="M380" s="603">
        <v>2</v>
      </c>
      <c r="R380" s="599"/>
    </row>
    <row r="381" spans="1:18" s="57" customFormat="1" ht="12" customHeight="1">
      <c r="B381" s="149" t="s">
        <v>2061</v>
      </c>
      <c r="C381" s="37" t="s">
        <v>4035</v>
      </c>
      <c r="M381" s="603">
        <v>1</v>
      </c>
      <c r="R381" s="599"/>
    </row>
    <row r="382" spans="1:18" s="57" customFormat="1" ht="1.5" customHeight="1">
      <c r="D382" s="1341"/>
      <c r="E382" s="1341"/>
      <c r="F382" s="1341"/>
      <c r="G382" s="1341"/>
      <c r="H382" s="1341"/>
      <c r="I382" s="1341"/>
      <c r="J382" s="1341"/>
      <c r="K382" s="1341"/>
      <c r="L382" s="1341"/>
      <c r="M382" s="1341"/>
      <c r="R382" s="599"/>
    </row>
    <row r="383" spans="1:18" s="57" customFormat="1" ht="12" customHeight="1">
      <c r="B383" s="1806" t="s">
        <v>4028</v>
      </c>
      <c r="C383" s="1807"/>
      <c r="D383" s="1434" t="s">
        <v>2966</v>
      </c>
      <c r="E383" s="1912" t="s">
        <v>3628</v>
      </c>
      <c r="F383" s="1912"/>
      <c r="G383" s="1912"/>
      <c r="H383" s="1912"/>
      <c r="I383" s="1912"/>
      <c r="J383" s="1912"/>
      <c r="K383" s="1912"/>
      <c r="L383" s="1912"/>
      <c r="M383" s="1434" t="s">
        <v>1659</v>
      </c>
      <c r="N383" s="1804" t="s">
        <v>2687</v>
      </c>
      <c r="O383" s="1805"/>
    </row>
    <row r="384" spans="1:18" s="57" customFormat="1" ht="12" customHeight="1">
      <c r="A384" s="48"/>
      <c r="B384" s="1806"/>
      <c r="C384" s="1807"/>
      <c r="D384" s="783" t="s">
        <v>1251</v>
      </c>
      <c r="E384" s="1909" t="s">
        <v>2970</v>
      </c>
      <c r="F384" s="1910"/>
      <c r="G384" s="1910"/>
      <c r="H384" s="1910"/>
      <c r="I384" s="1910"/>
      <c r="J384" s="1910"/>
      <c r="K384" s="1910"/>
      <c r="L384" s="1911"/>
      <c r="M384" s="783" t="s">
        <v>2701</v>
      </c>
      <c r="N384" s="1802" t="s">
        <v>1326</v>
      </c>
      <c r="O384" s="1803"/>
    </row>
    <row r="385" spans="1:18" s="57" customFormat="1" ht="12.75" customHeight="1">
      <c r="A385" s="48"/>
      <c r="B385" s="1806"/>
      <c r="C385" s="1807"/>
      <c r="D385" s="1433">
        <v>20000</v>
      </c>
      <c r="E385" s="1908">
        <v>15000</v>
      </c>
      <c r="F385" s="1908"/>
      <c r="G385" s="1908"/>
      <c r="H385" s="1908"/>
      <c r="I385" s="1908"/>
      <c r="J385" s="1908"/>
      <c r="K385" s="1908"/>
      <c r="L385" s="1908"/>
      <c r="M385" s="1433">
        <v>6000</v>
      </c>
      <c r="N385" s="1800">
        <v>3000</v>
      </c>
      <c r="O385" s="1801"/>
    </row>
    <row r="386" spans="1:18" s="57" customFormat="1" ht="12" customHeight="1">
      <c r="A386" s="48"/>
      <c r="B386" s="48"/>
      <c r="C386" s="462"/>
      <c r="I386" s="603" t="s">
        <v>3910</v>
      </c>
      <c r="J386" s="603" t="s">
        <v>3911</v>
      </c>
      <c r="K386" s="1248"/>
      <c r="L386" s="1248"/>
      <c r="M386" s="1248"/>
      <c r="R386" s="599"/>
    </row>
    <row r="387" spans="1:18" s="57" customFormat="1" ht="12" customHeight="1">
      <c r="C387" s="1250" t="s">
        <v>4033</v>
      </c>
      <c r="D387" s="1248"/>
      <c r="E387" s="1248"/>
      <c r="F387" s="1248"/>
      <c r="G387" s="1248"/>
      <c r="H387" s="1248"/>
      <c r="I387" s="3338"/>
      <c r="J387" s="3339"/>
      <c r="K387" s="1907" t="str">
        <f>IF(J388&lt;J387,"Threshold not met!","")</f>
        <v/>
      </c>
      <c r="L387" s="1249" t="s">
        <v>2967</v>
      </c>
      <c r="M387" s="1932" t="str">
        <f>'Part I-Project Information'!$F$28</f>
        <v>Kingsland</v>
      </c>
      <c r="N387" s="1933"/>
      <c r="O387" s="1933"/>
      <c r="P387" s="1934"/>
    </row>
    <row r="388" spans="1:18" s="57" customFormat="1" ht="12" customHeight="1">
      <c r="A388" s="1254"/>
      <c r="B388" s="1254"/>
      <c r="C388" s="477" t="s">
        <v>4029</v>
      </c>
      <c r="H388" s="1251" t="str">
        <f>IF(I388&lt;I387,"Threshold not met!","")</f>
        <v/>
      </c>
      <c r="I388" s="3340"/>
      <c r="J388" s="3341"/>
      <c r="K388" s="1907"/>
      <c r="L388" s="61" t="s">
        <v>2968</v>
      </c>
      <c r="M388" s="1896" t="str">
        <f>'Part I-Project Information'!$J$29</f>
        <v>Camden</v>
      </c>
      <c r="N388" s="1897"/>
      <c r="O388" s="1897"/>
      <c r="P388" s="1898"/>
    </row>
    <row r="389" spans="1:18" s="57" customFormat="1" ht="12" customHeight="1">
      <c r="A389" s="1254"/>
      <c r="B389" s="1254"/>
      <c r="C389" s="477" t="s">
        <v>4031</v>
      </c>
      <c r="I389" s="3342"/>
      <c r="J389" s="3343"/>
      <c r="L389" s="477" t="s">
        <v>2969</v>
      </c>
      <c r="M389" s="1896" t="str">
        <f>'Part I-Project Information'!$O$30</f>
        <v>Camden Co.</v>
      </c>
      <c r="N389" s="1897"/>
      <c r="O389" s="1897"/>
      <c r="P389" s="1898"/>
    </row>
    <row r="390" spans="1:18" s="57" customFormat="1" ht="12" customHeight="1">
      <c r="L390" s="477" t="s">
        <v>3052</v>
      </c>
      <c r="M390" s="1896" t="str">
        <f>VLOOKUP('Part I-Project Information'!$J$29,'DCA Underwriting Assumptions'!$G$141:$J$300,4)</f>
        <v>Non-MSA</v>
      </c>
      <c r="N390" s="1897"/>
      <c r="O390" s="1897"/>
      <c r="P390" s="1898"/>
    </row>
    <row r="391" spans="1:18" s="57" customFormat="1" ht="12" customHeight="1">
      <c r="C391" s="477" t="s">
        <v>4032</v>
      </c>
      <c r="I391" s="1252">
        <f>IF(I388=0,0,I389/I388)</f>
        <v>0</v>
      </c>
      <c r="J391" s="1253">
        <f>IF(J388=0,0,J389/J388)</f>
        <v>0</v>
      </c>
      <c r="L391" s="57" t="s">
        <v>4030</v>
      </c>
      <c r="M391" s="1904" t="str">
        <f>'Part I-Project Information'!$K$30</f>
        <v>Rural</v>
      </c>
      <c r="N391" s="1905"/>
      <c r="O391" s="1905"/>
      <c r="P391" s="1906"/>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7"/>
    </row>
    <row r="394" spans="1:18" s="44" customFormat="1" ht="21.75" customHeight="1">
      <c r="A394" s="3073" t="s">
        <v>4401</v>
      </c>
      <c r="B394" s="3074"/>
      <c r="C394" s="3074"/>
      <c r="D394" s="3074"/>
      <c r="E394" s="3074"/>
      <c r="F394" s="3074"/>
      <c r="G394" s="3074"/>
      <c r="H394" s="3074"/>
      <c r="I394" s="3074"/>
      <c r="J394" s="3074"/>
      <c r="K394" s="3074"/>
      <c r="L394" s="3074"/>
      <c r="M394" s="3074"/>
      <c r="N394" s="3074"/>
      <c r="O394" s="3074"/>
      <c r="P394" s="3075"/>
      <c r="Q394" s="496" t="s">
        <v>1301</v>
      </c>
    </row>
    <row r="395" spans="1:18" s="44" customFormat="1" ht="11.25" customHeight="1">
      <c r="A395" s="43"/>
      <c r="B395" s="91" t="s">
        <v>1937</v>
      </c>
      <c r="C395" s="104"/>
      <c r="D395" s="91"/>
      <c r="E395" s="105"/>
      <c r="F395" s="1418"/>
      <c r="G395" s="1418"/>
      <c r="H395" s="1418"/>
      <c r="I395" s="1418"/>
      <c r="J395" s="1418"/>
      <c r="K395" s="1418"/>
      <c r="L395" s="1418"/>
      <c r="M395" s="1418"/>
      <c r="N395" s="79"/>
      <c r="O395" s="75"/>
      <c r="P395" s="1413"/>
      <c r="Q395" s="473"/>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496" t="s">
        <v>1301</v>
      </c>
    </row>
    <row r="397" spans="1:18" s="44" customFormat="1" ht="3" customHeight="1">
      <c r="A397" s="43"/>
      <c r="C397" s="1418"/>
      <c r="D397" s="1418"/>
      <c r="E397" s="1418"/>
      <c r="F397" s="1418"/>
      <c r="G397" s="1418"/>
      <c r="H397" s="1418"/>
      <c r="I397" s="1418"/>
      <c r="J397" s="1418"/>
      <c r="K397" s="1418"/>
      <c r="L397" s="1418"/>
      <c r="M397" s="1418"/>
      <c r="N397" s="79"/>
      <c r="O397" s="75"/>
      <c r="P397" s="1189"/>
    </row>
    <row r="398" spans="1:18" s="108" customFormat="1" ht="11.25" customHeight="1">
      <c r="A398" s="166" t="s">
        <v>2963</v>
      </c>
      <c r="B398" s="111" t="s">
        <v>1737</v>
      </c>
      <c r="D398" s="46"/>
      <c r="E398" s="46"/>
      <c r="F398" s="40"/>
      <c r="G398" s="37"/>
      <c r="I398" s="37"/>
      <c r="J398" s="37"/>
      <c r="K398" s="37"/>
      <c r="L398" s="413" t="str">
        <f>IF(OR($O398=$M398,$O398&lt;=0,$O398=""),"","* * Check Score! * *")</f>
        <v/>
      </c>
      <c r="M398" s="1413">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3"/>
      <c r="N399" s="6"/>
      <c r="O399" s="6"/>
      <c r="P399" s="6"/>
      <c r="Q399" s="115"/>
    </row>
    <row r="400" spans="1:18" s="108" customFormat="1" ht="11.25" customHeight="1">
      <c r="A400" s="166"/>
      <c r="B400" s="92" t="s">
        <v>4091</v>
      </c>
      <c r="D400" s="46"/>
      <c r="E400" s="46"/>
      <c r="F400" s="40"/>
      <c r="G400" s="37"/>
      <c r="I400" s="37"/>
      <c r="J400" s="37"/>
      <c r="K400" s="37"/>
      <c r="L400" s="413"/>
      <c r="M400" s="1413"/>
      <c r="N400" s="6"/>
      <c r="O400" s="1284">
        <v>10</v>
      </c>
      <c r="P400" s="1284">
        <v>10</v>
      </c>
      <c r="Q400" s="115"/>
    </row>
    <row r="401" spans="1:18" s="108" customFormat="1" ht="11.25" customHeight="1">
      <c r="A401" s="166"/>
      <c r="B401" s="92" t="s">
        <v>4092</v>
      </c>
      <c r="D401" s="46"/>
      <c r="E401" s="46"/>
      <c r="F401" s="40"/>
      <c r="G401" s="37"/>
      <c r="I401" s="37"/>
      <c r="J401" s="37"/>
      <c r="K401" s="37"/>
      <c r="L401" s="413"/>
      <c r="M401" s="1413"/>
      <c r="N401" s="6"/>
      <c r="O401" s="3344">
        <v>0</v>
      </c>
      <c r="P401" s="619"/>
      <c r="Q401" s="115"/>
    </row>
    <row r="402" spans="1:18" s="108" customFormat="1" ht="11.25" customHeight="1">
      <c r="A402" s="166"/>
      <c r="B402" s="92" t="s">
        <v>4093</v>
      </c>
      <c r="D402" s="46"/>
      <c r="E402" s="46"/>
      <c r="F402" s="40"/>
      <c r="G402" s="37"/>
      <c r="I402" s="37"/>
      <c r="J402" s="37"/>
      <c r="K402" s="37"/>
      <c r="L402" s="413"/>
      <c r="M402" s="1413"/>
      <c r="N402" s="6"/>
      <c r="O402" s="3345">
        <v>0</v>
      </c>
      <c r="P402" s="620"/>
      <c r="Q402" s="115"/>
    </row>
    <row r="403" spans="1:18" s="108" customFormat="1" ht="3" customHeight="1">
      <c r="A403" s="166"/>
      <c r="B403" s="180"/>
      <c r="D403" s="46"/>
      <c r="E403" s="46"/>
      <c r="F403" s="40"/>
      <c r="G403" s="37"/>
      <c r="I403" s="37"/>
      <c r="J403" s="37"/>
      <c r="K403" s="37"/>
      <c r="L403" s="413"/>
      <c r="M403" s="1413"/>
      <c r="N403" s="1413"/>
      <c r="O403" s="1413"/>
      <c r="P403" s="1413"/>
      <c r="Q403" s="115"/>
    </row>
    <row r="404" spans="1:18" ht="12.6" customHeight="1">
      <c r="A404" s="149" t="s">
        <v>2058</v>
      </c>
      <c r="B404" s="195" t="s">
        <v>1492</v>
      </c>
      <c r="D404" s="34"/>
      <c r="E404" s="34"/>
      <c r="F404" s="34"/>
      <c r="G404" s="34"/>
      <c r="H404" s="34"/>
      <c r="I404" s="34"/>
      <c r="J404" s="34"/>
      <c r="K404" s="34"/>
      <c r="L404" s="34"/>
      <c r="M404" s="122"/>
      <c r="N404" s="521" t="s">
        <v>2058</v>
      </c>
      <c r="O404" s="3196">
        <v>10</v>
      </c>
      <c r="P404" s="1144"/>
      <c r="Q404" s="188" t="s">
        <v>2810</v>
      </c>
    </row>
    <row r="405" spans="1:18" s="108" customFormat="1" ht="11.25" customHeight="1">
      <c r="A405" s="71"/>
      <c r="B405" s="71" t="s">
        <v>1937</v>
      </c>
      <c r="C405" s="51"/>
      <c r="D405" s="71"/>
      <c r="E405" s="1423"/>
      <c r="F405" s="1423"/>
      <c r="G405" s="1423"/>
      <c r="H405" s="1423"/>
      <c r="I405" s="1423"/>
      <c r="J405" s="1423"/>
      <c r="K405" s="1423"/>
      <c r="L405" s="1423"/>
      <c r="M405" s="1423"/>
      <c r="N405" s="99"/>
      <c r="O405" s="1161"/>
      <c r="P405" s="1413"/>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496" t="s">
        <v>1301</v>
      </c>
      <c r="R406" s="497"/>
    </row>
    <row r="407" spans="1:18" s="44" customFormat="1" ht="6" customHeight="1" thickBot="1">
      <c r="A407" s="43"/>
      <c r="B407" s="43"/>
      <c r="C407" s="1418"/>
      <c r="D407" s="1418"/>
      <c r="E407" s="1418"/>
      <c r="F407" s="1418"/>
      <c r="G407" s="1418"/>
      <c r="H407" s="1418"/>
      <c r="I407" s="1418"/>
      <c r="J407" s="1418"/>
      <c r="K407" s="1418"/>
      <c r="L407" s="1418"/>
      <c r="M407" s="1418"/>
      <c r="N407" s="79"/>
      <c r="O407" s="75"/>
      <c r="P407" s="1189"/>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3"/>
      <c r="O409" s="519"/>
      <c r="P409" s="519">
        <f>P214</f>
        <v>0</v>
      </c>
    </row>
    <row r="410" spans="1:18" s="43" customFormat="1" ht="13.5" customHeight="1">
      <c r="A410" s="56"/>
      <c r="B410" s="72"/>
      <c r="C410" s="56"/>
      <c r="D410" s="36"/>
      <c r="E410" s="36"/>
      <c r="F410" s="74"/>
      <c r="G410" s="74"/>
      <c r="I410" s="180" t="s">
        <v>3058</v>
      </c>
      <c r="J410" s="73"/>
      <c r="K410" s="73"/>
      <c r="L410" s="44"/>
      <c r="M410" s="36"/>
      <c r="N410" s="1413"/>
      <c r="O410" s="1413"/>
      <c r="P410" s="519">
        <f>P288</f>
        <v>0</v>
      </c>
    </row>
    <row r="411" spans="1:18" s="44" customFormat="1" ht="13.5" customHeight="1">
      <c r="A411" s="43"/>
      <c r="B411" s="43"/>
      <c r="C411" s="1418"/>
      <c r="D411" s="1418"/>
      <c r="E411" s="1418"/>
      <c r="F411" s="1418"/>
      <c r="G411" s="1418"/>
      <c r="I411" s="180" t="s">
        <v>3059</v>
      </c>
      <c r="J411" s="1418"/>
      <c r="K411" s="1418"/>
      <c r="L411" s="1418"/>
      <c r="M411" s="1418"/>
      <c r="N411" s="79"/>
      <c r="O411" s="75"/>
      <c r="P411" s="519">
        <f>P330</f>
        <v>0</v>
      </c>
    </row>
    <row r="412" spans="1:18" s="44" customFormat="1" ht="13.5" customHeight="1">
      <c r="A412" s="43"/>
      <c r="D412" s="40"/>
      <c r="E412" s="37"/>
      <c r="F412" s="1189"/>
      <c r="G412" s="1189"/>
      <c r="H412" s="4" t="s">
        <v>3060</v>
      </c>
      <c r="I412" s="1189"/>
      <c r="J412" s="1219"/>
      <c r="K412" s="1219"/>
      <c r="L412" s="1219"/>
      <c r="M412" s="63"/>
      <c r="N412" s="1189"/>
      <c r="O412" s="1417"/>
      <c r="P412" s="644">
        <f>P408-P409-P410-P411</f>
        <v>22</v>
      </c>
    </row>
    <row r="413" spans="1:18" s="172" customFormat="1" ht="13.5" customHeight="1">
      <c r="A413" s="56"/>
      <c r="B413" s="72"/>
      <c r="C413" s="56"/>
      <c r="D413" s="158"/>
      <c r="E413" s="158"/>
      <c r="F413" s="41"/>
      <c r="G413" s="41"/>
      <c r="H413" s="74"/>
      <c r="I413" s="74"/>
      <c r="J413" s="538"/>
      <c r="K413" s="538"/>
      <c r="L413" s="44"/>
      <c r="M413" s="158"/>
      <c r="N413" s="1413"/>
      <c r="O413" s="1413"/>
      <c r="P413" s="3"/>
    </row>
    <row r="414" spans="1:18" s="44" customFormat="1" ht="27.75" customHeight="1">
      <c r="A414" s="1798" t="s">
        <v>4138</v>
      </c>
      <c r="B414" s="1798"/>
      <c r="C414" s="1798"/>
      <c r="D414" s="1798"/>
      <c r="E414" s="1798"/>
      <c r="F414" s="1798"/>
      <c r="G414" s="1798"/>
      <c r="H414" s="1798"/>
      <c r="I414" s="1798"/>
      <c r="J414" s="1798"/>
      <c r="K414" s="1798"/>
      <c r="L414" s="1798"/>
      <c r="M414" s="1798"/>
      <c r="N414" s="1798"/>
      <c r="O414" s="1798"/>
      <c r="P414" s="1798"/>
    </row>
    <row r="415" spans="1:18" s="44" customFormat="1" ht="107.25" customHeight="1">
      <c r="A415" s="3073"/>
      <c r="B415" s="3074"/>
      <c r="C415" s="3074"/>
      <c r="D415" s="3074"/>
      <c r="E415" s="3074"/>
      <c r="F415" s="3074"/>
      <c r="G415" s="3074"/>
      <c r="H415" s="3074"/>
      <c r="I415" s="3074"/>
      <c r="J415" s="3074"/>
      <c r="K415" s="3074"/>
      <c r="L415" s="3074"/>
      <c r="M415" s="3074"/>
      <c r="N415" s="3074"/>
      <c r="O415" s="3074"/>
      <c r="P415" s="3075"/>
      <c r="Q415" s="496" t="s">
        <v>1301</v>
      </c>
      <c r="R415" s="497"/>
    </row>
    <row r="416" spans="1:18" s="172" customFormat="1">
      <c r="N416" s="130"/>
      <c r="O416" s="1409"/>
      <c r="P416" s="1409"/>
    </row>
    <row r="417" spans="3:16" s="172" customFormat="1">
      <c r="N417" s="130"/>
      <c r="O417" s="1409"/>
      <c r="P417" s="1409"/>
    </row>
    <row r="418" spans="3:16" s="172" customFormat="1">
      <c r="N418" s="130"/>
      <c r="O418" s="1409"/>
      <c r="P418" s="1409"/>
    </row>
    <row r="419" spans="3:16" s="172" customFormat="1">
      <c r="N419" s="130"/>
      <c r="O419" s="1409"/>
      <c r="P419" s="1409"/>
    </row>
    <row r="420" spans="3:16" s="542" customFormat="1">
      <c r="C420" s="501" t="s">
        <v>1708</v>
      </c>
      <c r="D420" s="501"/>
      <c r="E420" s="501"/>
      <c r="F420" s="501"/>
      <c r="G420" s="501"/>
      <c r="H420" s="501"/>
      <c r="I420" s="501"/>
      <c r="J420" s="501" t="s">
        <v>1050</v>
      </c>
      <c r="K420" s="501"/>
      <c r="N420" s="1342"/>
      <c r="O420" s="1343"/>
      <c r="P420" s="1343"/>
    </row>
    <row r="421" spans="3:16" s="542" customFormat="1">
      <c r="C421" s="542" t="s">
        <v>2167</v>
      </c>
      <c r="J421" s="542" t="s">
        <v>1837</v>
      </c>
      <c r="N421" s="1342"/>
      <c r="O421" s="1343"/>
      <c r="P421" s="1343"/>
    </row>
    <row r="422" spans="3:16" s="542" customFormat="1">
      <c r="C422" s="501" t="s">
        <v>2632</v>
      </c>
      <c r="D422" s="501"/>
      <c r="E422" s="501"/>
      <c r="F422" s="501"/>
      <c r="G422" s="501"/>
      <c r="H422" s="501"/>
      <c r="I422" s="501"/>
      <c r="J422" s="1285" t="s">
        <v>239</v>
      </c>
      <c r="K422" s="501"/>
      <c r="N422" s="1342"/>
      <c r="O422" s="1343"/>
      <c r="P422" s="1343"/>
    </row>
    <row r="423" spans="3:16" s="542" customFormat="1">
      <c r="C423" s="501" t="s">
        <v>2168</v>
      </c>
      <c r="D423" s="501"/>
      <c r="E423" s="501"/>
      <c r="F423" s="501"/>
      <c r="G423" s="501"/>
      <c r="H423" s="501"/>
      <c r="I423" s="501"/>
      <c r="J423" s="1285" t="s">
        <v>1710</v>
      </c>
      <c r="K423" s="501"/>
      <c r="N423" s="1342"/>
      <c r="O423" s="1343"/>
      <c r="P423" s="1343"/>
    </row>
    <row r="424" spans="3:16" s="542" customFormat="1">
      <c r="C424" s="501" t="s">
        <v>2169</v>
      </c>
      <c r="D424" s="501"/>
      <c r="E424" s="501"/>
      <c r="F424" s="501"/>
      <c r="G424" s="501"/>
      <c r="H424" s="501"/>
      <c r="I424" s="501"/>
      <c r="J424" s="1285" t="s">
        <v>1711</v>
      </c>
      <c r="K424" s="501"/>
      <c r="N424" s="1342"/>
      <c r="O424" s="1343"/>
      <c r="P424" s="1343"/>
    </row>
    <row r="425" spans="3:16" s="542" customFormat="1">
      <c r="C425" s="1286" t="s">
        <v>2170</v>
      </c>
      <c r="D425" s="501"/>
      <c r="E425" s="501"/>
      <c r="F425" s="501"/>
      <c r="G425" s="501"/>
      <c r="H425" s="501"/>
      <c r="I425" s="501"/>
      <c r="J425" s="1285" t="s">
        <v>2591</v>
      </c>
      <c r="K425" s="501"/>
      <c r="N425" s="1342"/>
      <c r="O425" s="1343"/>
      <c r="P425" s="1343"/>
    </row>
    <row r="426" spans="3:16" s="542" customFormat="1">
      <c r="C426" s="1286" t="s">
        <v>2171</v>
      </c>
      <c r="D426" s="501"/>
      <c r="E426" s="501"/>
      <c r="F426" s="501"/>
      <c r="G426" s="501"/>
      <c r="H426" s="501"/>
      <c r="I426" s="501"/>
      <c r="J426" s="1285" t="s">
        <v>1712</v>
      </c>
      <c r="K426" s="501"/>
      <c r="N426" s="1342"/>
      <c r="O426" s="1343"/>
      <c r="P426" s="1343"/>
    </row>
    <row r="427" spans="3:16" s="542" customFormat="1">
      <c r="C427" s="1286"/>
      <c r="D427" s="501"/>
      <c r="E427" s="501"/>
      <c r="F427" s="501"/>
      <c r="G427" s="501"/>
      <c r="H427" s="501"/>
      <c r="I427" s="501"/>
      <c r="J427" s="1285" t="s">
        <v>1713</v>
      </c>
      <c r="K427" s="501"/>
      <c r="N427" s="1342"/>
      <c r="O427" s="1343"/>
      <c r="P427" s="1343"/>
    </row>
    <row r="428" spans="3:16" s="542" customFormat="1">
      <c r="C428" s="542" t="s">
        <v>1837</v>
      </c>
      <c r="D428" s="501"/>
      <c r="E428" s="501"/>
      <c r="F428" s="501"/>
      <c r="G428" s="501"/>
      <c r="H428" s="501"/>
      <c r="I428" s="501"/>
      <c r="J428" s="1285" t="s">
        <v>1714</v>
      </c>
      <c r="K428" s="501"/>
      <c r="N428" s="1342"/>
      <c r="O428" s="1343"/>
      <c r="P428" s="1343"/>
    </row>
    <row r="429" spans="3:16" s="542" customFormat="1">
      <c r="C429" s="1287" t="s">
        <v>1442</v>
      </c>
      <c r="D429" s="501"/>
      <c r="E429" s="501"/>
      <c r="F429" s="501"/>
      <c r="G429" s="501"/>
      <c r="H429" s="501"/>
      <c r="I429" s="501"/>
      <c r="J429" s="1285" t="s">
        <v>1715</v>
      </c>
      <c r="K429" s="501"/>
      <c r="N429" s="1342"/>
      <c r="O429" s="1343"/>
      <c r="P429" s="1343"/>
    </row>
    <row r="430" spans="3:16" s="542" customFormat="1">
      <c r="C430" s="1287" t="s">
        <v>1443</v>
      </c>
      <c r="D430" s="501"/>
      <c r="E430" s="501"/>
      <c r="F430" s="501"/>
      <c r="G430" s="501"/>
      <c r="H430" s="501"/>
      <c r="I430" s="501"/>
      <c r="J430" s="1285" t="s">
        <v>1716</v>
      </c>
      <c r="K430" s="501"/>
      <c r="N430" s="1342"/>
      <c r="O430" s="1343"/>
      <c r="P430" s="1343"/>
    </row>
    <row r="431" spans="3:16" s="542" customFormat="1">
      <c r="C431" s="1288" t="s">
        <v>2211</v>
      </c>
      <c r="D431" s="501"/>
      <c r="E431" s="501"/>
      <c r="F431" s="501"/>
      <c r="G431" s="501"/>
      <c r="H431" s="501"/>
      <c r="I431" s="501"/>
      <c r="J431" s="1285" t="s">
        <v>1717</v>
      </c>
      <c r="K431" s="501"/>
      <c r="N431" s="1342"/>
      <c r="O431" s="1343"/>
      <c r="P431" s="1343"/>
    </row>
    <row r="432" spans="3:16" s="542" customFormat="1">
      <c r="C432" s="1288" t="s">
        <v>1439</v>
      </c>
      <c r="D432" s="501"/>
      <c r="E432" s="501"/>
      <c r="F432" s="501"/>
      <c r="G432" s="501"/>
      <c r="H432" s="501"/>
      <c r="I432" s="501"/>
      <c r="J432" s="1285" t="s">
        <v>613</v>
      </c>
      <c r="K432" s="501"/>
      <c r="N432" s="1342"/>
      <c r="O432" s="1343"/>
      <c r="P432" s="1343"/>
    </row>
    <row r="433" spans="3:16" s="542" customFormat="1">
      <c r="C433" s="1288" t="s">
        <v>1440</v>
      </c>
      <c r="D433" s="501"/>
      <c r="E433" s="501"/>
      <c r="F433" s="501"/>
      <c r="G433" s="501"/>
      <c r="H433" s="501"/>
      <c r="I433" s="501"/>
      <c r="J433" s="1285" t="s">
        <v>1718</v>
      </c>
      <c r="K433" s="501"/>
      <c r="N433" s="1342"/>
      <c r="O433" s="1343"/>
      <c r="P433" s="1343"/>
    </row>
    <row r="434" spans="3:16" s="542" customFormat="1">
      <c r="C434" s="1287" t="s">
        <v>2206</v>
      </c>
      <c r="D434" s="501"/>
      <c r="E434" s="501"/>
      <c r="F434" s="501"/>
      <c r="G434" s="501"/>
      <c r="H434" s="501"/>
      <c r="I434" s="501"/>
      <c r="J434" s="1285" t="s">
        <v>1719</v>
      </c>
      <c r="K434" s="501"/>
      <c r="N434" s="1342"/>
      <c r="O434" s="1343"/>
      <c r="P434" s="1343"/>
    </row>
    <row r="435" spans="3:16" s="542" customFormat="1">
      <c r="C435" s="1287" t="s">
        <v>2207</v>
      </c>
      <c r="D435" s="501"/>
      <c r="E435" s="501"/>
      <c r="F435" s="501"/>
      <c r="G435" s="501"/>
      <c r="H435" s="501"/>
      <c r="I435" s="501"/>
      <c r="J435" s="1285" t="s">
        <v>1720</v>
      </c>
      <c r="N435" s="1342"/>
      <c r="O435" s="1343"/>
      <c r="P435" s="1343"/>
    </row>
    <row r="436" spans="3:16" s="542" customFormat="1">
      <c r="C436" s="1287" t="s">
        <v>2208</v>
      </c>
      <c r="J436" s="1285" t="s">
        <v>37</v>
      </c>
      <c r="N436" s="1342"/>
      <c r="O436" s="1343"/>
      <c r="P436" s="1343"/>
    </row>
    <row r="437" spans="3:16" s="542" customFormat="1" ht="15">
      <c r="C437" s="1287" t="s">
        <v>2209</v>
      </c>
      <c r="J437" s="1289"/>
      <c r="N437" s="1342"/>
      <c r="O437" s="1343"/>
      <c r="P437" s="1343"/>
    </row>
    <row r="438" spans="3:16" s="542" customFormat="1">
      <c r="C438" s="1287" t="s">
        <v>2210</v>
      </c>
      <c r="J438" s="1290" t="s">
        <v>3649</v>
      </c>
      <c r="N438" s="1342"/>
      <c r="O438" s="1343"/>
      <c r="P438" s="1343"/>
    </row>
    <row r="439" spans="3:16" s="542" customFormat="1">
      <c r="C439" s="1287" t="s">
        <v>1441</v>
      </c>
      <c r="J439" s="1290" t="s">
        <v>3650</v>
      </c>
      <c r="N439" s="1342"/>
      <c r="O439" s="1343"/>
      <c r="P439" s="1343"/>
    </row>
    <row r="440" spans="3:16" s="542" customFormat="1">
      <c r="C440" s="1287" t="s">
        <v>2362</v>
      </c>
      <c r="J440" s="542" t="s">
        <v>3632</v>
      </c>
      <c r="N440" s="1342"/>
      <c r="O440" s="1343"/>
      <c r="P440" s="1343"/>
    </row>
    <row r="441" spans="3:16" s="542" customFormat="1">
      <c r="J441" s="542" t="s">
        <v>3633</v>
      </c>
      <c r="N441" s="1342"/>
      <c r="O441" s="1343"/>
      <c r="P441" s="1343"/>
    </row>
    <row r="442" spans="3:16" s="542" customFormat="1">
      <c r="J442" s="542" t="s">
        <v>3634</v>
      </c>
      <c r="N442" s="1342"/>
      <c r="O442" s="1343"/>
      <c r="P442" s="1343"/>
    </row>
    <row r="443" spans="3:16" s="542" customFormat="1">
      <c r="C443" s="1291" t="s">
        <v>2904</v>
      </c>
      <c r="G443" s="1292" t="s">
        <v>1560</v>
      </c>
      <c r="H443" s="1293"/>
      <c r="I443" s="1292"/>
      <c r="J443" s="542" t="s">
        <v>3635</v>
      </c>
      <c r="L443" s="1292"/>
      <c r="N443" s="1342"/>
      <c r="O443" s="1343"/>
      <c r="P443" s="1343"/>
    </row>
    <row r="444" spans="3:16" s="542" customFormat="1">
      <c r="C444" s="1294" t="s">
        <v>2906</v>
      </c>
      <c r="G444" s="1295" t="s">
        <v>2609</v>
      </c>
      <c r="H444" s="1293"/>
      <c r="I444" s="1295"/>
      <c r="J444" s="1293" t="s">
        <v>3636</v>
      </c>
      <c r="L444" s="1295"/>
      <c r="N444" s="1342"/>
      <c r="O444" s="1343"/>
      <c r="P444" s="1343"/>
    </row>
    <row r="445" spans="3:16" s="542" customFormat="1">
      <c r="C445" s="1294" t="s">
        <v>2907</v>
      </c>
      <c r="G445" s="1295" t="s">
        <v>1848</v>
      </c>
      <c r="H445" s="1293"/>
      <c r="I445" s="1296"/>
      <c r="J445" s="1293" t="s">
        <v>3637</v>
      </c>
      <c r="L445" s="1296"/>
      <c r="N445" s="1342"/>
      <c r="O445" s="1343"/>
      <c r="P445" s="1343"/>
    </row>
    <row r="446" spans="3:16" s="542" customFormat="1">
      <c r="C446" s="1294" t="s">
        <v>2908</v>
      </c>
      <c r="G446" s="1295" t="s">
        <v>1695</v>
      </c>
      <c r="H446" s="1293"/>
      <c r="I446" s="1296"/>
      <c r="J446" s="1293" t="s">
        <v>3638</v>
      </c>
      <c r="L446" s="1296"/>
      <c r="N446" s="1342"/>
      <c r="O446" s="1343"/>
      <c r="P446" s="1343"/>
    </row>
    <row r="447" spans="3:16" s="542" customFormat="1">
      <c r="C447" s="1294" t="s">
        <v>2909</v>
      </c>
      <c r="G447" s="1295" t="s">
        <v>3977</v>
      </c>
      <c r="H447" s="1293"/>
      <c r="I447" s="1296"/>
      <c r="J447" s="1293" t="s">
        <v>3639</v>
      </c>
      <c r="L447" s="1296"/>
      <c r="N447" s="1342"/>
      <c r="O447" s="1343"/>
      <c r="P447" s="1343"/>
    </row>
    <row r="448" spans="3:16" s="542" customFormat="1">
      <c r="C448" s="1294" t="s">
        <v>2910</v>
      </c>
      <c r="G448" s="1295" t="s">
        <v>2149</v>
      </c>
      <c r="H448" s="1293"/>
      <c r="I448" s="1296"/>
      <c r="J448" s="1293" t="s">
        <v>3640</v>
      </c>
      <c r="L448" s="1296"/>
      <c r="N448" s="1342"/>
      <c r="O448" s="1343"/>
      <c r="P448" s="1343"/>
    </row>
    <row r="449" spans="1:16" s="542" customFormat="1">
      <c r="C449" s="1294" t="s">
        <v>2911</v>
      </c>
      <c r="G449" s="1295" t="s">
        <v>12</v>
      </c>
      <c r="H449" s="1293"/>
      <c r="I449" s="1296"/>
      <c r="J449" s="1293" t="s">
        <v>3641</v>
      </c>
      <c r="L449" s="1296"/>
      <c r="N449" s="1342"/>
      <c r="O449" s="1343"/>
      <c r="P449" s="1343"/>
    </row>
    <row r="450" spans="1:16" s="542" customFormat="1">
      <c r="C450" s="1294"/>
      <c r="G450" s="1295" t="s">
        <v>1381</v>
      </c>
      <c r="H450" s="1293"/>
      <c r="I450" s="1296"/>
      <c r="J450" s="1293" t="s">
        <v>3642</v>
      </c>
      <c r="L450" s="1296"/>
      <c r="N450" s="1342"/>
      <c r="O450" s="1343"/>
      <c r="P450" s="1343"/>
    </row>
    <row r="451" spans="1:16" s="542" customFormat="1">
      <c r="C451" s="1294"/>
      <c r="G451" s="1295" t="s">
        <v>1561</v>
      </c>
      <c r="H451" s="1293"/>
      <c r="I451" s="1296"/>
      <c r="J451" s="1293" t="s">
        <v>3643</v>
      </c>
      <c r="L451" s="1296"/>
      <c r="N451" s="1342"/>
      <c r="O451" s="1343"/>
      <c r="P451" s="1343"/>
    </row>
    <row r="452" spans="1:16" s="542" customFormat="1">
      <c r="C452" s="1294"/>
      <c r="G452" s="1295" t="s">
        <v>1059</v>
      </c>
      <c r="H452" s="1293"/>
      <c r="I452" s="1296"/>
      <c r="J452" s="1293" t="s">
        <v>3644</v>
      </c>
      <c r="L452" s="1296"/>
      <c r="N452" s="1342"/>
      <c r="O452" s="1343"/>
      <c r="P452" s="1343"/>
    </row>
    <row r="453" spans="1:16" s="542" customFormat="1">
      <c r="G453" s="1295" t="s">
        <v>1824</v>
      </c>
      <c r="H453" s="1293"/>
      <c r="I453" s="1296"/>
      <c r="J453" s="1293" t="s">
        <v>3645</v>
      </c>
      <c r="L453" s="1296"/>
      <c r="N453" s="1342"/>
      <c r="O453" s="1343"/>
      <c r="P453" s="1343"/>
    </row>
    <row r="454" spans="1:16" s="542" customFormat="1">
      <c r="G454" s="1295" t="s">
        <v>2575</v>
      </c>
      <c r="H454" s="1293"/>
      <c r="I454" s="1296"/>
      <c r="J454" s="1293" t="s">
        <v>3646</v>
      </c>
      <c r="L454" s="1296"/>
      <c r="N454" s="1342"/>
      <c r="O454" s="1343"/>
      <c r="P454" s="1343"/>
    </row>
    <row r="455" spans="1:16" s="542" customFormat="1">
      <c r="A455" s="1291" t="s">
        <v>2913</v>
      </c>
      <c r="G455" s="1295" t="s">
        <v>2136</v>
      </c>
      <c r="H455" s="1293"/>
      <c r="I455" s="1296"/>
      <c r="J455" s="1293" t="s">
        <v>3647</v>
      </c>
      <c r="L455" s="1296"/>
      <c r="N455" s="1342"/>
      <c r="O455" s="1343"/>
      <c r="P455" s="1343"/>
    </row>
    <row r="456" spans="1:16" s="542" customFormat="1">
      <c r="A456" s="1291" t="s">
        <v>2946</v>
      </c>
      <c r="G456" s="1295" t="s">
        <v>625</v>
      </c>
      <c r="H456" s="1293"/>
      <c r="I456" s="1296"/>
      <c r="J456" s="1293" t="s">
        <v>3648</v>
      </c>
      <c r="L456" s="1296"/>
      <c r="N456" s="1342"/>
      <c r="O456" s="1343"/>
      <c r="P456" s="1343"/>
    </row>
    <row r="457" spans="1:16" s="542" customFormat="1">
      <c r="A457" s="1294" t="s">
        <v>3580</v>
      </c>
      <c r="D457" s="1297"/>
      <c r="E457" s="1298">
        <v>3</v>
      </c>
      <c r="G457" s="1295" t="s">
        <v>348</v>
      </c>
      <c r="H457" s="1293"/>
      <c r="I457" s="1296"/>
      <c r="J457" s="1293"/>
      <c r="L457" s="1296"/>
      <c r="N457" s="1342"/>
      <c r="O457" s="1343"/>
      <c r="P457" s="1343"/>
    </row>
    <row r="458" spans="1:16" s="542" customFormat="1">
      <c r="A458" s="1294" t="s">
        <v>3581</v>
      </c>
      <c r="D458" s="1297"/>
      <c r="E458" s="1298">
        <v>2</v>
      </c>
      <c r="G458" s="1295" t="s">
        <v>906</v>
      </c>
      <c r="H458" s="1293"/>
      <c r="I458" s="1296"/>
      <c r="J458" s="1293"/>
      <c r="L458" s="1296"/>
      <c r="N458" s="1342"/>
      <c r="O458" s="1343"/>
      <c r="P458" s="1343"/>
    </row>
    <row r="459" spans="1:16" s="542" customFormat="1">
      <c r="A459" s="1294" t="s">
        <v>3582</v>
      </c>
      <c r="D459" s="1297"/>
      <c r="E459" s="1298">
        <v>10</v>
      </c>
      <c r="G459" s="1295" t="s">
        <v>1998</v>
      </c>
      <c r="H459" s="1293"/>
      <c r="I459" s="1296"/>
      <c r="J459" s="1293"/>
      <c r="L459" s="1296"/>
      <c r="N459" s="1342"/>
      <c r="O459" s="1343"/>
      <c r="P459" s="1343"/>
    </row>
    <row r="460" spans="1:16" s="542" customFormat="1">
      <c r="A460" s="1294" t="s">
        <v>2947</v>
      </c>
      <c r="D460" s="1297"/>
      <c r="E460" s="1297"/>
      <c r="G460" s="1295" t="s">
        <v>472</v>
      </c>
      <c r="H460" s="1293"/>
      <c r="I460" s="1296"/>
      <c r="J460" s="1293"/>
      <c r="L460" s="1296"/>
      <c r="N460" s="1342"/>
      <c r="O460" s="1343"/>
      <c r="P460" s="1343"/>
    </row>
    <row r="461" spans="1:16" s="542" customFormat="1">
      <c r="C461" s="1294"/>
      <c r="G461" s="1295" t="s">
        <v>3978</v>
      </c>
      <c r="H461" s="1293"/>
      <c r="I461" s="1296"/>
      <c r="J461" s="1293"/>
      <c r="L461" s="1296"/>
      <c r="N461" s="1342"/>
      <c r="O461" s="1343"/>
      <c r="P461" s="1343"/>
    </row>
    <row r="462" spans="1:16" s="542" customFormat="1">
      <c r="C462" s="1294"/>
      <c r="G462" s="1295" t="s">
        <v>243</v>
      </c>
      <c r="H462" s="1293"/>
      <c r="I462" s="1296"/>
      <c r="J462" s="1293"/>
      <c r="L462" s="1296"/>
      <c r="N462" s="1342"/>
      <c r="O462" s="1343"/>
      <c r="P462" s="1343"/>
    </row>
    <row r="463" spans="1:16" s="542" customFormat="1">
      <c r="C463" s="1294"/>
      <c r="G463" s="1295" t="s">
        <v>1267</v>
      </c>
      <c r="H463" s="1296"/>
      <c r="I463" s="1293"/>
      <c r="J463" s="1293"/>
      <c r="L463" s="1296"/>
      <c r="N463" s="1342"/>
      <c r="O463" s="1343"/>
      <c r="P463" s="1343"/>
    </row>
    <row r="464" spans="1:16" s="542" customFormat="1">
      <c r="C464" s="1294"/>
      <c r="G464" s="1295" t="s">
        <v>1269</v>
      </c>
      <c r="H464" s="1296"/>
      <c r="I464" s="1293"/>
      <c r="J464" s="1293"/>
      <c r="L464" s="1296"/>
      <c r="N464" s="1342"/>
      <c r="O464" s="1343"/>
      <c r="P464" s="1343"/>
    </row>
    <row r="465" spans="1:16" s="542" customFormat="1">
      <c r="G465" s="1295" t="s">
        <v>1696</v>
      </c>
      <c r="H465" s="1296"/>
      <c r="I465" s="1293"/>
      <c r="J465" s="1293"/>
      <c r="L465" s="1296"/>
      <c r="N465" s="1342"/>
      <c r="O465" s="1343"/>
      <c r="P465" s="1343"/>
    </row>
    <row r="466" spans="1:16" s="542" customFormat="1">
      <c r="G466" s="1295" t="s">
        <v>1021</v>
      </c>
      <c r="H466" s="1296"/>
      <c r="I466" s="1293"/>
      <c r="J466" s="1293"/>
      <c r="L466" s="1296"/>
      <c r="N466" s="1342"/>
      <c r="O466" s="1343"/>
      <c r="P466" s="1343"/>
    </row>
    <row r="467" spans="1:16" s="542" customFormat="1">
      <c r="G467" s="1295" t="s">
        <v>595</v>
      </c>
      <c r="H467" s="1296"/>
      <c r="I467" s="1293"/>
      <c r="J467" s="1293"/>
      <c r="L467" s="1296"/>
      <c r="N467" s="1342"/>
      <c r="O467" s="1343"/>
      <c r="P467" s="1343"/>
    </row>
    <row r="468" spans="1:16" s="542" customFormat="1">
      <c r="G468" s="1295" t="s">
        <v>1697</v>
      </c>
      <c r="H468" s="1296"/>
      <c r="I468" s="1293"/>
      <c r="J468" s="1293"/>
      <c r="L468" s="1296"/>
      <c r="N468" s="1342"/>
      <c r="O468" s="1343"/>
      <c r="P468" s="1343"/>
    </row>
    <row r="469" spans="1:16" s="542" customFormat="1">
      <c r="G469" s="1295" t="s">
        <v>1743</v>
      </c>
      <c r="H469" s="1296"/>
      <c r="I469" s="1293"/>
      <c r="J469" s="1293"/>
      <c r="L469" s="1296"/>
      <c r="N469" s="1342"/>
      <c r="O469" s="1343"/>
      <c r="P469" s="1343"/>
    </row>
    <row r="470" spans="1:16" s="542" customFormat="1">
      <c r="D470" s="1299"/>
      <c r="G470" s="1295" t="s">
        <v>1806</v>
      </c>
      <c r="H470" s="1296"/>
      <c r="I470" s="1293"/>
      <c r="J470" s="1293"/>
      <c r="L470" s="1296"/>
      <c r="N470" s="1342"/>
      <c r="O470" s="1343"/>
      <c r="P470" s="1343"/>
    </row>
    <row r="471" spans="1:16" s="172" customFormat="1">
      <c r="A471" s="542"/>
      <c r="B471" s="542"/>
      <c r="C471" s="542"/>
      <c r="D471" s="1299"/>
      <c r="E471" s="542"/>
      <c r="F471" s="542"/>
      <c r="G471" s="1295" t="s">
        <v>3603</v>
      </c>
      <c r="H471" s="1296"/>
      <c r="I471" s="1293"/>
      <c r="J471" s="1293"/>
      <c r="K471" s="542"/>
      <c r="L471" s="1296"/>
      <c r="M471" s="542"/>
      <c r="N471" s="130"/>
      <c r="O471" s="1409"/>
      <c r="P471" s="1409"/>
    </row>
    <row r="472" spans="1:16" s="172" customFormat="1">
      <c r="A472" s="542"/>
      <c r="B472" s="542"/>
      <c r="C472" s="542"/>
      <c r="D472" s="1300"/>
      <c r="E472" s="542"/>
      <c r="F472" s="542"/>
      <c r="G472" s="1295" t="s">
        <v>853</v>
      </c>
      <c r="H472" s="1296"/>
      <c r="I472" s="1293"/>
      <c r="J472" s="1293"/>
      <c r="K472" s="542"/>
      <c r="L472" s="1296"/>
      <c r="M472" s="542"/>
      <c r="N472" s="130"/>
      <c r="O472" s="1409"/>
      <c r="P472" s="1409"/>
    </row>
    <row r="473" spans="1:16" s="172" customFormat="1">
      <c r="A473" s="542"/>
      <c r="B473" s="542"/>
      <c r="C473" s="542"/>
      <c r="D473" s="1300"/>
      <c r="E473" s="1300"/>
      <c r="F473" s="542"/>
      <c r="G473" s="1295" t="s">
        <v>184</v>
      </c>
      <c r="H473" s="1296"/>
      <c r="I473" s="1293"/>
      <c r="J473" s="1293"/>
      <c r="K473" s="542"/>
      <c r="L473" s="1296"/>
      <c r="M473" s="542"/>
      <c r="N473" s="130"/>
      <c r="O473" s="1409"/>
      <c r="P473" s="1409"/>
    </row>
    <row r="474" spans="1:16" s="172" customFormat="1">
      <c r="A474" s="542"/>
      <c r="B474" s="542"/>
      <c r="C474" s="542"/>
      <c r="D474" s="542"/>
      <c r="E474" s="542"/>
      <c r="F474" s="542"/>
      <c r="G474" s="1295" t="s">
        <v>540</v>
      </c>
      <c r="H474" s="1296"/>
      <c r="I474" s="1293"/>
      <c r="J474" s="1293"/>
      <c r="K474" s="542"/>
      <c r="L474" s="1296"/>
      <c r="M474" s="542"/>
      <c r="N474" s="130"/>
      <c r="O474" s="1409"/>
      <c r="P474" s="1409"/>
    </row>
    <row r="475" spans="1:16" s="172" customFormat="1">
      <c r="A475" s="542"/>
      <c r="B475" s="542"/>
      <c r="C475" s="542"/>
      <c r="D475" s="542"/>
      <c r="E475" s="542"/>
      <c r="F475" s="542"/>
      <c r="G475" s="1295" t="s">
        <v>548</v>
      </c>
      <c r="H475" s="1296"/>
      <c r="I475" s="1293"/>
      <c r="J475" s="1293"/>
      <c r="K475" s="542"/>
      <c r="L475" s="1296"/>
      <c r="M475" s="542"/>
      <c r="N475" s="130"/>
      <c r="O475" s="1409"/>
      <c r="P475" s="1409"/>
    </row>
    <row r="476" spans="1:16" s="172" customFormat="1" ht="13.5">
      <c r="A476" s="542"/>
      <c r="B476" s="542"/>
      <c r="C476" s="1299"/>
      <c r="D476" s="542"/>
      <c r="E476" s="542"/>
      <c r="F476" s="542"/>
      <c r="G476" s="1295" t="s">
        <v>561</v>
      </c>
      <c r="H476" s="1301"/>
      <c r="I476" s="1293"/>
      <c r="J476" s="1293"/>
      <c r="K476" s="542"/>
      <c r="L476" s="1296"/>
      <c r="M476" s="542"/>
      <c r="N476" s="130"/>
      <c r="O476" s="1409"/>
      <c r="P476" s="1409"/>
    </row>
    <row r="477" spans="1:16" s="172" customFormat="1" ht="13.5">
      <c r="A477" s="542"/>
      <c r="B477" s="542"/>
      <c r="C477" s="1299"/>
      <c r="D477" s="542"/>
      <c r="E477" s="542"/>
      <c r="F477" s="542"/>
      <c r="G477" s="1295" t="s">
        <v>1694</v>
      </c>
      <c r="H477" s="1301"/>
      <c r="I477" s="1293"/>
      <c r="J477" s="1293"/>
      <c r="K477" s="542"/>
      <c r="L477" s="1296"/>
      <c r="M477" s="542"/>
      <c r="N477" s="130"/>
      <c r="O477" s="1409"/>
      <c r="P477" s="1409"/>
    </row>
    <row r="478" spans="1:16" s="172" customFormat="1" ht="13.5">
      <c r="A478" s="542"/>
      <c r="B478" s="542"/>
      <c r="C478" s="1299"/>
      <c r="D478" s="542"/>
      <c r="E478" s="542"/>
      <c r="F478" s="542"/>
      <c r="G478" s="1295" t="s">
        <v>2173</v>
      </c>
      <c r="H478" s="1301"/>
      <c r="I478" s="1293"/>
      <c r="J478" s="1293"/>
      <c r="K478" s="542"/>
      <c r="L478" s="1296"/>
      <c r="M478" s="542"/>
      <c r="N478" s="130"/>
      <c r="O478" s="1409"/>
      <c r="P478" s="1409"/>
    </row>
    <row r="479" spans="1:16" s="172" customFormat="1">
      <c r="A479" s="542"/>
      <c r="B479" s="542"/>
      <c r="C479" s="1299"/>
      <c r="D479" s="542"/>
      <c r="E479" s="542"/>
      <c r="F479" s="542"/>
      <c r="G479" s="1295" t="s">
        <v>2328</v>
      </c>
      <c r="H479" s="1293"/>
      <c r="I479" s="1293"/>
      <c r="J479" s="1293"/>
      <c r="K479" s="542"/>
      <c r="L479" s="1296"/>
      <c r="M479" s="542"/>
      <c r="N479" s="130"/>
      <c r="O479" s="1409"/>
      <c r="P479" s="1409"/>
    </row>
    <row r="480" spans="1:16" s="172" customFormat="1">
      <c r="A480" s="542"/>
      <c r="B480" s="542"/>
      <c r="C480" s="1299"/>
      <c r="D480" s="542"/>
      <c r="E480" s="542"/>
      <c r="F480" s="542"/>
      <c r="G480" s="1295" t="s">
        <v>412</v>
      </c>
      <c r="H480" s="1293"/>
      <c r="I480" s="1293"/>
      <c r="J480" s="1293"/>
      <c r="K480" s="542"/>
      <c r="L480" s="1296"/>
      <c r="M480" s="542"/>
      <c r="N480" s="130"/>
      <c r="O480" s="1409"/>
      <c r="P480" s="1409"/>
    </row>
    <row r="481" spans="1:16" s="172" customFormat="1">
      <c r="A481" s="542"/>
      <c r="B481" s="542"/>
      <c r="C481" s="1299"/>
      <c r="D481" s="542"/>
      <c r="E481" s="542"/>
      <c r="F481" s="542"/>
      <c r="G481" s="1295" t="s">
        <v>2200</v>
      </c>
      <c r="H481" s="1293"/>
      <c r="I481" s="1293"/>
      <c r="J481" s="1293"/>
      <c r="K481" s="542"/>
      <c r="L481" s="1302"/>
      <c r="M481" s="542"/>
      <c r="N481" s="130"/>
      <c r="O481" s="1409"/>
      <c r="P481" s="1409"/>
    </row>
    <row r="482" spans="1:16" s="172" customFormat="1" ht="13.5">
      <c r="A482" s="542"/>
      <c r="B482" s="542"/>
      <c r="C482" s="1299"/>
      <c r="D482" s="542"/>
      <c r="E482" s="542"/>
      <c r="F482" s="542"/>
      <c r="G482" s="1295" t="s">
        <v>1496</v>
      </c>
      <c r="H482" s="1293"/>
      <c r="I482" s="1293"/>
      <c r="J482" s="1293"/>
      <c r="K482" s="542"/>
      <c r="L482" s="1301"/>
      <c r="M482" s="542"/>
      <c r="N482" s="130"/>
      <c r="O482" s="1409"/>
      <c r="P482" s="1409"/>
    </row>
    <row r="483" spans="1:16" s="172" customFormat="1" ht="13.5">
      <c r="A483" s="542"/>
      <c r="B483" s="542"/>
      <c r="C483" s="1300"/>
      <c r="D483" s="542"/>
      <c r="E483" s="542"/>
      <c r="F483" s="542"/>
      <c r="G483" s="1295" t="s">
        <v>1613</v>
      </c>
      <c r="H483" s="1293"/>
      <c r="I483" s="1293"/>
      <c r="J483" s="1293"/>
      <c r="K483" s="542"/>
      <c r="L483" s="1301"/>
      <c r="M483" s="542"/>
      <c r="N483" s="130"/>
      <c r="O483" s="1409"/>
      <c r="P483" s="1409"/>
    </row>
    <row r="484" spans="1:16" s="172" customFormat="1" ht="13.5">
      <c r="A484" s="542"/>
      <c r="B484" s="542"/>
      <c r="C484" s="1300"/>
      <c r="D484" s="542"/>
      <c r="E484" s="542"/>
      <c r="F484" s="542"/>
      <c r="G484" s="1295" t="s">
        <v>256</v>
      </c>
      <c r="H484" s="1293"/>
      <c r="I484" s="1293"/>
      <c r="J484" s="1293"/>
      <c r="K484" s="542"/>
      <c r="L484" s="1301"/>
      <c r="M484" s="542"/>
      <c r="N484" s="130"/>
      <c r="O484" s="1409"/>
      <c r="P484" s="1409"/>
    </row>
    <row r="485" spans="1:16" s="172" customFormat="1" ht="13.5">
      <c r="A485" s="542"/>
      <c r="B485" s="542"/>
      <c r="C485" s="542"/>
      <c r="D485" s="542"/>
      <c r="E485" s="542"/>
      <c r="F485" s="542"/>
      <c r="G485" s="1295" t="s">
        <v>69</v>
      </c>
      <c r="H485" s="1293"/>
      <c r="I485" s="1293"/>
      <c r="J485" s="1293"/>
      <c r="K485" s="542"/>
      <c r="L485" s="1301"/>
      <c r="M485" s="542"/>
      <c r="N485" s="130"/>
      <c r="O485" s="1409"/>
      <c r="P485" s="1409"/>
    </row>
    <row r="486" spans="1:16" s="172" customFormat="1">
      <c r="A486" s="542"/>
      <c r="B486" s="542"/>
      <c r="C486" s="542"/>
      <c r="D486" s="542"/>
      <c r="E486" s="542"/>
      <c r="F486" s="542"/>
      <c r="G486" s="1295" t="s">
        <v>1080</v>
      </c>
      <c r="H486" s="1293"/>
      <c r="I486" s="1293"/>
      <c r="J486" s="1293"/>
      <c r="K486" s="1293"/>
      <c r="L486" s="542"/>
      <c r="M486" s="542"/>
      <c r="N486" s="130"/>
      <c r="O486" s="1409"/>
      <c r="P486" s="1409"/>
    </row>
    <row r="487" spans="1:16" s="172" customFormat="1">
      <c r="A487" s="542"/>
      <c r="B487" s="542"/>
      <c r="C487" s="542"/>
      <c r="D487" s="542"/>
      <c r="E487" s="542"/>
      <c r="F487" s="542"/>
      <c r="G487" s="1295" t="s">
        <v>2348</v>
      </c>
      <c r="H487" s="1293"/>
      <c r="I487" s="1293"/>
      <c r="J487" s="1293"/>
      <c r="K487" s="1293"/>
      <c r="L487" s="542"/>
      <c r="M487" s="542"/>
      <c r="N487" s="130"/>
      <c r="O487" s="1409"/>
      <c r="P487" s="1409"/>
    </row>
    <row r="488" spans="1:16" s="172" customFormat="1" ht="13.5">
      <c r="A488" s="542"/>
      <c r="B488" s="542"/>
      <c r="C488" s="542"/>
      <c r="D488" s="542"/>
      <c r="E488" s="542"/>
      <c r="F488" s="542"/>
      <c r="G488" s="1303" t="s">
        <v>2242</v>
      </c>
      <c r="H488" s="1293"/>
      <c r="I488" s="1293"/>
      <c r="J488" s="1293"/>
      <c r="K488" s="1293"/>
      <c r="L488" s="542"/>
      <c r="M488" s="542"/>
      <c r="N488" s="130"/>
      <c r="O488" s="1409"/>
      <c r="P488" s="1409"/>
    </row>
    <row r="489" spans="1:16" s="172" customFormat="1" ht="13.5">
      <c r="A489" s="542"/>
      <c r="B489" s="542"/>
      <c r="C489" s="542"/>
      <c r="D489" s="542"/>
      <c r="E489" s="542"/>
      <c r="F489" s="542"/>
      <c r="G489" s="1303" t="s">
        <v>1698</v>
      </c>
      <c r="H489" s="1293"/>
      <c r="I489" s="1293"/>
      <c r="J489" s="1293"/>
      <c r="K489" s="1293"/>
      <c r="L489" s="542"/>
      <c r="M489" s="542"/>
      <c r="N489" s="130"/>
      <c r="O489" s="1409"/>
      <c r="P489" s="1409"/>
    </row>
    <row r="490" spans="1:16" s="172" customFormat="1" ht="13.5">
      <c r="A490" s="542"/>
      <c r="B490" s="542"/>
      <c r="C490" s="542"/>
      <c r="D490" s="542"/>
      <c r="E490" s="542"/>
      <c r="F490" s="542"/>
      <c r="G490" s="1303" t="s">
        <v>2340</v>
      </c>
      <c r="H490" s="1293"/>
      <c r="I490" s="1293"/>
      <c r="J490" s="1293"/>
      <c r="K490" s="1293"/>
      <c r="L490" s="542"/>
      <c r="M490" s="542"/>
      <c r="N490" s="130"/>
      <c r="O490" s="1409"/>
      <c r="P490" s="1409"/>
    </row>
    <row r="491" spans="1:16" s="172" customFormat="1" ht="13.5">
      <c r="A491" s="542"/>
      <c r="B491" s="542"/>
      <c r="C491" s="542"/>
      <c r="D491" s="542"/>
      <c r="E491" s="542"/>
      <c r="F491" s="542"/>
      <c r="G491" s="1303" t="s">
        <v>2205</v>
      </c>
      <c r="H491" s="1293"/>
      <c r="I491" s="1293"/>
      <c r="J491" s="1293"/>
      <c r="K491" s="1293"/>
      <c r="L491" s="542"/>
      <c r="M491" s="542"/>
      <c r="N491" s="130"/>
      <c r="O491" s="1409"/>
      <c r="P491" s="1409"/>
    </row>
    <row r="492" spans="1:16" s="172" customFormat="1" ht="13.5">
      <c r="A492" s="542"/>
      <c r="B492" s="542"/>
      <c r="C492" s="542"/>
      <c r="D492" s="542"/>
      <c r="E492" s="542"/>
      <c r="F492" s="542"/>
      <c r="G492" s="1303" t="s">
        <v>1699</v>
      </c>
      <c r="H492" s="1293"/>
      <c r="I492" s="1293"/>
      <c r="J492" s="1293"/>
      <c r="K492" s="1293"/>
      <c r="L492" s="542"/>
      <c r="M492" s="542"/>
      <c r="N492" s="130"/>
      <c r="O492" s="1409"/>
      <c r="P492" s="1409"/>
    </row>
    <row r="493" spans="1:16" s="172" customFormat="1" ht="13.5">
      <c r="A493" s="542"/>
      <c r="B493" s="542"/>
      <c r="C493" s="542"/>
      <c r="D493" s="542"/>
      <c r="E493" s="542"/>
      <c r="F493" s="542"/>
      <c r="G493" s="1303" t="s">
        <v>2415</v>
      </c>
      <c r="H493" s="1293"/>
      <c r="I493" s="1293"/>
      <c r="J493" s="1293"/>
      <c r="K493" s="1293"/>
      <c r="L493" s="542"/>
      <c r="M493" s="542"/>
      <c r="N493" s="130"/>
      <c r="O493" s="1409"/>
      <c r="P493" s="1409"/>
    </row>
    <row r="494" spans="1:16" s="172" customFormat="1" ht="13.5">
      <c r="A494" s="542"/>
      <c r="B494" s="542"/>
      <c r="C494" s="542"/>
      <c r="D494" s="542"/>
      <c r="E494" s="542"/>
      <c r="F494" s="542"/>
      <c r="G494" s="1303" t="s">
        <v>1750</v>
      </c>
      <c r="H494" s="1293"/>
      <c r="I494" s="1293"/>
      <c r="J494" s="1293"/>
      <c r="K494" s="1293"/>
      <c r="L494" s="542"/>
      <c r="M494" s="542"/>
      <c r="N494" s="130"/>
      <c r="O494" s="1409"/>
      <c r="P494" s="1409"/>
    </row>
    <row r="495" spans="1:16" s="172" customFormat="1" ht="13.5">
      <c r="A495" s="542"/>
      <c r="B495" s="542"/>
      <c r="C495" s="542"/>
      <c r="D495" s="542"/>
      <c r="E495" s="542"/>
      <c r="F495" s="542"/>
      <c r="G495" s="1301" t="s">
        <v>2341</v>
      </c>
      <c r="H495" s="1293"/>
      <c r="I495" s="1293"/>
      <c r="J495" s="1293"/>
      <c r="K495" s="1293"/>
      <c r="L495" s="542"/>
      <c r="M495" s="542"/>
      <c r="N495" s="130"/>
      <c r="O495" s="1409"/>
      <c r="P495" s="1409"/>
    </row>
    <row r="496" spans="1:16" s="172" customFormat="1" ht="13.5">
      <c r="A496" s="542"/>
      <c r="B496" s="542"/>
      <c r="C496" s="542"/>
      <c r="D496" s="542"/>
      <c r="E496" s="542"/>
      <c r="F496" s="542"/>
      <c r="G496" s="1301" t="s">
        <v>1760</v>
      </c>
      <c r="H496" s="1293"/>
      <c r="I496" s="1293"/>
      <c r="J496" s="1293"/>
      <c r="K496" s="1293"/>
      <c r="L496" s="542"/>
      <c r="M496" s="542"/>
      <c r="N496" s="130"/>
      <c r="O496" s="1409"/>
      <c r="P496" s="1409"/>
    </row>
    <row r="497" spans="1:19" s="172" customFormat="1" ht="13.5">
      <c r="A497" s="542"/>
      <c r="B497" s="542"/>
      <c r="C497" s="542"/>
      <c r="D497" s="542"/>
      <c r="E497" s="542"/>
      <c r="F497" s="542"/>
      <c r="G497" s="1301" t="s">
        <v>1765</v>
      </c>
      <c r="H497" s="542"/>
      <c r="I497" s="542"/>
      <c r="J497" s="1293"/>
      <c r="K497" s="542"/>
      <c r="L497" s="542"/>
      <c r="M497" s="542"/>
      <c r="N497" s="130"/>
      <c r="O497" s="1409"/>
      <c r="P497" s="1409"/>
    </row>
    <row r="498" spans="1:19" s="172" customFormat="1" ht="13.5">
      <c r="A498" s="542"/>
      <c r="B498" s="542"/>
      <c r="C498" s="542"/>
      <c r="D498" s="542"/>
      <c r="E498" s="542"/>
      <c r="F498" s="542"/>
      <c r="G498" s="1301" t="s">
        <v>1768</v>
      </c>
      <c r="H498" s="542"/>
      <c r="I498" s="542"/>
      <c r="J498" s="542"/>
      <c r="K498" s="542"/>
      <c r="L498" s="542"/>
      <c r="M498" s="542"/>
      <c r="N498" s="130"/>
      <c r="O498" s="1409"/>
      <c r="P498" s="1409"/>
    </row>
    <row r="499" spans="1:19" s="172" customFormat="1" ht="13.5">
      <c r="A499" s="542"/>
      <c r="B499" s="542"/>
      <c r="C499" s="542"/>
      <c r="D499" s="542"/>
      <c r="E499" s="542"/>
      <c r="F499" s="542"/>
      <c r="G499" s="1301" t="s">
        <v>1773</v>
      </c>
      <c r="H499" s="542"/>
      <c r="I499" s="542"/>
      <c r="J499" s="542"/>
      <c r="K499" s="542"/>
      <c r="L499" s="542"/>
      <c r="M499" s="542"/>
      <c r="N499" s="130"/>
      <c r="O499" s="1409"/>
      <c r="P499" s="1409"/>
    </row>
    <row r="500" spans="1:19" s="172" customFormat="1" ht="13.5">
      <c r="A500" s="542"/>
      <c r="B500" s="542"/>
      <c r="C500" s="542"/>
      <c r="D500" s="542"/>
      <c r="E500" s="542"/>
      <c r="F500" s="542"/>
      <c r="G500" s="1301" t="s">
        <v>108</v>
      </c>
      <c r="H500" s="542"/>
      <c r="I500" s="542"/>
      <c r="J500" s="542"/>
      <c r="K500" s="542"/>
      <c r="L500" s="542"/>
      <c r="M500" s="542"/>
      <c r="N500" s="130"/>
      <c r="O500" s="1409"/>
      <c r="P500" s="1409"/>
    </row>
    <row r="501" spans="1:19" s="172" customFormat="1" ht="13.5">
      <c r="A501" s="542"/>
      <c r="B501" s="542"/>
      <c r="C501" s="542"/>
      <c r="D501" s="542"/>
      <c r="E501" s="542"/>
      <c r="F501" s="542"/>
      <c r="G501" s="1301" t="s">
        <v>309</v>
      </c>
      <c r="H501" s="542"/>
      <c r="I501" s="542"/>
      <c r="J501" s="542"/>
      <c r="K501" s="542"/>
      <c r="L501" s="542"/>
      <c r="M501" s="542"/>
      <c r="N501" s="130"/>
      <c r="O501" s="1409"/>
      <c r="P501" s="1409"/>
    </row>
    <row r="502" spans="1:19" ht="13.5">
      <c r="A502" s="542"/>
      <c r="B502" s="542"/>
      <c r="C502" s="542"/>
      <c r="D502" s="542"/>
      <c r="E502" s="542"/>
      <c r="F502" s="542"/>
      <c r="G502" s="1304" t="s">
        <v>310</v>
      </c>
      <c r="H502" s="542"/>
      <c r="I502" s="542"/>
      <c r="J502" s="542"/>
      <c r="K502" s="542"/>
      <c r="L502" s="542"/>
      <c r="M502" s="542"/>
      <c r="N502" s="130"/>
      <c r="Q502" s="172"/>
      <c r="R502" s="172"/>
      <c r="S502" s="172"/>
    </row>
    <row r="503" spans="1:19" ht="13.5">
      <c r="A503" s="542"/>
      <c r="B503" s="542"/>
      <c r="C503" s="542"/>
      <c r="D503" s="542"/>
      <c r="E503" s="542"/>
      <c r="F503" s="542"/>
      <c r="G503" s="1304"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lY9kMj0H4XQ9RDFAhm5mpLKc1YQjww8dLTkbEWOl0XT9C5cKV8i2Xt8vogWAxywM5Wgsp6pFk40cX+O+ZWJGeg==" saltValue="6k5W5fv1oBfAaWs7jCKPJQ==" spinCount="100000" sheet="1" objects="1" scenarios="1" formatColumns="0" formatRows="0"/>
  <mergeCells count="298">
    <mergeCell ref="C231:D231"/>
    <mergeCell ref="C225:D225"/>
    <mergeCell ref="J176:K176"/>
    <mergeCell ref="A224:O224"/>
    <mergeCell ref="B123:J124"/>
    <mergeCell ref="A24:E24"/>
    <mergeCell ref="M387:P387"/>
    <mergeCell ref="B363:N363"/>
    <mergeCell ref="C303:H303"/>
    <mergeCell ref="L266:M266"/>
    <mergeCell ref="L268:M268"/>
    <mergeCell ref="J365:N365"/>
    <mergeCell ref="K27:N27"/>
    <mergeCell ref="F47:H47"/>
    <mergeCell ref="F48:H48"/>
    <mergeCell ref="F49:H49"/>
    <mergeCell ref="G229:H229"/>
    <mergeCell ref="I260:J260"/>
    <mergeCell ref="L251:L252"/>
    <mergeCell ref="L263:M263"/>
    <mergeCell ref="L264:M264"/>
    <mergeCell ref="I258:J258"/>
    <mergeCell ref="J229:K229"/>
    <mergeCell ref="M229:N229"/>
    <mergeCell ref="P344:P345"/>
    <mergeCell ref="C349:I349"/>
    <mergeCell ref="C348:I348"/>
    <mergeCell ref="T160:U160"/>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B90:F91"/>
    <mergeCell ref="H37:I37"/>
    <mergeCell ref="I68:L69"/>
    <mergeCell ref="G20:I20"/>
    <mergeCell ref="G21:I21"/>
    <mergeCell ref="G22:I22"/>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I282:J282"/>
    <mergeCell ref="I277:K277"/>
    <mergeCell ref="G270:K270"/>
    <mergeCell ref="O365:O369"/>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I67:K67"/>
    <mergeCell ref="I70:L71"/>
    <mergeCell ref="A75:P75"/>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K19:N19"/>
    <mergeCell ref="J231:K231"/>
    <mergeCell ref="M231:N231"/>
    <mergeCell ref="G231:H231"/>
    <mergeCell ref="I261:J261"/>
    <mergeCell ref="L260:M260"/>
    <mergeCell ref="L259:M259"/>
    <mergeCell ref="I290:L290"/>
    <mergeCell ref="G309:J309"/>
    <mergeCell ref="I267:J267"/>
    <mergeCell ref="L267:M267"/>
    <mergeCell ref="L258:M258"/>
    <mergeCell ref="C256:M256"/>
    <mergeCell ref="G23:I23"/>
    <mergeCell ref="A41:P41"/>
    <mergeCell ref="O26:P26"/>
    <mergeCell ref="O22:P22"/>
    <mergeCell ref="O23:P23"/>
    <mergeCell ref="G27:I27"/>
    <mergeCell ref="G24:I24"/>
    <mergeCell ref="O27:P27"/>
    <mergeCell ref="O24:P24"/>
    <mergeCell ref="O25:P25"/>
    <mergeCell ref="O20:P20"/>
    <mergeCell ref="J129:L129"/>
    <mergeCell ref="J141:K141"/>
    <mergeCell ref="L141:M141"/>
    <mergeCell ref="G141:H142"/>
    <mergeCell ref="J142:K142"/>
    <mergeCell ref="L142:M142"/>
    <mergeCell ref="O17:P17"/>
    <mergeCell ref="K22:N22"/>
    <mergeCell ref="K20:N20"/>
    <mergeCell ref="J140:K140"/>
    <mergeCell ref="C61:L61"/>
    <mergeCell ref="K91:M91"/>
    <mergeCell ref="K90:M90"/>
    <mergeCell ref="K101:M101"/>
    <mergeCell ref="L140:M140"/>
    <mergeCell ref="K26:N26"/>
    <mergeCell ref="I87:K87"/>
    <mergeCell ref="A26:E26"/>
    <mergeCell ref="A84:P84"/>
    <mergeCell ref="A111:P111"/>
    <mergeCell ref="C120:M121"/>
    <mergeCell ref="K24:N24"/>
    <mergeCell ref="A115:A117"/>
    <mergeCell ref="O19:P19"/>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J139:K139"/>
    <mergeCell ref="L148:M148"/>
    <mergeCell ref="L149:M149"/>
    <mergeCell ref="L150:M150"/>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A22:E22"/>
    <mergeCell ref="L154:M154"/>
    <mergeCell ref="L146:M146"/>
    <mergeCell ref="L147:M147"/>
    <mergeCell ref="L253:L254"/>
    <mergeCell ref="A25:E25"/>
    <mergeCell ref="J43:L45"/>
    <mergeCell ref="A54:P54"/>
    <mergeCell ref="B66:H66"/>
    <mergeCell ref="I66:L66"/>
    <mergeCell ref="A202:P202"/>
    <mergeCell ref="B198:L198"/>
    <mergeCell ref="B197:L197"/>
    <mergeCell ref="K225:L227"/>
    <mergeCell ref="K161:L161"/>
    <mergeCell ref="M162:M166"/>
    <mergeCell ref="L144:M144"/>
    <mergeCell ref="L143:M143"/>
    <mergeCell ref="L138:M138"/>
    <mergeCell ref="L137:M137"/>
    <mergeCell ref="L136:M136"/>
    <mergeCell ref="G131:P131"/>
    <mergeCell ref="A127:P127"/>
    <mergeCell ref="C137:F139"/>
    <mergeCell ref="L139:M139"/>
    <mergeCell ref="Q322:S322"/>
    <mergeCell ref="K334:L334"/>
    <mergeCell ref="K336:L336"/>
    <mergeCell ref="C341:I342"/>
    <mergeCell ref="J342:K342"/>
    <mergeCell ref="J341:K341"/>
    <mergeCell ref="P341:P342"/>
    <mergeCell ref="O341:O342"/>
    <mergeCell ref="B325:I326"/>
    <mergeCell ref="D332:E332"/>
    <mergeCell ref="F340:I340"/>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7"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53" t="s">
        <v>4168</v>
      </c>
    </row>
    <row r="2" spans="1:6" s="34" customFormat="1" ht="13.5" customHeight="1">
      <c r="A2" s="1151" t="str">
        <f>'Part I-Project Information'!$F$24</f>
        <v>The Preserve at Newport</v>
      </c>
    </row>
    <row r="3" spans="1:6" s="34" customFormat="1" ht="13.5" customHeight="1">
      <c r="A3" s="1151" t="str">
        <f>CONCATENATE('Part I-Project Information'!$F$28,", ", 'Part I-Project Information'!$J$29," County")</f>
        <v>Kingsland, Camden County</v>
      </c>
    </row>
    <row r="4" spans="1:6" ht="6.75" customHeight="1"/>
    <row r="5" spans="1:6" ht="113.25" customHeight="1">
      <c r="A5" s="2807" t="s">
        <v>2792</v>
      </c>
      <c r="B5" s="1773" t="s">
        <v>2793</v>
      </c>
      <c r="C5" s="1444"/>
      <c r="D5" s="1444"/>
      <c r="E5" s="1444"/>
      <c r="F5" s="1444"/>
    </row>
    <row r="6" spans="1:6" ht="6.6" customHeight="1">
      <c r="A6" s="2807"/>
      <c r="B6" s="1773"/>
      <c r="C6" s="1444"/>
      <c r="D6" s="1444"/>
      <c r="E6" s="1444"/>
      <c r="F6" s="1444"/>
    </row>
    <row r="7" spans="1:6" ht="134.25" customHeight="1">
      <c r="A7" s="2807"/>
      <c r="C7" s="1149"/>
    </row>
    <row r="8" spans="1:6" ht="6.6" customHeight="1">
      <c r="A8" s="2807"/>
    </row>
    <row r="9" spans="1:6" ht="111" customHeight="1">
      <c r="A9" s="2807"/>
    </row>
    <row r="10" spans="1:6" ht="6.6" customHeight="1">
      <c r="A10" s="2807"/>
    </row>
    <row r="11" spans="1:6" ht="111" customHeight="1">
      <c r="A11" s="2807"/>
    </row>
    <row r="12" spans="1:6" ht="6.6" customHeight="1">
      <c r="A12" s="2807"/>
    </row>
    <row r="13" spans="1:6" ht="111" customHeight="1">
      <c r="A13" s="2807"/>
    </row>
    <row r="14" spans="1:6" ht="6.6" customHeight="1">
      <c r="A14" s="2807"/>
    </row>
    <row r="15" spans="1:6" ht="111" customHeight="1">
      <c r="A15" s="2807"/>
    </row>
    <row r="16" spans="1:6" ht="6.6" customHeight="1">
      <c r="A16" s="2807"/>
    </row>
    <row r="17" spans="1:1" ht="111" customHeight="1">
      <c r="A17" s="2807"/>
    </row>
    <row r="18" spans="1:1" ht="6.6" customHeight="1">
      <c r="A18" s="2807"/>
    </row>
    <row r="19" spans="1:1" ht="105.75" customHeight="1">
      <c r="A19" s="2807"/>
    </row>
    <row r="20" spans="1:1" ht="6.6" customHeight="1">
      <c r="A20" s="2807"/>
    </row>
    <row r="21" spans="1:1" ht="105.75" customHeight="1">
      <c r="A21" s="2807"/>
    </row>
    <row r="22" spans="1:1" ht="6.6" customHeight="1">
      <c r="A22" s="2807"/>
    </row>
    <row r="23" spans="1:1" ht="105.75" customHeight="1">
      <c r="A23" s="2807"/>
    </row>
    <row r="24" spans="1:1" ht="6.6" customHeight="1">
      <c r="A24" s="1150"/>
    </row>
  </sheetData>
  <sheetProtection algorithmName="SHA-512" hashValue="VBXTSrp3i6BH/ZJDbL6qf4McDIM5Z3UNpzUwhdbKCOdlwW7gUmjZEng2o8SjAnCd4XeAbRFgAr49ZXY5WzU6Ow==" saltValue="ceOAaw26ZeNw4/Y4lZacM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53" t="s">
        <v>3765</v>
      </c>
    </row>
    <row r="2" spans="1:6" s="34" customFormat="1" ht="13.5" customHeight="1">
      <c r="A2" s="1151" t="str">
        <f>'Part I-Project Information'!$F$24</f>
        <v>The Preserve at Newport</v>
      </c>
    </row>
    <row r="3" spans="1:6" s="34" customFormat="1" ht="13.5" customHeight="1">
      <c r="A3" s="1151" t="str">
        <f>CONCATENATE('Part I-Project Information'!$F$28,", ", 'Part I-Project Information'!$J$29," County")</f>
        <v>Kingsland, Camden County</v>
      </c>
    </row>
    <row r="4" spans="1:6" s="34" customFormat="1" ht="13.5" customHeight="1">
      <c r="A4" s="1152" t="str">
        <f>CONCATENATE("Identified Complex Issue: ",'Part IX A-Scoring Criteria'!$I$290)</f>
        <v>Identified Complex Issue: &lt;&lt; Choose category in which to compete &gt;&gt;</v>
      </c>
    </row>
    <row r="5" spans="1:6" ht="6.75" customHeight="1"/>
    <row r="6" spans="1:6" ht="113.25" customHeight="1">
      <c r="A6" s="2807" t="s">
        <v>2792</v>
      </c>
      <c r="B6" s="1773" t="s">
        <v>2793</v>
      </c>
      <c r="C6" s="1444"/>
      <c r="D6" s="1444"/>
      <c r="E6" s="1444"/>
      <c r="F6" s="1444"/>
    </row>
    <row r="7" spans="1:6" ht="6.6" customHeight="1">
      <c r="A7" s="2807"/>
      <c r="B7" s="1773"/>
      <c r="C7" s="1444"/>
      <c r="D7" s="1444"/>
      <c r="E7" s="1444"/>
      <c r="F7" s="1444"/>
    </row>
    <row r="8" spans="1:6" ht="134.25" customHeight="1">
      <c r="A8" s="2807"/>
      <c r="C8" s="1149"/>
    </row>
    <row r="9" spans="1:6" ht="6.6" customHeight="1">
      <c r="A9" s="2807"/>
    </row>
    <row r="10" spans="1:6" ht="111" customHeight="1">
      <c r="A10" s="2807"/>
    </row>
    <row r="11" spans="1:6" ht="6.6" customHeight="1">
      <c r="A11" s="2807"/>
    </row>
    <row r="12" spans="1:6" ht="111" customHeight="1">
      <c r="A12" s="2807"/>
    </row>
    <row r="13" spans="1:6" ht="6.6" customHeight="1">
      <c r="A13" s="2807"/>
    </row>
    <row r="14" spans="1:6" ht="111" customHeight="1">
      <c r="A14" s="2807"/>
    </row>
    <row r="15" spans="1:6" ht="6.6" customHeight="1">
      <c r="A15" s="2807"/>
    </row>
    <row r="16" spans="1:6" ht="111" customHeight="1">
      <c r="A16" s="2807"/>
    </row>
    <row r="17" spans="1:1" ht="6.6" customHeight="1">
      <c r="A17" s="2807"/>
    </row>
    <row r="18" spans="1:1" ht="111" customHeight="1">
      <c r="A18" s="2807"/>
    </row>
    <row r="19" spans="1:1" ht="6.6" customHeight="1">
      <c r="A19" s="2807"/>
    </row>
    <row r="20" spans="1:1" ht="105.75" customHeight="1">
      <c r="A20" s="2807"/>
    </row>
    <row r="21" spans="1:1" ht="6.6" customHeight="1">
      <c r="A21" s="2807"/>
    </row>
    <row r="22" spans="1:1" ht="105.75" customHeight="1">
      <c r="A22" s="2807"/>
    </row>
    <row r="23" spans="1:1" ht="6.6" customHeight="1">
      <c r="A23" s="2807"/>
    </row>
    <row r="24" spans="1:1" ht="105.75" customHeight="1">
      <c r="A24" s="2807"/>
    </row>
    <row r="25" spans="1:1" ht="6.6" customHeight="1">
      <c r="A25" s="1150"/>
    </row>
  </sheetData>
  <sheetProtection algorithmName="SHA-512" hashValue="QE6hmAuE6f4iVgYQ+is666+xSouuomgwdKW3bVMUt8qcRHS9gSkj3evIysraobbu2mY5L5HTY6YuK19bdyMn2A==" saltValue="+R0wt6SBArJhd98SPvlM/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7" t="s">
        <v>3071</v>
      </c>
      <c r="B1" s="1937"/>
      <c r="C1" s="1937"/>
      <c r="D1" s="1937"/>
      <c r="E1" s="1937"/>
      <c r="F1" s="1937"/>
      <c r="G1" s="1937"/>
      <c r="H1" s="1937"/>
      <c r="I1" s="1937"/>
      <c r="J1" s="1937"/>
    </row>
    <row r="2" spans="1:11" ht="15.75">
      <c r="A2" s="1937" t="str">
        <f>Overview!C8</f>
        <v>The Preserve at Newport</v>
      </c>
      <c r="B2" s="1937"/>
      <c r="C2" s="1937"/>
      <c r="D2" s="1937"/>
      <c r="E2" s="1937"/>
      <c r="F2" s="1937"/>
      <c r="G2" s="1937"/>
      <c r="H2" s="1937"/>
      <c r="I2" s="1937"/>
      <c r="J2" s="1937"/>
    </row>
    <row r="3" spans="1:11" ht="15.75">
      <c r="A3" s="1937" t="str">
        <f>'Subsidy Layering Memo'!F14</f>
        <v>Kingsland, Camden</v>
      </c>
      <c r="B3" s="1937"/>
      <c r="C3" s="1937"/>
      <c r="D3" s="1937"/>
      <c r="E3" s="1937"/>
      <c r="F3" s="1937"/>
      <c r="G3" s="1937"/>
      <c r="H3" s="1937"/>
      <c r="I3" s="1937"/>
      <c r="J3" s="1937"/>
    </row>
    <row r="4" spans="1:11" ht="15.75">
      <c r="A4" s="1938" t="s">
        <v>3072</v>
      </c>
      <c r="B4" s="1937"/>
      <c r="C4" s="1937"/>
      <c r="D4" s="1937"/>
      <c r="E4" s="1937"/>
      <c r="F4" s="1937"/>
      <c r="G4" s="1937"/>
      <c r="H4" s="1937"/>
      <c r="I4" s="1937"/>
      <c r="J4" s="1937"/>
    </row>
    <row r="5" spans="1:11" ht="5.25" customHeight="1"/>
    <row r="6" spans="1:11" ht="5.25" customHeight="1"/>
    <row r="7" spans="1:11" ht="15.75">
      <c r="A7" s="1939" t="s">
        <v>3073</v>
      </c>
      <c r="B7" s="1939"/>
      <c r="C7" s="1940"/>
    </row>
    <row r="8" spans="1:11" ht="123" customHeight="1">
      <c r="A8" s="1936" t="s">
        <v>3596</v>
      </c>
      <c r="B8" s="1936"/>
      <c r="C8" s="1936"/>
      <c r="D8" s="1936"/>
      <c r="E8" s="1936"/>
      <c r="F8" s="1936"/>
      <c r="G8" s="1936"/>
      <c r="H8" s="1936"/>
      <c r="I8" s="1936"/>
      <c r="J8" s="1936"/>
      <c r="K8" s="883"/>
    </row>
    <row r="9" spans="1:11" ht="15.75">
      <c r="A9" s="884" t="s">
        <v>3074</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4" t="s">
        <v>3075</v>
      </c>
      <c r="B13" s="885"/>
    </row>
    <row r="14" spans="1:11">
      <c r="A14" s="882" t="s">
        <v>3076</v>
      </c>
      <c r="E14" s="886" t="s">
        <v>3077</v>
      </c>
    </row>
    <row r="15" spans="1:11">
      <c r="A15" s="882" t="s">
        <v>3078</v>
      </c>
      <c r="D15" s="887">
        <f>Overview!C25</f>
        <v>1250099</v>
      </c>
    </row>
    <row r="16" spans="1:11">
      <c r="A16" s="888" t="s">
        <v>3079</v>
      </c>
      <c r="D16" s="889" t="e">
        <f>Overview!C13</f>
        <v>#REF!</v>
      </c>
    </row>
    <row r="17" spans="1:11" ht="14.25" customHeight="1"/>
    <row r="18" spans="1:11" ht="15.75">
      <c r="A18" s="884" t="s">
        <v>3080</v>
      </c>
      <c r="B18" s="885"/>
      <c r="C18" s="885"/>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4" t="s">
        <v>3081</v>
      </c>
      <c r="B21" s="885"/>
      <c r="C21" s="885"/>
      <c r="D21" s="885"/>
      <c r="E21" s="885"/>
      <c r="F21" s="885"/>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0"/>
    </row>
    <row r="23" spans="1:11" ht="15" customHeight="1">
      <c r="A23" s="1936"/>
      <c r="B23" s="1936"/>
      <c r="C23" s="1936"/>
      <c r="D23" s="1936"/>
      <c r="E23" s="1936"/>
      <c r="F23" s="1936"/>
      <c r="G23" s="1936"/>
      <c r="H23" s="1936"/>
      <c r="I23" s="1936"/>
      <c r="J23" s="1936"/>
      <c r="K23" s="882" t="s">
        <v>254</v>
      </c>
    </row>
    <row r="24" spans="1:11" ht="15" customHeight="1">
      <c r="B24" s="891"/>
      <c r="C24" s="891"/>
      <c r="D24" s="891"/>
      <c r="E24" s="891"/>
      <c r="F24" s="891"/>
      <c r="G24" s="891"/>
      <c r="H24" s="891"/>
      <c r="I24" s="891" t="s">
        <v>254</v>
      </c>
      <c r="J24" s="891"/>
    </row>
    <row r="25" spans="1:11" ht="15.75">
      <c r="A25" s="885" t="s">
        <v>3082</v>
      </c>
    </row>
    <row r="27" spans="1:11" ht="15.75" thickBot="1">
      <c r="A27" s="892"/>
      <c r="B27" s="892"/>
      <c r="C27" s="892"/>
      <c r="D27" s="892"/>
      <c r="F27" s="892"/>
      <c r="G27" s="892"/>
      <c r="H27" s="892"/>
      <c r="I27" s="892"/>
    </row>
    <row r="28" spans="1:11">
      <c r="A28" s="882" t="s">
        <v>3083</v>
      </c>
      <c r="D28" s="882" t="s">
        <v>958</v>
      </c>
      <c r="F28" s="882" t="s">
        <v>3084</v>
      </c>
      <c r="I28" s="882" t="s">
        <v>958</v>
      </c>
      <c r="J28" s="88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3085</v>
      </c>
      <c r="B2" s="894"/>
      <c r="C2" s="894"/>
      <c r="D2" s="894"/>
      <c r="E2" s="895"/>
      <c r="F2" s="894"/>
      <c r="G2" s="894"/>
      <c r="H2" s="894"/>
      <c r="I2" s="894"/>
      <c r="J2" s="894"/>
    </row>
    <row r="3" spans="1:10" ht="15">
      <c r="A3" s="897"/>
    </row>
    <row r="4" spans="1:10" ht="15">
      <c r="A4" s="897" t="s">
        <v>3086</v>
      </c>
      <c r="D4" s="896" t="s">
        <v>3087</v>
      </c>
    </row>
    <row r="5" spans="1:10" ht="15">
      <c r="A5" s="897"/>
    </row>
    <row r="6" spans="1:10" ht="15">
      <c r="A6" s="897" t="s">
        <v>3088</v>
      </c>
      <c r="D6" s="896" t="s">
        <v>3089</v>
      </c>
    </row>
    <row r="7" spans="1:10" ht="15">
      <c r="A7" s="897"/>
    </row>
    <row r="8" spans="1:10" ht="15">
      <c r="A8" s="897" t="s">
        <v>3090</v>
      </c>
      <c r="D8" s="898" t="s">
        <v>3091</v>
      </c>
    </row>
    <row r="9" spans="1:10" ht="15">
      <c r="A9" s="897"/>
    </row>
    <row r="10" spans="1:10" ht="15">
      <c r="A10" s="897" t="s">
        <v>3092</v>
      </c>
      <c r="D10" s="898" t="s">
        <v>3093</v>
      </c>
    </row>
    <row r="11" spans="1:10" ht="15">
      <c r="A11" s="897"/>
      <c r="D11" s="899"/>
    </row>
    <row r="12" spans="1:10" ht="15">
      <c r="A12" s="897" t="s">
        <v>3094</v>
      </c>
      <c r="D12" s="896" t="s">
        <v>641</v>
      </c>
      <c r="F12" s="899" t="str">
        <f>Overview!$C$8</f>
        <v>The Preserve at Newport</v>
      </c>
    </row>
    <row r="13" spans="1:10" ht="15">
      <c r="A13" s="897"/>
      <c r="D13" s="896" t="s">
        <v>3095</v>
      </c>
      <c r="F13" s="899" t="str">
        <f>Overview!E8</f>
        <v>2016-010</v>
      </c>
    </row>
    <row r="14" spans="1:10" ht="15">
      <c r="A14" s="897"/>
      <c r="D14" s="896" t="s">
        <v>3096</v>
      </c>
      <c r="F14" s="899" t="str">
        <f>Overview!H8</f>
        <v>Kingsland, Camden</v>
      </c>
    </row>
    <row r="15" spans="1:10" ht="15">
      <c r="A15" s="897"/>
      <c r="D15" s="896" t="s">
        <v>3484</v>
      </c>
      <c r="F15" s="900">
        <f>Overview!$C$25</f>
        <v>1250099</v>
      </c>
    </row>
    <row r="16" spans="1:10" ht="15">
      <c r="A16" s="897"/>
      <c r="D16" s="901" t="s">
        <v>3097</v>
      </c>
      <c r="F16" s="902" t="e">
        <f>Overview!C13</f>
        <v>#REF!</v>
      </c>
      <c r="G16" s="903" t="s">
        <v>3485</v>
      </c>
      <c r="H16" s="899" t="e">
        <f>Overview!D13</f>
        <v>#REF!</v>
      </c>
    </row>
    <row r="17" spans="1:18" ht="15">
      <c r="A17" s="897"/>
      <c r="D17" s="901" t="s">
        <v>3051</v>
      </c>
      <c r="F17" s="899" t="str">
        <f>Overview!C14</f>
        <v>Family</v>
      </c>
    </row>
    <row r="18" spans="1:18" ht="15">
      <c r="A18" s="897"/>
      <c r="D18" s="901" t="s">
        <v>3490</v>
      </c>
      <c r="F18" s="899" t="str">
        <f>Overview!H15</f>
        <v>Rural</v>
      </c>
    </row>
    <row r="19" spans="1:18" ht="15">
      <c r="A19" s="897"/>
      <c r="D19" s="901" t="s">
        <v>3486</v>
      </c>
      <c r="F19" s="899" t="str">
        <f>Overview!E16</f>
        <v>No</v>
      </c>
    </row>
    <row r="20" spans="1:18" ht="15">
      <c r="A20" s="897"/>
      <c r="D20" s="901"/>
    </row>
    <row r="21" spans="1:18" ht="15">
      <c r="A21" s="904" t="s">
        <v>3098</v>
      </c>
    </row>
    <row r="22" spans="1:18" ht="111.75" customHeight="1">
      <c r="A22" s="1945" t="s">
        <v>3775</v>
      </c>
      <c r="B22" s="1945"/>
      <c r="C22" s="1945"/>
      <c r="D22" s="1945"/>
      <c r="E22" s="1945"/>
      <c r="F22" s="1945"/>
      <c r="G22" s="1945"/>
      <c r="H22" s="1945"/>
      <c r="I22" s="1945"/>
      <c r="J22" s="1945"/>
      <c r="L22" s="1946" t="s">
        <v>3495</v>
      </c>
      <c r="M22" s="1946"/>
      <c r="N22" s="1946"/>
      <c r="O22" s="1946"/>
      <c r="P22" s="1946"/>
      <c r="Q22" s="1946"/>
      <c r="R22" s="1946"/>
    </row>
    <row r="23" spans="1:18" ht="0.75" hidden="1" customHeight="1">
      <c r="A23" s="905"/>
      <c r="B23" s="905"/>
      <c r="C23" s="905"/>
      <c r="D23" s="905"/>
      <c r="E23" s="905"/>
      <c r="F23" s="905"/>
      <c r="G23" s="905"/>
      <c r="H23" s="905"/>
      <c r="I23" s="905"/>
      <c r="J23" s="905"/>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4" t="s">
        <v>3099</v>
      </c>
    </row>
    <row r="27" spans="1:18" ht="14.25" customHeight="1">
      <c r="A27" s="1949" t="s">
        <v>3100</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06"/>
      <c r="B35" s="906"/>
      <c r="C35" s="906"/>
      <c r="D35" s="906"/>
      <c r="E35" s="906"/>
      <c r="F35" s="906"/>
      <c r="G35" s="906"/>
      <c r="H35" s="906"/>
      <c r="I35" s="906"/>
      <c r="J35" s="906"/>
    </row>
    <row r="36" spans="1:10" ht="19.5" customHeight="1">
      <c r="A36" s="1947" t="s">
        <v>3101</v>
      </c>
      <c r="B36" s="1947"/>
      <c r="C36" s="1947"/>
      <c r="D36" s="905"/>
      <c r="E36" s="905"/>
      <c r="F36" s="905"/>
      <c r="G36" s="905"/>
      <c r="H36" s="905"/>
      <c r="I36" s="905"/>
      <c r="J36" s="905"/>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5"/>
      <c r="B39" s="905"/>
      <c r="C39" s="905"/>
      <c r="D39" s="905"/>
      <c r="E39" s="905"/>
      <c r="F39" s="905"/>
      <c r="G39" s="905"/>
      <c r="H39" s="905"/>
      <c r="I39" s="905"/>
      <c r="J39" s="905"/>
    </row>
    <row r="40" spans="1:10" ht="15">
      <c r="A40" s="904" t="s">
        <v>3102</v>
      </c>
    </row>
    <row r="41" spans="1:10" ht="135" customHeight="1">
      <c r="A41" s="1948" t="s">
        <v>3597</v>
      </c>
      <c r="B41" s="1948"/>
      <c r="C41" s="1948"/>
      <c r="D41" s="1948"/>
      <c r="E41" s="1948"/>
      <c r="F41" s="1948"/>
      <c r="G41" s="1948"/>
      <c r="H41" s="1948"/>
      <c r="I41" s="1948"/>
      <c r="J41" s="1948"/>
    </row>
    <row r="42" spans="1:10" ht="6" customHeight="1">
      <c r="A42" s="907"/>
      <c r="B42" s="907"/>
      <c r="C42" s="907"/>
      <c r="D42" s="907"/>
      <c r="E42" s="907"/>
      <c r="F42" s="907"/>
      <c r="G42" s="907"/>
      <c r="H42" s="907"/>
      <c r="I42" s="907"/>
      <c r="J42" s="907"/>
    </row>
    <row r="43" spans="1:10" ht="15">
      <c r="A43" s="904" t="s">
        <v>3103</v>
      </c>
    </row>
    <row r="44" spans="1:10" ht="33" customHeight="1">
      <c r="A44" s="1944" t="s">
        <v>3104</v>
      </c>
      <c r="B44" s="1950"/>
      <c r="C44" s="1950"/>
      <c r="D44" s="1950"/>
      <c r="E44" s="1950"/>
      <c r="F44" s="1950"/>
      <c r="G44" s="1950"/>
      <c r="H44" s="1950"/>
      <c r="I44" s="1950"/>
      <c r="J44" s="1944"/>
    </row>
    <row r="45" spans="1:10" ht="3" customHeight="1"/>
    <row r="46" spans="1:10" ht="72.75" customHeight="1">
      <c r="A46" s="1944" t="s">
        <v>3105</v>
      </c>
      <c r="B46" s="1944"/>
      <c r="C46" s="1944"/>
      <c r="D46" s="1944"/>
      <c r="E46" s="1944"/>
      <c r="F46" s="1944"/>
      <c r="G46" s="1944"/>
      <c r="H46" s="1944"/>
      <c r="I46" s="1944"/>
      <c r="J46" s="1944"/>
    </row>
    <row r="47" spans="1:10" ht="3" customHeight="1">
      <c r="A47" s="905"/>
      <c r="B47" s="905"/>
      <c r="C47" s="905"/>
      <c r="D47" s="905"/>
      <c r="E47" s="905"/>
      <c r="F47" s="905"/>
      <c r="G47" s="905"/>
      <c r="H47" s="905"/>
      <c r="I47" s="905"/>
      <c r="J47" s="905"/>
    </row>
    <row r="48" spans="1:10" ht="56.25" customHeight="1">
      <c r="A48" s="1944" t="s">
        <v>3106</v>
      </c>
      <c r="B48" s="1944"/>
      <c r="C48" s="1944"/>
      <c r="D48" s="1944"/>
      <c r="E48" s="1944"/>
      <c r="F48" s="1944"/>
      <c r="G48" s="1944"/>
      <c r="H48" s="1944"/>
      <c r="I48" s="1944"/>
      <c r="J48" s="1944"/>
    </row>
    <row r="49" spans="1:17" ht="3" customHeight="1">
      <c r="A49" s="905"/>
      <c r="B49" s="905"/>
      <c r="C49" s="905"/>
      <c r="D49" s="905"/>
      <c r="E49" s="905"/>
      <c r="F49" s="905"/>
      <c r="G49" s="905"/>
      <c r="H49" s="905"/>
      <c r="I49" s="905"/>
      <c r="J49" s="905"/>
    </row>
    <row r="50" spans="1:17" ht="49.5" customHeight="1">
      <c r="A50" s="1944" t="s">
        <v>3107</v>
      </c>
      <c r="B50" s="1944"/>
      <c r="C50" s="1944"/>
      <c r="D50" s="1944"/>
      <c r="E50" s="1944"/>
      <c r="F50" s="1944"/>
      <c r="G50" s="1944"/>
      <c r="H50" s="1944"/>
      <c r="I50" s="1944"/>
      <c r="J50" s="905"/>
    </row>
    <row r="51" spans="1:17" ht="3" customHeight="1">
      <c r="A51" s="905"/>
      <c r="B51" s="905"/>
      <c r="C51" s="905"/>
      <c r="D51" s="905"/>
      <c r="E51" s="905"/>
      <c r="F51" s="905"/>
      <c r="G51" s="905"/>
      <c r="H51" s="905"/>
      <c r="I51" s="905"/>
      <c r="J51" s="905"/>
    </row>
    <row r="52" spans="1:17" ht="54.75" customHeight="1">
      <c r="A52" s="1951" t="s">
        <v>3496</v>
      </c>
      <c r="B52" s="1952"/>
      <c r="C52" s="1952"/>
      <c r="D52" s="1952"/>
      <c r="E52" s="1952"/>
      <c r="F52" s="1952"/>
      <c r="G52" s="1952"/>
      <c r="H52" s="1952"/>
      <c r="I52" s="1952"/>
      <c r="J52" s="905"/>
    </row>
    <row r="53" spans="1:17" ht="3" customHeight="1">
      <c r="A53" s="905"/>
      <c r="B53" s="905"/>
      <c r="C53" s="905"/>
      <c r="D53" s="905"/>
      <c r="E53" s="905"/>
      <c r="F53" s="905"/>
      <c r="G53" s="905"/>
      <c r="H53" s="905"/>
      <c r="I53" s="905"/>
      <c r="J53" s="905"/>
    </row>
    <row r="54" spans="1:17" ht="62.25" customHeight="1">
      <c r="A54" s="1952" t="s">
        <v>3108</v>
      </c>
      <c r="B54" s="1952"/>
      <c r="C54" s="1952"/>
      <c r="D54" s="1952"/>
      <c r="E54" s="1952"/>
      <c r="F54" s="1952"/>
      <c r="G54" s="1952"/>
      <c r="H54" s="1952"/>
      <c r="I54" s="1952"/>
      <c r="J54" s="1952"/>
    </row>
    <row r="55" spans="1:17" ht="3" customHeight="1"/>
    <row r="56" spans="1:17" ht="73.5" customHeight="1">
      <c r="A56" s="1944" t="s">
        <v>3109</v>
      </c>
      <c r="B56" s="1944"/>
      <c r="C56" s="1944"/>
      <c r="D56" s="1944"/>
      <c r="E56" s="1944"/>
      <c r="F56" s="1944"/>
      <c r="G56" s="1944"/>
      <c r="H56" s="1944"/>
      <c r="I56" s="1944"/>
      <c r="J56" s="1944"/>
    </row>
    <row r="57" spans="1:17" ht="6" customHeight="1">
      <c r="A57" s="905" t="s">
        <v>254</v>
      </c>
      <c r="B57" s="905"/>
      <c r="C57" s="905"/>
      <c r="D57" s="905"/>
      <c r="E57" s="905"/>
      <c r="F57" s="905"/>
      <c r="G57" s="905"/>
      <c r="H57" s="905"/>
      <c r="I57" s="905"/>
      <c r="J57" s="905"/>
    </row>
    <row r="58" spans="1:17" ht="15">
      <c r="A58" s="904" t="s">
        <v>3110</v>
      </c>
      <c r="L58" s="908" t="s">
        <v>3767</v>
      </c>
    </row>
    <row r="59" spans="1:17" ht="73.5" customHeight="1">
      <c r="A59" s="1945" t="s">
        <v>3111</v>
      </c>
      <c r="B59" s="1945"/>
      <c r="C59" s="1945"/>
      <c r="D59" s="1945"/>
      <c r="E59" s="1945"/>
      <c r="F59" s="1945"/>
      <c r="G59" s="1945"/>
      <c r="H59" s="1945"/>
      <c r="I59" s="1945"/>
      <c r="J59" s="1945"/>
      <c r="L59" s="909">
        <f>'Closing term sheet'!C135</f>
        <v>687605</v>
      </c>
      <c r="M59" s="910"/>
      <c r="N59" s="910"/>
      <c r="O59" s="910"/>
    </row>
    <row r="60" spans="1:17" ht="7.5" customHeight="1">
      <c r="A60" s="905"/>
      <c r="B60" s="905"/>
      <c r="C60" s="905"/>
      <c r="D60" s="905"/>
      <c r="E60" s="905"/>
      <c r="F60" s="905"/>
      <c r="G60" s="905"/>
      <c r="H60" s="905"/>
      <c r="I60" s="905"/>
      <c r="J60" s="905"/>
      <c r="L60" s="911" t="s">
        <v>3768</v>
      </c>
      <c r="M60" s="912" t="s">
        <v>3773</v>
      </c>
      <c r="N60" s="913" t="s">
        <v>3770</v>
      </c>
      <c r="O60" s="911" t="s">
        <v>3769</v>
      </c>
      <c r="P60" s="912" t="s">
        <v>3772</v>
      </c>
      <c r="Q60" s="913" t="s">
        <v>3771</v>
      </c>
    </row>
    <row r="61" spans="1:17" ht="78.75" customHeight="1">
      <c r="A61" s="1952" t="s">
        <v>3598</v>
      </c>
      <c r="B61" s="1952"/>
      <c r="C61" s="1952"/>
      <c r="D61" s="1952"/>
      <c r="E61" s="1952"/>
      <c r="F61" s="1952"/>
      <c r="G61" s="1952"/>
      <c r="H61" s="1952"/>
      <c r="I61" s="1952"/>
      <c r="J61" s="914"/>
      <c r="L61" s="915">
        <f>'Part III-Sources of Funds'!I45</f>
        <v>6299716.9686749997</v>
      </c>
      <c r="M61" s="916">
        <f>'Part IV-Uses of Funds'!$J$174</f>
        <v>669893.5</v>
      </c>
      <c r="N61" s="917">
        <f>'Part IV-Uses of Funds'!N167</f>
        <v>0.95</v>
      </c>
      <c r="O61" s="915">
        <f>'Part III-Sources of Funds'!I46</f>
        <v>3547718.2</v>
      </c>
      <c r="P61" s="916">
        <f>M61</f>
        <v>669893.5</v>
      </c>
      <c r="Q61" s="917">
        <f>'Part IV-Uses of Funds'!Q167</f>
        <v>0.52</v>
      </c>
    </row>
    <row r="62" spans="1:17" ht="18.75" customHeight="1">
      <c r="A62" s="918" t="s">
        <v>3112</v>
      </c>
    </row>
    <row r="63" spans="1:17" ht="159.75" customHeight="1">
      <c r="A63" s="1952" t="s">
        <v>3599</v>
      </c>
      <c r="B63" s="1952"/>
      <c r="C63" s="1952"/>
      <c r="D63" s="1952"/>
      <c r="E63" s="1952"/>
      <c r="F63" s="1952"/>
      <c r="G63" s="1952"/>
      <c r="H63" s="1952"/>
      <c r="I63" s="1952"/>
      <c r="J63" s="1952"/>
      <c r="L63" s="919">
        <f>'Part VII-Pro Forma'!K67</f>
        <v>2.033674821958283E-7</v>
      </c>
      <c r="M63" s="1956" t="s">
        <v>3774</v>
      </c>
      <c r="N63" s="1957"/>
    </row>
    <row r="64" spans="1:17" ht="6" customHeight="1">
      <c r="A64" s="904"/>
    </row>
    <row r="65" spans="1:10" ht="15">
      <c r="A65" s="904" t="s">
        <v>3113</v>
      </c>
    </row>
    <row r="66" spans="1:10" ht="66.75" customHeight="1">
      <c r="A66" s="1952" t="s">
        <v>3114</v>
      </c>
      <c r="B66" s="1952"/>
      <c r="C66" s="1952"/>
      <c r="D66" s="1952"/>
      <c r="E66" s="1952"/>
      <c r="F66" s="1952"/>
      <c r="G66" s="1952"/>
      <c r="H66" s="1952"/>
      <c r="I66" s="1952"/>
      <c r="J66" s="1952"/>
    </row>
    <row r="67" spans="1:10" ht="36" customHeight="1">
      <c r="A67" s="1952" t="s">
        <v>3115</v>
      </c>
      <c r="B67" s="1952"/>
      <c r="C67" s="1952"/>
      <c r="D67" s="1952"/>
      <c r="E67" s="1952"/>
      <c r="F67" s="1952"/>
      <c r="G67" s="1952"/>
      <c r="H67" s="1952"/>
      <c r="I67" s="1952"/>
      <c r="J67" s="1952"/>
    </row>
    <row r="68" spans="1:10" ht="6" customHeight="1">
      <c r="A68" s="904"/>
    </row>
    <row r="69" spans="1:10" ht="15">
      <c r="A69" s="904" t="s">
        <v>3116</v>
      </c>
    </row>
    <row r="70" spans="1:10" ht="105.75" customHeight="1">
      <c r="A70" s="1944" t="s">
        <v>3117</v>
      </c>
      <c r="B70" s="1944"/>
      <c r="C70" s="1944"/>
      <c r="D70" s="1944"/>
      <c r="E70" s="1944"/>
      <c r="F70" s="1944"/>
      <c r="G70" s="1944"/>
      <c r="H70" s="1944"/>
      <c r="I70" s="1944"/>
      <c r="J70" s="1944"/>
    </row>
    <row r="71" spans="1:10" ht="6" customHeight="1">
      <c r="A71" s="904"/>
    </row>
    <row r="72" spans="1:10" ht="15">
      <c r="A72" s="904" t="s">
        <v>3118</v>
      </c>
    </row>
    <row r="73" spans="1:10" ht="66" customHeight="1">
      <c r="A73" s="1944" t="s">
        <v>3119</v>
      </c>
      <c r="B73" s="1944"/>
      <c r="C73" s="1944"/>
      <c r="D73" s="1944"/>
      <c r="E73" s="1944"/>
      <c r="F73" s="1944"/>
      <c r="G73" s="1944"/>
      <c r="H73" s="1944"/>
      <c r="I73" s="1944"/>
      <c r="J73" s="1944"/>
    </row>
    <row r="74" spans="1:10" s="906" customFormat="1" ht="6" customHeight="1">
      <c r="A74" s="1944"/>
      <c r="B74" s="1944"/>
      <c r="C74" s="1944"/>
      <c r="D74" s="1944"/>
      <c r="E74" s="1944"/>
      <c r="F74" s="1944"/>
      <c r="G74" s="1944"/>
      <c r="H74" s="1944"/>
      <c r="I74" s="1944"/>
      <c r="J74" s="1944"/>
    </row>
    <row r="75" spans="1:10" ht="16.5" customHeight="1">
      <c r="A75" s="920" t="s">
        <v>3120</v>
      </c>
      <c r="B75" s="903"/>
      <c r="C75" s="903"/>
      <c r="D75" s="903"/>
      <c r="E75" s="903"/>
      <c r="F75" s="903"/>
      <c r="G75" s="903"/>
      <c r="H75" s="903"/>
      <c r="I75" s="903"/>
      <c r="J75" s="921"/>
    </row>
    <row r="76" spans="1:10" s="906" customFormat="1" ht="63" customHeight="1">
      <c r="A76" s="1944" t="s">
        <v>3121</v>
      </c>
      <c r="B76" s="1944"/>
      <c r="C76" s="1944"/>
      <c r="D76" s="1944"/>
      <c r="E76" s="1944"/>
      <c r="F76" s="1944"/>
      <c r="G76" s="1944"/>
      <c r="H76" s="1944"/>
      <c r="I76" s="1944"/>
      <c r="J76" s="1944"/>
    </row>
    <row r="77" spans="1:10" s="906" customFormat="1" ht="6" customHeight="1">
      <c r="A77" s="905"/>
      <c r="B77" s="905"/>
      <c r="C77" s="905"/>
      <c r="D77" s="905"/>
      <c r="E77" s="905"/>
      <c r="F77" s="905"/>
      <c r="G77" s="905"/>
      <c r="H77" s="905"/>
      <c r="I77" s="905"/>
      <c r="J77" s="905"/>
    </row>
    <row r="78" spans="1:10" ht="16.5" customHeight="1">
      <c r="A78" s="1953" t="s">
        <v>3122</v>
      </c>
      <c r="B78" s="1954"/>
      <c r="C78" s="1954"/>
      <c r="D78" s="903"/>
      <c r="E78" s="903"/>
      <c r="F78" s="903"/>
      <c r="G78" s="903"/>
      <c r="H78" s="903"/>
      <c r="I78" s="903"/>
      <c r="J78" s="921"/>
    </row>
    <row r="79" spans="1:10" ht="41.25" customHeight="1">
      <c r="A79" s="1952" t="s">
        <v>3600</v>
      </c>
      <c r="B79" s="1955"/>
      <c r="C79" s="1955"/>
      <c r="D79" s="1955"/>
      <c r="E79" s="1955"/>
      <c r="F79" s="1955"/>
      <c r="G79" s="1955"/>
      <c r="H79" s="1955"/>
      <c r="I79" s="1955"/>
      <c r="J79" s="1955"/>
    </row>
    <row r="80" spans="1:10" ht="6" customHeight="1">
      <c r="A80" s="922"/>
      <c r="B80" s="903"/>
      <c r="C80" s="903"/>
      <c r="D80" s="903"/>
      <c r="E80" s="903"/>
      <c r="F80" s="903"/>
      <c r="G80" s="903"/>
      <c r="H80" s="903"/>
      <c r="I80" s="903"/>
      <c r="J80" s="921"/>
    </row>
    <row r="81" spans="1:15" ht="15">
      <c r="A81" s="904" t="s">
        <v>3123</v>
      </c>
    </row>
    <row r="82" spans="1:15" ht="139.5" customHeight="1">
      <c r="A82" s="1952" t="s">
        <v>3124</v>
      </c>
      <c r="B82" s="1952"/>
      <c r="C82" s="1952"/>
      <c r="D82" s="1952"/>
      <c r="E82" s="1952"/>
      <c r="F82" s="1952"/>
      <c r="G82" s="1952"/>
      <c r="H82" s="1952"/>
      <c r="I82" s="1952"/>
      <c r="J82" s="1952"/>
      <c r="L82" s="1960" t="s">
        <v>3125</v>
      </c>
      <c r="M82" s="1960"/>
      <c r="N82" s="1960"/>
    </row>
    <row r="83" spans="1:15" ht="6" customHeight="1">
      <c r="A83" s="923"/>
      <c r="B83" s="923"/>
      <c r="C83" s="923"/>
      <c r="D83" s="923"/>
      <c r="E83" s="923"/>
      <c r="F83" s="923"/>
      <c r="G83" s="923"/>
      <c r="H83" s="923"/>
      <c r="I83" s="923"/>
      <c r="J83" s="923"/>
      <c r="L83" s="924"/>
      <c r="M83" s="924"/>
      <c r="N83" s="924"/>
    </row>
    <row r="84" spans="1:15" ht="17.25" customHeight="1">
      <c r="A84" s="904" t="s">
        <v>3126</v>
      </c>
    </row>
    <row r="85" spans="1:15" ht="111" customHeight="1">
      <c r="A85" s="1952" t="s">
        <v>3127</v>
      </c>
      <c r="B85" s="1952"/>
      <c r="C85" s="1952"/>
      <c r="D85" s="1952"/>
      <c r="E85" s="1952"/>
      <c r="F85" s="1952"/>
      <c r="G85" s="1952"/>
      <c r="H85" s="1952"/>
      <c r="I85" s="1952"/>
      <c r="J85" s="1952"/>
      <c r="L85" s="1960" t="s">
        <v>3128</v>
      </c>
      <c r="M85" s="1960"/>
      <c r="N85" s="925" t="e">
        <f>'After-Tax Analysis'!G66</f>
        <v>#VALUE!</v>
      </c>
      <c r="O85" s="926" t="s">
        <v>3129</v>
      </c>
    </row>
    <row r="86" spans="1:15" ht="6" customHeight="1">
      <c r="A86" s="904"/>
    </row>
    <row r="87" spans="1:15" ht="15">
      <c r="A87" s="904" t="s">
        <v>3130</v>
      </c>
    </row>
    <row r="88" spans="1:15" ht="118.5" customHeight="1">
      <c r="A88" s="1944" t="s">
        <v>3131</v>
      </c>
      <c r="B88" s="1944"/>
      <c r="C88" s="1944"/>
      <c r="D88" s="1944"/>
      <c r="E88" s="1944"/>
      <c r="F88" s="1944"/>
      <c r="G88" s="1944"/>
      <c r="H88" s="1944"/>
      <c r="I88" s="1944"/>
      <c r="J88" s="1944"/>
    </row>
    <row r="89" spans="1:15" ht="20.25" customHeight="1">
      <c r="A89" s="1950" t="s">
        <v>3132</v>
      </c>
      <c r="B89" s="1950"/>
      <c r="C89" s="1950"/>
      <c r="D89" s="1944"/>
      <c r="E89" s="905"/>
      <c r="F89" s="905"/>
      <c r="G89" s="905"/>
      <c r="H89" s="905"/>
      <c r="I89" s="905"/>
      <c r="J89" s="905"/>
    </row>
    <row r="90" spans="1:15" ht="109.5" customHeight="1">
      <c r="A90" s="1944" t="s">
        <v>3133</v>
      </c>
      <c r="B90" s="1950"/>
      <c r="C90" s="1950"/>
      <c r="D90" s="1950"/>
      <c r="E90" s="1950"/>
      <c r="F90" s="1950"/>
      <c r="G90" s="1950"/>
      <c r="H90" s="1950"/>
      <c r="I90" s="1950"/>
      <c r="J90" s="1950"/>
    </row>
    <row r="91" spans="1:15" ht="11.25" customHeight="1">
      <c r="A91" s="904"/>
    </row>
    <row r="92" spans="1:15" ht="15">
      <c r="A92" s="904" t="s">
        <v>3134</v>
      </c>
    </row>
    <row r="93" spans="1:15" ht="122.25" customHeight="1">
      <c r="A93" s="1945" t="s">
        <v>3135</v>
      </c>
      <c r="B93" s="1945"/>
      <c r="C93" s="1945"/>
      <c r="D93" s="1945"/>
      <c r="E93" s="1945"/>
      <c r="F93" s="1945"/>
      <c r="G93" s="1945"/>
      <c r="H93" s="1945"/>
      <c r="I93" s="1945"/>
      <c r="J93" s="1945"/>
      <c r="L93" s="925">
        <f>'Part VII-Pro Forma'!K67</f>
        <v>2.033674821958283E-7</v>
      </c>
      <c r="M93" s="1961" t="s">
        <v>3136</v>
      </c>
      <c r="N93" s="1961"/>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0" t="s">
        <v>3137</v>
      </c>
      <c r="B97" s="1950"/>
      <c r="C97" s="1950"/>
      <c r="D97" s="905"/>
      <c r="E97" s="905"/>
      <c r="F97" s="905"/>
      <c r="G97" s="905"/>
      <c r="H97" s="905"/>
      <c r="I97" s="905"/>
      <c r="J97" s="921"/>
    </row>
    <row r="98" spans="1:10" ht="37.5" customHeight="1">
      <c r="A98" s="1952" t="s">
        <v>3138</v>
      </c>
      <c r="B98" s="1952"/>
      <c r="C98" s="1952"/>
      <c r="D98" s="1952"/>
      <c r="E98" s="1952"/>
      <c r="F98" s="1952"/>
      <c r="G98" s="1952"/>
      <c r="H98" s="1952"/>
      <c r="I98" s="1952"/>
      <c r="J98" s="1952"/>
    </row>
    <row r="99" spans="1:10" ht="6" customHeight="1">
      <c r="A99" s="904"/>
    </row>
    <row r="100" spans="1:10" ht="15">
      <c r="A100" s="904" t="s">
        <v>3139</v>
      </c>
    </row>
    <row r="101" spans="1:10" ht="43.5" customHeight="1">
      <c r="A101" s="1944" t="s">
        <v>3140</v>
      </c>
      <c r="B101" s="1944"/>
      <c r="C101" s="1944"/>
      <c r="D101" s="1944"/>
      <c r="E101" s="1944"/>
      <c r="F101" s="1944"/>
      <c r="G101" s="1944"/>
      <c r="H101" s="1944"/>
      <c r="I101" s="1944"/>
      <c r="J101" s="1944"/>
    </row>
    <row r="102" spans="1:10" ht="6" customHeight="1">
      <c r="A102" s="905"/>
      <c r="B102" s="905"/>
      <c r="C102" s="905"/>
      <c r="D102" s="905"/>
      <c r="E102" s="905"/>
      <c r="F102" s="905"/>
      <c r="G102" s="905"/>
      <c r="H102" s="905"/>
      <c r="I102" s="905"/>
      <c r="J102" s="905"/>
    </row>
    <row r="103" spans="1:10" ht="15">
      <c r="A103" s="904" t="s">
        <v>3141</v>
      </c>
    </row>
    <row r="105" spans="1:10">
      <c r="A105" s="1958" t="s">
        <v>3142</v>
      </c>
      <c r="B105" s="1958"/>
      <c r="C105" s="1958"/>
      <c r="D105" s="1958"/>
      <c r="E105" s="1958"/>
      <c r="F105" s="1958"/>
      <c r="G105" s="1958"/>
      <c r="H105" s="1958"/>
      <c r="I105" s="1958"/>
      <c r="J105" s="1958"/>
    </row>
    <row r="107" spans="1:10" ht="15" thickBot="1">
      <c r="A107" s="927"/>
      <c r="B107" s="896" t="s">
        <v>3143</v>
      </c>
    </row>
    <row r="110" spans="1:10" ht="15" thickBot="1">
      <c r="A110" s="927"/>
      <c r="B110" s="896" t="s">
        <v>3144</v>
      </c>
    </row>
    <row r="112" spans="1:10">
      <c r="A112" s="896" t="s">
        <v>3145</v>
      </c>
    </row>
    <row r="115" spans="1:10" ht="15" thickBot="1">
      <c r="A115" s="927"/>
      <c r="B115" s="927"/>
      <c r="C115" s="927"/>
      <c r="D115" s="927"/>
      <c r="E115" s="927"/>
      <c r="H115" s="927"/>
      <c r="I115" s="927"/>
      <c r="J115" s="927"/>
    </row>
    <row r="116" spans="1:10">
      <c r="A116" s="1959" t="s">
        <v>3146</v>
      </c>
      <c r="B116" s="1959"/>
      <c r="C116" s="1959"/>
      <c r="D116" s="1959"/>
      <c r="E116" s="1959"/>
      <c r="H116" s="1959" t="s">
        <v>3147</v>
      </c>
      <c r="I116" s="1959"/>
      <c r="J116" s="1959"/>
    </row>
    <row r="118" spans="1:10" ht="15" thickBot="1">
      <c r="A118" s="896" t="s">
        <v>3148</v>
      </c>
      <c r="B118" s="927"/>
      <c r="C118" s="927"/>
      <c r="H118" s="896" t="s">
        <v>3148</v>
      </c>
      <c r="I118" s="927"/>
    </row>
    <row r="206" spans="1:1">
      <c r="A206" s="89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3149</v>
      </c>
      <c r="B1" s="929"/>
      <c r="C1" s="929"/>
      <c r="D1" s="929"/>
      <c r="E1" s="929"/>
      <c r="F1" s="929"/>
      <c r="G1" s="929"/>
      <c r="H1" s="929"/>
      <c r="I1" s="929"/>
      <c r="J1" s="929"/>
      <c r="K1" s="929"/>
      <c r="L1" s="882"/>
      <c r="M1" s="882"/>
    </row>
    <row r="2" spans="1:13" ht="18">
      <c r="A2" s="928" t="str">
        <f>+"Financial Analysis for:  "&amp;C8</f>
        <v>Financial Analysis for:  The Preserve at Newport</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3150</v>
      </c>
      <c r="B7" s="882"/>
      <c r="C7" s="933"/>
      <c r="D7" s="934"/>
      <c r="E7" s="934"/>
      <c r="F7" s="885" t="s">
        <v>3500</v>
      </c>
      <c r="G7" s="882"/>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2"/>
      <c r="M7" s="882"/>
    </row>
    <row r="8" spans="1:13" ht="15.75">
      <c r="A8" s="885" t="s">
        <v>3151</v>
      </c>
      <c r="B8" s="885"/>
      <c r="C8" s="1962" t="str">
        <f>'Part I-Project Information'!F24</f>
        <v>The Preserve at Newport</v>
      </c>
      <c r="D8" s="1962"/>
      <c r="E8" s="935" t="str">
        <f>'Part I-Project Information'!O4</f>
        <v>2016-010</v>
      </c>
      <c r="F8" s="936" t="s">
        <v>3152</v>
      </c>
      <c r="G8" s="934"/>
      <c r="H8" s="1962" t="str">
        <f>CONCATENATE('Part I-Project Information'!F28,", ",'Part I-Project Information'!J29)</f>
        <v>Kingsland, Camden</v>
      </c>
      <c r="I8" s="1962"/>
      <c r="J8" s="1962"/>
      <c r="K8" s="1962"/>
      <c r="L8" s="882"/>
      <c r="M8" s="937"/>
    </row>
    <row r="9" spans="1:13" ht="15.75">
      <c r="A9" s="885" t="s">
        <v>3154</v>
      </c>
      <c r="B9" s="885"/>
      <c r="C9" s="1962" t="s">
        <v>1837</v>
      </c>
      <c r="D9" s="1962"/>
      <c r="E9" s="934"/>
      <c r="F9" s="936" t="s">
        <v>3155</v>
      </c>
      <c r="G9" s="934"/>
      <c r="H9" s="1962" t="str">
        <f>'Part II-Development Team'!H5</f>
        <v>The Preserve at Newport, LP</v>
      </c>
      <c r="I9" s="1962"/>
      <c r="J9" s="1962"/>
      <c r="K9" s="1962"/>
      <c r="L9" s="1962"/>
      <c r="M9" s="937"/>
    </row>
    <row r="10" spans="1:13" ht="15.75">
      <c r="A10" s="885" t="s">
        <v>3157</v>
      </c>
      <c r="B10" s="882"/>
      <c r="C10" s="877" t="str">
        <f>'Part II-Development Team'!H14</f>
        <v>Vantage Partners 2016 GA, LLC</v>
      </c>
      <c r="D10" s="934"/>
      <c r="E10" s="934"/>
      <c r="F10" s="936" t="s">
        <v>3844</v>
      </c>
      <c r="G10" s="934"/>
      <c r="H10" s="1962" t="str">
        <f>'Part II-Development Team'!H33</f>
        <v>To Be Determined - 42 Equity Partners</v>
      </c>
      <c r="I10" s="1962"/>
      <c r="J10" s="1962"/>
      <c r="K10" s="1962" t="str">
        <f>'Part II-Development Team'!H39</f>
        <v>To Be Determined - State Tax Credit Exchange, LLC</v>
      </c>
      <c r="L10" s="1962"/>
    </row>
    <row r="11" spans="1:13" ht="15.75">
      <c r="A11" s="885" t="s">
        <v>3158</v>
      </c>
      <c r="B11" s="882"/>
      <c r="C11" s="934" t="str">
        <f>IF('Part II-Development Team'!H20="","",'Part II-Development Team'!H20)</f>
        <v/>
      </c>
      <c r="D11" s="934"/>
      <c r="E11" s="934"/>
      <c r="F11" s="936" t="s">
        <v>677</v>
      </c>
      <c r="G11" s="934"/>
      <c r="H11" s="1962" t="str">
        <f>'Part II-Development Team'!H54</f>
        <v>Vantage Development, LLC</v>
      </c>
      <c r="I11" s="1962"/>
      <c r="J11" s="1962"/>
      <c r="K11" s="1962">
        <f>'Part II-Development Team'!H60</f>
        <v>0</v>
      </c>
      <c r="L11" s="1962"/>
    </row>
    <row r="12" spans="1:13" ht="15.75">
      <c r="A12" s="885" t="s">
        <v>3159</v>
      </c>
      <c r="B12" s="882"/>
      <c r="C12" s="877" t="str">
        <f>'Part II-Development Team'!H86</f>
        <v>Fyffe Construction Company, Inc.</v>
      </c>
      <c r="D12" s="934"/>
      <c r="E12" s="934"/>
      <c r="F12" s="936" t="s">
        <v>3160</v>
      </c>
      <c r="G12" s="934"/>
      <c r="H12" s="1962" t="str">
        <f>'Part II-Development Team'!H92</f>
        <v>Vantage Management, LLC</v>
      </c>
      <c r="I12" s="1962"/>
      <c r="J12" s="1962"/>
      <c r="K12" s="1962"/>
      <c r="L12" s="882"/>
      <c r="M12" s="882"/>
    </row>
    <row r="13" spans="1:13" ht="15.75">
      <c r="A13" s="885" t="s">
        <v>3161</v>
      </c>
      <c r="B13" s="936"/>
      <c r="C13" s="875" t="e">
        <f>#REF!</f>
        <v>#REF!</v>
      </c>
      <c r="D13" s="876" t="e">
        <f>#REF!</f>
        <v>#REF!</v>
      </c>
      <c r="E13" s="935"/>
      <c r="F13" s="936" t="s">
        <v>3488</v>
      </c>
      <c r="G13" s="934"/>
      <c r="H13" s="1968">
        <f>'Part I-Project Information'!H61</f>
        <v>6</v>
      </c>
      <c r="I13" s="1968"/>
      <c r="J13" s="1968"/>
      <c r="K13" s="1968"/>
      <c r="L13" s="882"/>
      <c r="M13" s="882"/>
    </row>
    <row r="14" spans="1:13" ht="15.75">
      <c r="A14" s="885" t="s">
        <v>3487</v>
      </c>
      <c r="B14" s="882"/>
      <c r="C14" s="877" t="str">
        <f>'Part I-Project Information'!H67</f>
        <v>Family</v>
      </c>
      <c r="D14" s="1962" t="str">
        <f>IF('Part I-Project Information'!N67=0,"",'Part I-Project Information'!N67)</f>
        <v>N/A</v>
      </c>
      <c r="E14" s="1962"/>
      <c r="F14" s="936" t="s">
        <v>3162</v>
      </c>
      <c r="G14" s="934"/>
      <c r="H14" s="1963" t="s">
        <v>3776</v>
      </c>
      <c r="I14" s="1963"/>
      <c r="J14" s="1963"/>
      <c r="K14" s="1963" t="s">
        <v>3776</v>
      </c>
      <c r="L14" s="1963"/>
      <c r="M14" s="882"/>
    </row>
    <row r="15" spans="1:13" ht="15.75">
      <c r="A15" s="885" t="s">
        <v>3163</v>
      </c>
      <c r="B15" s="882"/>
      <c r="C15" s="938"/>
      <c r="D15" s="934"/>
      <c r="E15" s="934"/>
      <c r="F15" s="936" t="s">
        <v>3489</v>
      </c>
      <c r="G15" s="934"/>
      <c r="H15" s="934" t="str">
        <f>'Part I-Project Information'!K30</f>
        <v>Rural</v>
      </c>
      <c r="I15" s="934"/>
      <c r="J15" s="934"/>
      <c r="K15" s="934"/>
      <c r="L15" s="882"/>
      <c r="M15" s="882"/>
    </row>
    <row r="16" spans="1:13" ht="15.75">
      <c r="A16" s="885" t="s">
        <v>3813</v>
      </c>
      <c r="B16" s="882"/>
      <c r="C16" s="877" t="str">
        <f>'Part I-Project Information'!H86</f>
        <v>No</v>
      </c>
      <c r="D16" s="939" t="s">
        <v>2773</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3491</v>
      </c>
      <c r="B18" s="882"/>
      <c r="C18" s="940">
        <f>'Part IV-Uses of Funds'!G131</f>
        <v>11097534</v>
      </c>
      <c r="D18" s="941">
        <f>IF(C18=0,"",$C$29/C18)</f>
        <v>0.11264655733426904</v>
      </c>
      <c r="E18" s="934" t="s">
        <v>3492</v>
      </c>
      <c r="F18" s="936" t="s">
        <v>3493</v>
      </c>
      <c r="G18" s="934"/>
      <c r="H18" s="1967">
        <f>'Part IV-Uses of Funds'!B44</f>
        <v>7775420</v>
      </c>
      <c r="I18" s="1967"/>
      <c r="J18" s="942">
        <f>IF(H18=0,"",$C$29/H18)</f>
        <v>0.1607757523066278</v>
      </c>
      <c r="K18" s="1962" t="s">
        <v>3494</v>
      </c>
      <c r="L18" s="1962"/>
      <c r="M18" s="882"/>
    </row>
    <row r="19" spans="1:13" ht="15.75">
      <c r="A19" s="885" t="s">
        <v>3164</v>
      </c>
      <c r="B19" s="882"/>
      <c r="C19" s="878" t="e">
        <f>C18/C13</f>
        <v>#REF!</v>
      </c>
      <c r="D19" s="934"/>
      <c r="E19" s="882"/>
      <c r="F19" s="885" t="s">
        <v>3164</v>
      </c>
      <c r="G19" s="882"/>
      <c r="H19" s="1966" t="e">
        <f>H18/C13</f>
        <v>#REF!</v>
      </c>
      <c r="I19" s="1966"/>
      <c r="J19" s="882"/>
      <c r="K19" s="882"/>
      <c r="L19" s="882"/>
      <c r="M19" s="882"/>
    </row>
    <row r="20" spans="1:13" ht="15.75">
      <c r="A20" s="885" t="s">
        <v>3165</v>
      </c>
      <c r="B20" s="882"/>
      <c r="C20" s="878" t="e">
        <f>C18/#REF!</f>
        <v>#REF!</v>
      </c>
      <c r="D20" s="943"/>
      <c r="E20" s="944"/>
      <c r="F20" s="885" t="s">
        <v>3165</v>
      </c>
      <c r="G20" s="882"/>
      <c r="H20" s="1966" t="e">
        <f>H18/#REF!</f>
        <v>#REF!</v>
      </c>
      <c r="I20" s="1966"/>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3166</v>
      </c>
      <c r="B23" s="947"/>
      <c r="C23" s="947"/>
      <c r="D23" s="947"/>
      <c r="E23" s="934"/>
      <c r="F23" s="934"/>
      <c r="G23" s="934"/>
      <c r="H23" s="934"/>
      <c r="I23" s="934"/>
      <c r="J23" s="934"/>
      <c r="K23" s="934"/>
      <c r="L23" s="882"/>
      <c r="M23" s="937"/>
    </row>
    <row r="24" spans="1:13" ht="27" customHeight="1">
      <c r="A24" s="882"/>
      <c r="B24" s="882"/>
      <c r="C24" s="882"/>
      <c r="D24" s="948" t="s">
        <v>3167</v>
      </c>
      <c r="E24" s="882"/>
      <c r="F24" s="882"/>
      <c r="G24" s="882"/>
      <c r="H24" s="882"/>
      <c r="I24" s="882"/>
      <c r="J24" s="882"/>
      <c r="K24" s="882"/>
      <c r="L24" s="882"/>
      <c r="M24" s="937"/>
    </row>
    <row r="25" spans="1:13" ht="15.75">
      <c r="A25" s="885" t="s">
        <v>3168</v>
      </c>
      <c r="B25" s="949" t="str">
        <f>'Part III-Sources of Funds'!E37</f>
        <v>DCA HOME Loan</v>
      </c>
      <c r="C25" s="950">
        <f>'Part III-Sources of Funds'!I37</f>
        <v>1250099</v>
      </c>
      <c r="D25" s="951" t="s">
        <v>3169</v>
      </c>
      <c r="E25" s="882"/>
      <c r="F25" s="934"/>
      <c r="G25" s="882" t="s">
        <v>3170</v>
      </c>
      <c r="H25" s="882"/>
      <c r="I25" s="882"/>
      <c r="K25" s="950"/>
      <c r="L25" s="934"/>
      <c r="M25" s="937"/>
    </row>
    <row r="26" spans="1:13" ht="15">
      <c r="A26" s="882"/>
      <c r="B26" s="949"/>
      <c r="C26" s="950"/>
      <c r="D26" s="951"/>
      <c r="E26" s="882"/>
      <c r="F26" s="934"/>
      <c r="G26" s="882" t="s">
        <v>3171</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3172</v>
      </c>
      <c r="H28" s="882"/>
      <c r="I28" s="882"/>
      <c r="K28" s="950"/>
      <c r="L28" s="934"/>
      <c r="M28" s="882"/>
    </row>
    <row r="29" spans="1:13" ht="16.5" thickBot="1">
      <c r="A29" s="882"/>
      <c r="B29" s="953" t="s">
        <v>3173</v>
      </c>
      <c r="C29" s="954">
        <f>SUM(C25:C27)</f>
        <v>1250099</v>
      </c>
      <c r="D29" s="882"/>
      <c r="E29" s="882"/>
      <c r="F29" s="934"/>
      <c r="G29" s="882" t="s">
        <v>3174</v>
      </c>
      <c r="H29" s="882"/>
      <c r="I29" s="882"/>
      <c r="K29" s="952" t="e">
        <f>C29/K28</f>
        <v>#DIV/0!</v>
      </c>
      <c r="L29" s="934"/>
      <c r="M29" s="882"/>
    </row>
    <row r="30" spans="1:13" ht="16.5" thickTop="1">
      <c r="A30" s="885" t="s">
        <v>3175</v>
      </c>
      <c r="B30" s="953"/>
      <c r="C30" s="955">
        <f>'Part III-Sources of Funds'!I45+'Part III-Sources of Funds'!I46</f>
        <v>9847435.1686749998</v>
      </c>
      <c r="D30" s="882"/>
      <c r="E30" s="882"/>
      <c r="F30" s="934"/>
      <c r="G30" s="882"/>
      <c r="H30" s="882"/>
      <c r="I30" s="882"/>
      <c r="K30" s="956"/>
      <c r="L30" s="934"/>
      <c r="M30" s="882"/>
    </row>
    <row r="31" spans="1:13" ht="15">
      <c r="A31" s="957" t="s">
        <v>3176</v>
      </c>
      <c r="B31" s="949">
        <f>'Part III-Sources of Funds'!E38</f>
        <v>0</v>
      </c>
      <c r="C31" s="950">
        <f>'Part III-Sources of Funds'!I38</f>
        <v>0</v>
      </c>
      <c r="D31" s="951"/>
      <c r="E31" s="882"/>
      <c r="F31" s="934"/>
      <c r="G31" s="882"/>
      <c r="H31" s="882"/>
      <c r="I31" s="882"/>
      <c r="K31" s="882"/>
      <c r="L31" s="934"/>
      <c r="M31" s="882"/>
    </row>
    <row r="32" spans="1:13" ht="15">
      <c r="A32" s="957" t="s">
        <v>3176</v>
      </c>
      <c r="B32" s="949">
        <f>'Part III-Sources of Funds'!E39</f>
        <v>0</v>
      </c>
      <c r="C32" s="950">
        <f>'Part III-Sources of Funds'!I39</f>
        <v>0</v>
      </c>
      <c r="D32" s="951"/>
      <c r="E32" s="882" t="s">
        <v>254</v>
      </c>
      <c r="F32" s="934"/>
      <c r="G32" s="882" t="s">
        <v>3177</v>
      </c>
      <c r="H32" s="882"/>
      <c r="I32" s="882"/>
      <c r="K32" s="950"/>
      <c r="L32" s="934"/>
      <c r="M32" s="934"/>
    </row>
    <row r="33" spans="1:13" ht="15">
      <c r="A33" s="882"/>
      <c r="B33" s="934"/>
      <c r="C33" s="958"/>
      <c r="D33" s="882"/>
      <c r="E33" s="882"/>
      <c r="F33" s="934"/>
      <c r="G33" s="882" t="s">
        <v>3178</v>
      </c>
      <c r="H33" s="882"/>
      <c r="I33" s="882"/>
      <c r="K33" s="959"/>
      <c r="L33" s="934"/>
      <c r="M33" s="960"/>
    </row>
    <row r="34" spans="1:13" ht="15.75">
      <c r="A34" s="882"/>
      <c r="B34" s="953" t="s">
        <v>3179</v>
      </c>
      <c r="C34" s="958">
        <f>SUM(C31:C32)</f>
        <v>0</v>
      </c>
      <c r="D34" s="882"/>
      <c r="E34" s="882"/>
      <c r="F34" s="882"/>
      <c r="G34" s="882"/>
      <c r="H34" s="882"/>
      <c r="I34" s="882"/>
      <c r="K34" s="934"/>
      <c r="L34" s="882"/>
      <c r="M34" s="960"/>
    </row>
    <row r="35" spans="1:13" ht="15.75">
      <c r="A35" s="882"/>
      <c r="B35" s="953"/>
      <c r="C35" s="882"/>
      <c r="D35" s="882"/>
      <c r="E35" s="882"/>
      <c r="F35" s="882"/>
      <c r="G35" s="882" t="s">
        <v>3180</v>
      </c>
      <c r="H35" s="882"/>
      <c r="I35" s="882"/>
      <c r="K35" s="961" t="e">
        <f>(C36)/K25</f>
        <v>#DIV/0!</v>
      </c>
      <c r="L35" s="882"/>
      <c r="M35" s="934"/>
    </row>
    <row r="36" spans="1:13" ht="15.75">
      <c r="A36" s="882"/>
      <c r="B36" s="953" t="s">
        <v>3181</v>
      </c>
      <c r="C36" s="958">
        <f>C29+C34</f>
        <v>1250099</v>
      </c>
      <c r="D36" s="882"/>
      <c r="E36" s="882"/>
      <c r="F36" s="882"/>
      <c r="G36" s="882"/>
      <c r="H36" s="882"/>
      <c r="I36" s="882"/>
      <c r="K36" s="934"/>
      <c r="L36" s="882"/>
      <c r="M36" s="934"/>
    </row>
    <row r="37" spans="1:13" ht="15.75">
      <c r="A37" s="882"/>
      <c r="B37" s="953"/>
      <c r="C37" s="962"/>
      <c r="D37" s="882"/>
      <c r="E37" s="882"/>
      <c r="F37" s="882"/>
      <c r="G37" s="882" t="s">
        <v>3182</v>
      </c>
      <c r="H37" s="882"/>
      <c r="I37" s="882"/>
      <c r="K37" s="961" t="e">
        <f>+(C36)/K32</f>
        <v>#DIV/0!</v>
      </c>
      <c r="L37" s="882"/>
      <c r="M37" s="960"/>
    </row>
    <row r="38" spans="1:13" ht="15.75">
      <c r="A38" s="882"/>
      <c r="B38" s="953" t="s">
        <v>3183</v>
      </c>
      <c r="C38" s="963">
        <f>C36/C18</f>
        <v>0.11264655733426904</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3184</v>
      </c>
      <c r="C40" s="963">
        <f>C36/H18</f>
        <v>0.1607757523066278</v>
      </c>
      <c r="D40" s="882"/>
      <c r="E40" s="882"/>
      <c r="F40" s="885"/>
      <c r="G40" s="885" t="s">
        <v>3185</v>
      </c>
      <c r="H40" s="882"/>
      <c r="I40" s="882"/>
      <c r="K40" s="961">
        <f>C30/C18</f>
        <v>0.8873534578650536</v>
      </c>
      <c r="L40" s="882"/>
      <c r="M40" s="882"/>
    </row>
    <row r="46" spans="1:13" ht="15.75">
      <c r="A46" s="964" t="s">
        <v>3186</v>
      </c>
      <c r="B46" s="929"/>
      <c r="C46" s="929"/>
      <c r="D46" s="929"/>
      <c r="E46" s="929"/>
      <c r="F46" s="929"/>
      <c r="G46" s="929"/>
      <c r="H46" s="929"/>
      <c r="I46" s="929"/>
      <c r="J46" s="929"/>
      <c r="K46" s="929"/>
      <c r="L46" s="929"/>
      <c r="M46" s="882"/>
    </row>
    <row r="47" spans="1:13" ht="15.75">
      <c r="A47" s="964" t="str">
        <f>C8</f>
        <v>The Preserve at Newport</v>
      </c>
      <c r="B47" s="929"/>
      <c r="C47" s="929"/>
      <c r="D47" s="929"/>
      <c r="E47" s="929"/>
      <c r="F47" s="929"/>
      <c r="G47" s="929"/>
      <c r="H47" s="929"/>
      <c r="I47" s="929"/>
      <c r="J47" s="929"/>
      <c r="K47" s="929"/>
      <c r="L47" s="929"/>
      <c r="M47" s="882"/>
    </row>
    <row r="50" spans="1:14" s="882" customFormat="1" ht="15.75">
      <c r="A50" s="885" t="s">
        <v>3187</v>
      </c>
      <c r="C50" s="965" t="s">
        <v>3188</v>
      </c>
      <c r="E50" s="966" t="s">
        <v>3777</v>
      </c>
      <c r="F50" s="967">
        <v>0.1</v>
      </c>
      <c r="G50" s="966" t="s">
        <v>3778</v>
      </c>
      <c r="H50" s="967">
        <v>0.05</v>
      </c>
      <c r="I50" s="966" t="s">
        <v>3779</v>
      </c>
      <c r="J50" s="967">
        <v>0.03</v>
      </c>
      <c r="K50" s="1964" t="s">
        <v>3189</v>
      </c>
      <c r="L50" s="1965"/>
      <c r="M50" s="28"/>
      <c r="N50" s="28"/>
    </row>
    <row r="51" spans="1:14" s="882" customFormat="1" ht="15.75">
      <c r="A51" s="885"/>
      <c r="C51" s="965"/>
      <c r="E51" s="965"/>
      <c r="F51" s="968"/>
      <c r="G51" s="965"/>
      <c r="H51" s="968"/>
      <c r="I51" s="965"/>
      <c r="J51" s="968"/>
      <c r="K51" s="965"/>
      <c r="M51" s="28"/>
      <c r="N51" s="28"/>
    </row>
    <row r="52" spans="1:14" s="882" customFormat="1" ht="18.75" customHeight="1">
      <c r="B52" s="969" t="s">
        <v>3190</v>
      </c>
      <c r="C52" s="970">
        <f>'Part VII-Pro Forma'!$B$14</f>
        <v>466848</v>
      </c>
      <c r="D52" s="970"/>
      <c r="E52" s="970">
        <f>$C$52</f>
        <v>466848</v>
      </c>
      <c r="F52" s="970"/>
      <c r="G52" s="970">
        <f>$C$52</f>
        <v>466848</v>
      </c>
      <c r="H52" s="970"/>
      <c r="I52" s="970">
        <f>$C$52</f>
        <v>466848</v>
      </c>
      <c r="J52" s="970"/>
      <c r="K52" s="970">
        <f>$C$52</f>
        <v>466848</v>
      </c>
      <c r="L52" s="971"/>
      <c r="M52" s="28"/>
      <c r="N52" s="28"/>
    </row>
    <row r="53" spans="1:14" s="882" customFormat="1" ht="18.75" customHeight="1">
      <c r="B53" s="969" t="s">
        <v>3193</v>
      </c>
      <c r="C53" s="970">
        <f>'Part VII-Pro Forma'!B15</f>
        <v>9336.9600000000009</v>
      </c>
      <c r="D53" s="970"/>
      <c r="E53" s="970">
        <f>$C$53</f>
        <v>9336.9600000000009</v>
      </c>
      <c r="F53" s="970"/>
      <c r="G53" s="970">
        <f>$C$53</f>
        <v>9336.9600000000009</v>
      </c>
      <c r="H53" s="970"/>
      <c r="I53" s="970">
        <f>$C$53</f>
        <v>9336.9600000000009</v>
      </c>
      <c r="J53" s="970"/>
      <c r="K53" s="970">
        <f>$C$53</f>
        <v>9336.9600000000009</v>
      </c>
      <c r="L53" s="971"/>
      <c r="M53" s="28"/>
      <c r="N53" s="28"/>
    </row>
    <row r="54" spans="1:14" s="882" customFormat="1" ht="18.75" customHeight="1">
      <c r="B54" s="969" t="s">
        <v>3191</v>
      </c>
      <c r="C54" s="970">
        <f>-($C$52+C53)*0.07</f>
        <v>-33332.947200000002</v>
      </c>
      <c r="D54" s="970"/>
      <c r="E54" s="970">
        <f>-($C$52+E53)*F50</f>
        <v>-47618.496000000006</v>
      </c>
      <c r="F54" s="972"/>
      <c r="G54" s="970">
        <f>-($C$52+G53)*0.07</f>
        <v>-33332.947200000002</v>
      </c>
      <c r="H54" s="970"/>
      <c r="I54" s="970">
        <f>-($C$52+I53)*0.07</f>
        <v>-33332.947200000002</v>
      </c>
      <c r="J54" s="970"/>
      <c r="K54" s="970">
        <f>-($C$52+K53)*L54</f>
        <v>-47618.496000000006</v>
      </c>
      <c r="L54" s="973">
        <v>0.1</v>
      </c>
      <c r="M54" s="28"/>
      <c r="N54" s="28"/>
    </row>
    <row r="55" spans="1:14" s="882" customFormat="1" ht="18.75" customHeight="1">
      <c r="B55" s="969" t="s">
        <v>3192</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3194</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3195</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3196</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3197</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3198</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3199</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3200</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3201</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3202</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3203</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3204</v>
      </c>
      <c r="C75" s="970">
        <f>'Part VII-Pro Forma'!$B$23+'Part VII-Pro Forma'!$B$24+'Part VII-Pro Forma'!$B$25+'Part VII-Pro Forma'!$B$26</f>
        <v>-89781.287292572873</v>
      </c>
      <c r="D75" s="970"/>
      <c r="E75" s="970">
        <f>$C$75</f>
        <v>-89781.287292572873</v>
      </c>
      <c r="F75" s="970"/>
      <c r="G75" s="970">
        <f>$C$75</f>
        <v>-89781.287292572873</v>
      </c>
      <c r="H75" s="970"/>
      <c r="I75" s="970">
        <f>$C$75</f>
        <v>-89781.287292572873</v>
      </c>
      <c r="J75" s="970"/>
      <c r="K75" s="970">
        <f>$C$75</f>
        <v>-89781.287292572873</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3205</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3206</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3207</v>
      </c>
      <c r="C80" s="993" t="e">
        <f>MIN(C77,E77,G77,I77,K77)</f>
        <v>#NAME?</v>
      </c>
      <c r="D80" s="979"/>
      <c r="E80" s="979" t="s">
        <v>3208</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3209</v>
      </c>
      <c r="B1" s="995"/>
      <c r="C1" s="896" t="str">
        <f>'Part I-Project Information'!F24</f>
        <v>The Preserve at Newport</v>
      </c>
    </row>
    <row r="2" spans="1:15" ht="13.5" customHeight="1"/>
    <row r="3" spans="1:15" ht="13.5" customHeight="1">
      <c r="A3" s="897" t="s">
        <v>3210</v>
      </c>
      <c r="C3" s="896" t="s">
        <v>3211</v>
      </c>
      <c r="E3" s="996">
        <f>SUM('Part IV-Uses of Funds'!J148,'Part IV-Uses of Funds'!M148,'Part IV-Uses of Funds'!P148)</f>
        <v>10462142</v>
      </c>
      <c r="G3" s="997" t="s">
        <v>3212</v>
      </c>
      <c r="H3" s="897">
        <v>27.5</v>
      </c>
      <c r="I3" s="896" t="s">
        <v>2555</v>
      </c>
      <c r="K3" s="903" t="s">
        <v>3234</v>
      </c>
      <c r="M3" s="899"/>
      <c r="O3" s="998"/>
    </row>
    <row r="4" spans="1:15" ht="13.5" customHeight="1">
      <c r="C4" s="896" t="s">
        <v>3839</v>
      </c>
      <c r="E4" s="996">
        <f>SUM('Part IV-Uses of Funds'!G85:H89)</f>
        <v>5000</v>
      </c>
      <c r="G4" s="997" t="s">
        <v>3213</v>
      </c>
      <c r="H4" s="897">
        <f>'Part III-Sources of Funds'!M37</f>
        <v>15</v>
      </c>
      <c r="I4" s="896" t="s">
        <v>2555</v>
      </c>
      <c r="K4" s="999" t="s">
        <v>3497</v>
      </c>
      <c r="M4" s="899"/>
    </row>
    <row r="5" spans="1:15" ht="13.5" customHeight="1">
      <c r="C5" s="896" t="s">
        <v>3840</v>
      </c>
      <c r="E5" s="996">
        <f>SUM('Part IV-Uses of Funds'!G96:H102)</f>
        <v>122391</v>
      </c>
      <c r="G5" s="997" t="s">
        <v>3213</v>
      </c>
      <c r="H5" s="897">
        <v>15</v>
      </c>
      <c r="I5" s="896" t="s">
        <v>2555</v>
      </c>
      <c r="K5" s="998">
        <f>-E6</f>
        <v>-9847435.1686749998</v>
      </c>
    </row>
    <row r="6" spans="1:15" ht="13.5" customHeight="1">
      <c r="C6" s="896" t="s">
        <v>3214</v>
      </c>
      <c r="E6" s="1000">
        <f>'Part III-Sources of Funds'!$I$45+'Part III-Sources of Funds'!$I$46</f>
        <v>9847435.1686749998</v>
      </c>
      <c r="G6" s="997" t="s">
        <v>3215</v>
      </c>
      <c r="H6" s="1001">
        <v>0.35</v>
      </c>
      <c r="K6" s="998" t="e">
        <f>C24</f>
        <v>#VALUE!</v>
      </c>
      <c r="M6" s="896" t="s">
        <v>3216</v>
      </c>
      <c r="O6" s="1002">
        <f>Overview!K32</f>
        <v>0</v>
      </c>
    </row>
    <row r="7" spans="1:15" ht="13.5" customHeight="1">
      <c r="K7" s="998" t="e">
        <f>D24</f>
        <v>#VALUE!</v>
      </c>
      <c r="O7" s="1003"/>
    </row>
    <row r="8" spans="1:15" ht="13.5" customHeight="1">
      <c r="A8" s="897" t="s">
        <v>2566</v>
      </c>
      <c r="C8" s="1004">
        <v>1</v>
      </c>
      <c r="D8" s="1004">
        <v>2</v>
      </c>
      <c r="E8" s="1004">
        <v>3</v>
      </c>
      <c r="F8" s="1004">
        <v>4</v>
      </c>
      <c r="G8" s="1004">
        <v>5</v>
      </c>
      <c r="H8" s="1004">
        <v>6</v>
      </c>
      <c r="I8" s="1004">
        <v>7</v>
      </c>
      <c r="K8" s="998" t="e">
        <f>E24</f>
        <v>#VALUE!</v>
      </c>
      <c r="M8" s="896" t="s">
        <v>3217</v>
      </c>
      <c r="O8" s="1003" t="e">
        <f>'Part VII-Pro Forma'!$K$67+'Part VII-Pro Forma'!$K$68</f>
        <v>#VALUE!</v>
      </c>
    </row>
    <row r="9" spans="1:15" ht="13.5" customHeight="1">
      <c r="A9" s="896" t="s">
        <v>3218</v>
      </c>
      <c r="C9" s="1005">
        <f>'Part VII-Pro Forma'!B30</f>
        <v>41861.725507427152</v>
      </c>
      <c r="D9" s="1005">
        <f>'Part VII-Pro Forma'!C30</f>
        <v>41871.205763427104</v>
      </c>
      <c r="E9" s="1005">
        <f>'Part VII-Pro Forma'!D30</f>
        <v>41800.310024547129</v>
      </c>
      <c r="F9" s="1005">
        <f>'Part VII-Pro Forma'!E30</f>
        <v>41645.335602889507</v>
      </c>
      <c r="G9" s="1005">
        <f>'Part VII-Pro Forma'!F30</f>
        <v>41401.433301758749</v>
      </c>
      <c r="H9" s="1005">
        <f>'Part VII-Pro Forma'!G30</f>
        <v>41064.602311834286</v>
      </c>
      <c r="I9" s="1005">
        <f>'Part VII-Pro Forma'!H30</f>
        <v>40630.684940056904</v>
      </c>
      <c r="K9" s="998" t="e">
        <f>F24</f>
        <v>#VALUE!</v>
      </c>
      <c r="N9" s="1006" t="s">
        <v>3220</v>
      </c>
    </row>
    <row r="10" spans="1:15" ht="13.5" customHeight="1">
      <c r="A10" s="896" t="s">
        <v>3219</v>
      </c>
      <c r="C10" s="1007">
        <f>'Part III-Sources of Funds'!I37-'Part VII-Pro Forma'!B37</f>
        <v>77635.484395087231</v>
      </c>
      <c r="D10" s="1007">
        <f>'Part VII-Pro Forma'!B37-'Part VII-Pro Forma'!C37</f>
        <v>78415.407434777822</v>
      </c>
      <c r="E10" s="1007">
        <f>'Part VII-Pro Forma'!C37-'Part VII-Pro Forma'!D37</f>
        <v>79203.165550819947</v>
      </c>
      <c r="F10" s="1007">
        <f>'Part VII-Pro Forma'!D37-'Part VII-Pro Forma'!E37</f>
        <v>79998.837454084307</v>
      </c>
      <c r="G10" s="1007">
        <f>'Part VII-Pro Forma'!E37-'Part VII-Pro Forma'!F37</f>
        <v>80802.502646167879</v>
      </c>
      <c r="H10" s="1007">
        <f>'Part VII-Pro Forma'!F37-'Part VII-Pro Forma'!G37</f>
        <v>81614.241427337634</v>
      </c>
      <c r="I10" s="1007">
        <f>'Part VII-Pro Forma'!G37-'Part VII-Pro Forma'!H37</f>
        <v>82434.134904553532</v>
      </c>
      <c r="K10" s="998" t="e">
        <f>G24</f>
        <v>#VALUE!</v>
      </c>
      <c r="N10" s="1006" t="s">
        <v>3221</v>
      </c>
      <c r="O10" s="1003"/>
    </row>
    <row r="11" spans="1:15" ht="13.5" customHeight="1">
      <c r="A11" s="896" t="s">
        <v>3219</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3219</v>
      </c>
      <c r="C12" s="1007"/>
      <c r="D12" s="1007"/>
      <c r="E12" s="1007"/>
      <c r="F12" s="1007"/>
      <c r="G12" s="1007"/>
      <c r="H12" s="1007"/>
      <c r="I12" s="1007"/>
      <c r="K12" s="998" t="e">
        <f>I24</f>
        <v>#VALUE!</v>
      </c>
      <c r="M12" s="896" t="s">
        <v>3223</v>
      </c>
      <c r="N12" s="1008">
        <v>0.06</v>
      </c>
      <c r="O12" s="1003">
        <f>N12*O6</f>
        <v>0</v>
      </c>
    </row>
    <row r="13" spans="1:15" ht="13.5" customHeight="1">
      <c r="A13" s="1009" t="s">
        <v>3842</v>
      </c>
      <c r="B13" s="1010"/>
      <c r="C13" s="1011">
        <f>-SUMIF('Part VII-Pro Forma'!$A$13:$L$13,C$8,'Part VII-Pro Forma'!$A$21:$L$21)-SUMIF('Part VII-Pro Forma'!$A$43:$L$43,C$8,'Part VII-Pro Forma'!$A$51:$L$51)-SUMIF('Part VII-Pro Forma'!$A$73:$L$73,C$8,'Part VII-Pro Forma'!$A$81:$L$81)</f>
        <v>18000</v>
      </c>
      <c r="D13" s="1011">
        <f>-SUMIF('Part VII-Pro Forma'!$A$13:$L$13,D$8,'Part VII-Pro Forma'!$A$21:$L$21)-SUMIF('Part VII-Pro Forma'!$A$43:$L$43,D$8,'Part VII-Pro Forma'!$A$51:$L$51)-SUMIF('Part VII-Pro Forma'!$A$73:$L$73,D$8,'Part VII-Pro Forma'!$A$81:$L$81)</f>
        <v>18540</v>
      </c>
      <c r="E13" s="1011">
        <f>-SUMIF('Part VII-Pro Forma'!$A$13:$L$13,E$8,'Part VII-Pro Forma'!$A$21:$L$21)-SUMIF('Part VII-Pro Forma'!$A$43:$L$43,E$8,'Part VII-Pro Forma'!$A$51:$L$51)-SUMIF('Part VII-Pro Forma'!$A$73:$L$73,E$8,'Part VII-Pro Forma'!$A$81:$L$81)</f>
        <v>19096.2</v>
      </c>
      <c r="F13" s="1011">
        <f>-SUMIF('Part VII-Pro Forma'!$A$13:$L$13,F$8,'Part VII-Pro Forma'!$A$21:$L$21)-SUMIF('Part VII-Pro Forma'!$A$43:$L$43,F$8,'Part VII-Pro Forma'!$A$51:$L$51)-SUMIF('Part VII-Pro Forma'!$A$73:$L$73,F$8,'Part VII-Pro Forma'!$A$81:$L$81)</f>
        <v>19669.085999999999</v>
      </c>
      <c r="G13" s="1011">
        <f>-SUMIF('Part VII-Pro Forma'!$A$13:$L$13,G$8,'Part VII-Pro Forma'!$A$21:$L$21)-SUMIF('Part VII-Pro Forma'!$A$43:$L$43,G$8,'Part VII-Pro Forma'!$A$51:$L$51)-SUMIF('Part VII-Pro Forma'!$A$73:$L$73,G$8,'Part VII-Pro Forma'!$A$81:$L$81)</f>
        <v>20259.158579999999</v>
      </c>
      <c r="H13" s="1011">
        <f>-SUMIF('Part VII-Pro Forma'!$A$13:$L$13,H$8,'Part VII-Pro Forma'!$A$21:$L$21)-SUMIF('Part VII-Pro Forma'!$A$43:$L$43,H$8,'Part VII-Pro Forma'!$A$51:$L$51)-SUMIF('Part VII-Pro Forma'!$A$73:$L$73,H$8,'Part VII-Pro Forma'!$A$81:$L$81)</f>
        <v>20866.933337399998</v>
      </c>
      <c r="I13" s="1011">
        <f>-SUMIF('Part VII-Pro Forma'!$A$13:$L$13,I$8,'Part VII-Pro Forma'!$A$21:$L$21)-SUMIF('Part VII-Pro Forma'!$A$43:$L$43,I$8,'Part VII-Pro Forma'!$A$51:$L$51)-SUMIF('Part VII-Pro Forma'!$A$73:$L$73,I$8,'Part VII-Pro Forma'!$A$81:$L$81)</f>
        <v>21492.941337521999</v>
      </c>
      <c r="K13" s="998" t="e">
        <f>C44</f>
        <v>#VALUE!</v>
      </c>
      <c r="O13" s="1003"/>
    </row>
    <row r="14" spans="1:15" ht="13.5" customHeight="1">
      <c r="A14" s="1009" t="s">
        <v>3843</v>
      </c>
      <c r="B14" s="1010"/>
      <c r="C14" s="1011">
        <f>-SUMIF('Part VII-Pro Forma'!$A$13:$L$13,C$8,'Part VII-Pro Forma'!$A$29:$L$29)-SUMIF('Part VII-Pro Forma'!$A$43:$L$43,C$8,'Part VII-Pro Forma'!$A$59:$L$59)-SUMIF('Part VII-Pro Forma'!$A$73:$L$73,C$8,'Part VII-Pro Forma'!$A$89:$L$89)</f>
        <v>0</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3226</v>
      </c>
      <c r="O14" s="1003" t="e">
        <f>O6-O8-O12</f>
        <v>#VALUE!</v>
      </c>
    </row>
    <row r="15" spans="1:15" ht="13.5" customHeight="1">
      <c r="A15" s="1012" t="s">
        <v>3222</v>
      </c>
      <c r="C15" s="1013">
        <f t="shared" ref="C15:I15" si="0">$E$3/$H$3</f>
        <v>380441.52727272728</v>
      </c>
      <c r="D15" s="1013">
        <f t="shared" si="0"/>
        <v>380441.52727272728</v>
      </c>
      <c r="E15" s="1013">
        <f t="shared" si="0"/>
        <v>380441.52727272728</v>
      </c>
      <c r="F15" s="1013">
        <f t="shared" si="0"/>
        <v>380441.52727272728</v>
      </c>
      <c r="G15" s="1013">
        <f t="shared" si="0"/>
        <v>380441.52727272728</v>
      </c>
      <c r="H15" s="1013">
        <f t="shared" si="0"/>
        <v>380441.52727272728</v>
      </c>
      <c r="I15" s="1013">
        <f t="shared" si="0"/>
        <v>380441.52727272728</v>
      </c>
      <c r="K15" s="998" t="e">
        <f>E44</f>
        <v>#VALUE!</v>
      </c>
      <c r="O15" s="1003"/>
    </row>
    <row r="16" spans="1:15" ht="13.5" customHeight="1">
      <c r="A16" s="1012" t="s">
        <v>3224</v>
      </c>
      <c r="C16" s="1013">
        <f>IF(C$8&lt;=$H$4,($E$4/$H$4),0)+IF(C$8&lt;=$H$5,($E$5/$H$5),0)</f>
        <v>8492.7333333333336</v>
      </c>
      <c r="D16" s="1013">
        <f t="shared" ref="D16:I16" si="1">IF(D$8&lt;=$H$4,($E$4/$H$4),0)+IF(D$8&lt;=$H$5,($E$5/$H$5),0)</f>
        <v>8492.7333333333336</v>
      </c>
      <c r="E16" s="1013">
        <f t="shared" si="1"/>
        <v>8492.7333333333336</v>
      </c>
      <c r="F16" s="1013">
        <f t="shared" si="1"/>
        <v>8492.7333333333336</v>
      </c>
      <c r="G16" s="1013">
        <f t="shared" si="1"/>
        <v>8492.7333333333336</v>
      </c>
      <c r="H16" s="1013">
        <f t="shared" si="1"/>
        <v>8492.7333333333336</v>
      </c>
      <c r="I16" s="1013">
        <f t="shared" si="1"/>
        <v>8492.7333333333336</v>
      </c>
      <c r="K16" s="998" t="e">
        <f>F44</f>
        <v>#VALUE!</v>
      </c>
      <c r="M16" s="896" t="s">
        <v>3228</v>
      </c>
      <c r="O16" s="1003">
        <f>E3</f>
        <v>10462142</v>
      </c>
    </row>
    <row r="17" spans="1:17" ht="13.5" customHeight="1">
      <c r="A17" s="1012" t="s">
        <v>3225</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3222</v>
      </c>
      <c r="O17" s="1003">
        <f>20*(E3/H3)</f>
        <v>7608830.5454545459</v>
      </c>
    </row>
    <row r="18" spans="1:17" ht="13.5" customHeight="1">
      <c r="A18" s="1012" t="s">
        <v>3227</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3232</v>
      </c>
      <c r="O19" s="1003">
        <f>O16-O17</f>
        <v>2853311.4545454541</v>
      </c>
    </row>
    <row r="20" spans="1:17" ht="13.5" customHeight="1">
      <c r="A20" s="896" t="s">
        <v>3229</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3230</v>
      </c>
      <c r="C21" s="1014">
        <f>'Part IV-Uses of Funds'!$J$174</f>
        <v>669893.5</v>
      </c>
      <c r="D21" s="1014">
        <f t="shared" ref="D21:I21" si="5">C21</f>
        <v>669893.5</v>
      </c>
      <c r="E21" s="1014">
        <f t="shared" si="5"/>
        <v>669893.5</v>
      </c>
      <c r="F21" s="1014">
        <f t="shared" si="5"/>
        <v>669893.5</v>
      </c>
      <c r="G21" s="1014">
        <f t="shared" si="5"/>
        <v>669893.5</v>
      </c>
      <c r="H21" s="1014">
        <f t="shared" si="5"/>
        <v>669893.5</v>
      </c>
      <c r="I21" s="1014">
        <f t="shared" si="5"/>
        <v>669893.5</v>
      </c>
      <c r="J21" s="896" t="s">
        <v>254</v>
      </c>
      <c r="K21" s="998" t="e">
        <f>D64</f>
        <v>#VALUE!</v>
      </c>
      <c r="O21" s="1003"/>
    </row>
    <row r="22" spans="1:17" ht="13.5" customHeight="1">
      <c r="A22" s="896" t="s">
        <v>3231</v>
      </c>
      <c r="C22" s="1014">
        <f>C21</f>
        <v>669893.5</v>
      </c>
      <c r="D22" s="1014">
        <f t="shared" ref="D22:I22" si="6">D21</f>
        <v>669893.5</v>
      </c>
      <c r="E22" s="1014">
        <f t="shared" si="6"/>
        <v>669893.5</v>
      </c>
      <c r="F22" s="1014">
        <f t="shared" si="6"/>
        <v>669893.5</v>
      </c>
      <c r="G22" s="1014">
        <f t="shared" si="6"/>
        <v>669893.5</v>
      </c>
      <c r="H22" s="1014">
        <f t="shared" si="6"/>
        <v>669893.5</v>
      </c>
      <c r="I22" s="1014">
        <f t="shared" si="6"/>
        <v>669893.5</v>
      </c>
      <c r="K22" s="998" t="e">
        <f>E64</f>
        <v>#VALUE!</v>
      </c>
      <c r="M22" s="896" t="s">
        <v>3216</v>
      </c>
      <c r="O22" s="1003">
        <f>O6</f>
        <v>0</v>
      </c>
    </row>
    <row r="23" spans="1:17" ht="13.5" customHeight="1">
      <c r="A23" s="896" t="s">
        <v>3233</v>
      </c>
      <c r="C23" s="1005">
        <v>0</v>
      </c>
      <c r="D23" s="1005">
        <v>0</v>
      </c>
      <c r="E23" s="1005">
        <v>0</v>
      </c>
      <c r="F23" s="1005">
        <v>0</v>
      </c>
      <c r="G23" s="1005">
        <v>0</v>
      </c>
      <c r="H23" s="1005">
        <v>0</v>
      </c>
      <c r="I23" s="1005">
        <v>0</v>
      </c>
      <c r="K23" s="998" t="e">
        <f>F64</f>
        <v>#VALUE!</v>
      </c>
      <c r="M23" s="896" t="s">
        <v>3235</v>
      </c>
      <c r="O23" s="1003">
        <f>O19</f>
        <v>2853311.4545454541</v>
      </c>
    </row>
    <row r="24" spans="1:17" ht="13.5" customHeight="1">
      <c r="A24" s="896" t="s">
        <v>3234</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3236</v>
      </c>
      <c r="O25" s="1003">
        <f>O22-O23</f>
        <v>-2853311.4545454541</v>
      </c>
      <c r="Q25" s="1015"/>
    </row>
    <row r="26" spans="1:17" ht="13.5" customHeight="1">
      <c r="A26" s="1016"/>
      <c r="B26" s="1016"/>
      <c r="C26" s="1016"/>
      <c r="D26" s="1016"/>
      <c r="E26" s="1016"/>
      <c r="F26" s="1016"/>
      <c r="G26" s="1016"/>
      <c r="H26" s="1016"/>
      <c r="I26" s="1016"/>
      <c r="K26" s="998"/>
      <c r="O26" s="1003"/>
    </row>
    <row r="27" spans="1:17" ht="13.5" customHeight="1">
      <c r="K27" s="998"/>
      <c r="M27" s="896" t="s">
        <v>3237</v>
      </c>
      <c r="N27" s="1017"/>
      <c r="O27" s="1008">
        <v>0.2</v>
      </c>
    </row>
    <row r="28" spans="1:17" ht="13.5" customHeight="1">
      <c r="A28" s="897" t="s">
        <v>2566</v>
      </c>
      <c r="B28" s="897"/>
      <c r="C28" s="1004">
        <v>8</v>
      </c>
      <c r="D28" s="1004">
        <v>9</v>
      </c>
      <c r="E28" s="1004">
        <v>10</v>
      </c>
      <c r="F28" s="1004">
        <v>11</v>
      </c>
      <c r="G28" s="1004">
        <v>12</v>
      </c>
      <c r="H28" s="1004">
        <v>13</v>
      </c>
      <c r="I28" s="1004">
        <v>14</v>
      </c>
      <c r="N28" s="1017"/>
      <c r="O28" s="1017"/>
    </row>
    <row r="29" spans="1:17" ht="13.5" customHeight="1">
      <c r="A29" s="896" t="s">
        <v>3218</v>
      </c>
      <c r="C29" s="1005">
        <f>'Part VII-Pro Forma'!I30</f>
        <v>40094.361165927839</v>
      </c>
      <c r="D29" s="1005">
        <f>'Part VII-Pro Forma'!J30</f>
        <v>39452.143019752955</v>
      </c>
      <c r="E29" s="1005">
        <f>'Part VII-Pro Forma'!K30</f>
        <v>38697.368777194206</v>
      </c>
      <c r="F29" s="1005">
        <f>'Part VII-Pro Forma'!B60</f>
        <v>37825.19696432013</v>
      </c>
      <c r="G29" s="1005">
        <f>'Part VII-Pro Forma'!C60</f>
        <v>36830.600167160301</v>
      </c>
      <c r="H29" s="1005">
        <f>'Part VII-Pro Forma'!D60</f>
        <v>35708.35863958855</v>
      </c>
      <c r="I29" s="1005">
        <f>'Part VII-Pro Forma'!E60</f>
        <v>34452.053703162324</v>
      </c>
      <c r="N29" s="1017"/>
      <c r="O29" s="1017"/>
    </row>
    <row r="30" spans="1:17" ht="13.5" customHeight="1">
      <c r="A30" s="896" t="s">
        <v>3219</v>
      </c>
      <c r="C30" s="1007">
        <f>'Part VII-Pro Forma'!H37-'Part VII-Pro Forma'!I37</f>
        <v>83262.264999573235</v>
      </c>
      <c r="D30" s="1007">
        <f>'Part VII-Pro Forma'!I37-'Part VII-Pro Forma'!J37</f>
        <v>84098.714457137045</v>
      </c>
      <c r="E30" s="1007">
        <f>'Part VII-Pro Forma'!J37-'Part VII-Pro Forma'!K37</f>
        <v>84943.566853235592</v>
      </c>
      <c r="F30" s="1007">
        <f>'Part VII-Pro Forma'!K37-'Part VII-Pro Forma'!B67</f>
        <v>85796.90660346084</v>
      </c>
      <c r="G30" s="1007">
        <f>'Part VII-Pro Forma'!B67-'Part VII-Pro Forma'!C67</f>
        <v>86658.818971440312</v>
      </c>
      <c r="H30" s="1007">
        <f>'Part VII-Pro Forma'!C67-'Part VII-Pro Forma'!D67</f>
        <v>87529.390077356657</v>
      </c>
      <c r="I30" s="1007">
        <f>'Part VII-Pro Forma'!D67-'Part VII-Pro Forma'!E67</f>
        <v>88408.706906552543</v>
      </c>
    </row>
    <row r="31" spans="1:17" ht="13.5" customHeight="1">
      <c r="A31" s="896" t="s">
        <v>3219</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3238</v>
      </c>
      <c r="O31" s="1005">
        <f>O25*O27</f>
        <v>-570662.29090909089</v>
      </c>
    </row>
    <row r="32" spans="1:17" ht="13.5" customHeight="1">
      <c r="A32" s="896" t="s">
        <v>3219</v>
      </c>
      <c r="C32" s="1005"/>
      <c r="D32" s="1005"/>
      <c r="E32" s="1005"/>
      <c r="F32" s="1005"/>
      <c r="G32" s="1005"/>
      <c r="H32" s="1005"/>
      <c r="I32" s="1005"/>
    </row>
    <row r="33" spans="1:15" ht="13.5" customHeight="1">
      <c r="A33" s="1009" t="s">
        <v>3842</v>
      </c>
      <c r="B33" s="1010"/>
      <c r="C33" s="1011">
        <f>-SUMIF('Part VII-Pro Forma'!$A$13:$L$13,C$28,'Part VII-Pro Forma'!$A$21:$L$21)-SUMIF('Part VII-Pro Forma'!$A$43:$L$43,C$28,'Part VII-Pro Forma'!$A$51:$L$51)-SUMIF('Part VII-Pro Forma'!$A$73:$L$73,C$28,'Part VII-Pro Forma'!$A$81:$L$81)</f>
        <v>22137.72957764766</v>
      </c>
      <c r="D33" s="1011">
        <f>-SUMIF('Part VII-Pro Forma'!$A$13:$L$13,D$28,'Part VII-Pro Forma'!$A$21:$L$21)-SUMIF('Part VII-Pro Forma'!$A$43:$L$43,D$28,'Part VII-Pro Forma'!$A$51:$L$51)-SUMIF('Part VII-Pro Forma'!$A$73:$L$73,D$28,'Part VII-Pro Forma'!$A$81:$L$81)</f>
        <v>22801.861464977086</v>
      </c>
      <c r="E33" s="1011">
        <f>-SUMIF('Part VII-Pro Forma'!$A$13:$L$13,E$28,'Part VII-Pro Forma'!$A$21:$L$21)-SUMIF('Part VII-Pro Forma'!$A$43:$L$43,E$28,'Part VII-Pro Forma'!$A$51:$L$51)-SUMIF('Part VII-Pro Forma'!$A$73:$L$73,E$28,'Part VII-Pro Forma'!$A$81:$L$81)</f>
        <v>23485.9173089264</v>
      </c>
      <c r="F33" s="1011">
        <f>-SUMIF('Part VII-Pro Forma'!$A$13:$L$13,F$28,'Part VII-Pro Forma'!$A$21:$L$21)-SUMIF('Part VII-Pro Forma'!$A$43:$L$43,F$28,'Part VII-Pro Forma'!$A$51:$L$51)-SUMIF('Part VII-Pro Forma'!$A$73:$L$73,F$28,'Part VII-Pro Forma'!$A$81:$L$81)</f>
        <v>24190.494828194191</v>
      </c>
      <c r="G33" s="1011">
        <f>-SUMIF('Part VII-Pro Forma'!$A$13:$L$13,G$28,'Part VII-Pro Forma'!$A$21:$L$21)-SUMIF('Part VII-Pro Forma'!$A$43:$L$43,G$28,'Part VII-Pro Forma'!$A$51:$L$51)-SUMIF('Part VII-Pro Forma'!$A$73:$L$73,G$28,'Part VII-Pro Forma'!$A$81:$L$81)</f>
        <v>24916.209673040019</v>
      </c>
      <c r="H33" s="1011">
        <f>-SUMIF('Part VII-Pro Forma'!$A$13:$L$13,H$28,'Part VII-Pro Forma'!$A$21:$L$21)-SUMIF('Part VII-Pro Forma'!$A$43:$L$43,H$28,'Part VII-Pro Forma'!$A$51:$L$51)-SUMIF('Part VII-Pro Forma'!$A$73:$L$73,H$28,'Part VII-Pro Forma'!$A$81:$L$81)</f>
        <v>25663.695963231214</v>
      </c>
      <c r="I33" s="1011">
        <f>-SUMIF('Part VII-Pro Forma'!$A$13:$L$13,I$28,'Part VII-Pro Forma'!$A$21:$L$21)-SUMIF('Part VII-Pro Forma'!$A$43:$L$43,I$28,'Part VII-Pro Forma'!$A$51:$L$51)-SUMIF('Part VII-Pro Forma'!$A$73:$L$73,I$28,'Part VII-Pro Forma'!$A$81:$L$81)</f>
        <v>26433.606842128149</v>
      </c>
      <c r="K33" s="896" t="s">
        <v>254</v>
      </c>
      <c r="M33" s="896" t="s">
        <v>3239</v>
      </c>
      <c r="O33" s="1005" t="e">
        <f>O14-O31</f>
        <v>#VALUE!</v>
      </c>
    </row>
    <row r="34" spans="1:15" ht="13.5" customHeight="1">
      <c r="A34" s="1009" t="s">
        <v>3843</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3222</v>
      </c>
      <c r="C35" s="1013">
        <f t="shared" ref="C35:I35" si="8">$E$3/$H$3</f>
        <v>380441.52727272728</v>
      </c>
      <c r="D35" s="1013">
        <f t="shared" si="8"/>
        <v>380441.52727272728</v>
      </c>
      <c r="E35" s="1013">
        <f t="shared" si="8"/>
        <v>380441.52727272728</v>
      </c>
      <c r="F35" s="1013">
        <f t="shared" si="8"/>
        <v>380441.52727272728</v>
      </c>
      <c r="G35" s="1013">
        <f t="shared" si="8"/>
        <v>380441.52727272728</v>
      </c>
      <c r="H35" s="1013">
        <f t="shared" si="8"/>
        <v>380441.52727272728</v>
      </c>
      <c r="I35" s="1013">
        <f t="shared" si="8"/>
        <v>380441.52727272728</v>
      </c>
    </row>
    <row r="36" spans="1:15" ht="13.5" customHeight="1">
      <c r="A36" s="1012" t="s">
        <v>3224</v>
      </c>
      <c r="C36" s="1005">
        <f>IF(C$28&lt;=$H$4,($E$4/$H$4),0)+IF(C$28&lt;=$H$5,($E$5/$H$5),0)</f>
        <v>8492.7333333333336</v>
      </c>
      <c r="D36" s="1005">
        <f t="shared" ref="D36:I36" si="9">IF(D$28&lt;=$H$4,($E$4/$H$4),0)+IF(D$28&lt;=$H$5,($E$5/$H$5),0)</f>
        <v>8492.7333333333336</v>
      </c>
      <c r="E36" s="1005">
        <f t="shared" si="9"/>
        <v>8492.7333333333336</v>
      </c>
      <c r="F36" s="1005">
        <f t="shared" si="9"/>
        <v>8492.7333333333336</v>
      </c>
      <c r="G36" s="1005">
        <f t="shared" si="9"/>
        <v>8492.7333333333336</v>
      </c>
      <c r="H36" s="1005">
        <f t="shared" si="9"/>
        <v>8492.7333333333336</v>
      </c>
      <c r="I36" s="1005">
        <f t="shared" si="9"/>
        <v>8492.7333333333336</v>
      </c>
    </row>
    <row r="37" spans="1:15" ht="13.5" customHeight="1">
      <c r="A37" s="1012" t="s">
        <v>3225</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3227</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3229</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3230</v>
      </c>
      <c r="C41" s="1014">
        <f>C21</f>
        <v>669893.5</v>
      </c>
      <c r="D41" s="1014">
        <f>C41</f>
        <v>669893.5</v>
      </c>
      <c r="E41" s="1014">
        <f>D41</f>
        <v>669893.5</v>
      </c>
      <c r="F41" s="1014">
        <v>0</v>
      </c>
      <c r="G41" s="1014">
        <v>0</v>
      </c>
      <c r="H41" s="1014">
        <v>0</v>
      </c>
      <c r="I41" s="1014">
        <v>0</v>
      </c>
    </row>
    <row r="42" spans="1:15" ht="13.5" customHeight="1">
      <c r="A42" s="896" t="s">
        <v>3231</v>
      </c>
      <c r="C42" s="1014">
        <f>C22</f>
        <v>669893.5</v>
      </c>
      <c r="D42" s="1014">
        <f>C42</f>
        <v>669893.5</v>
      </c>
      <c r="E42" s="1014">
        <f>D42</f>
        <v>669893.5</v>
      </c>
      <c r="F42" s="1014">
        <v>0</v>
      </c>
      <c r="G42" s="1014">
        <v>0</v>
      </c>
      <c r="H42" s="1014">
        <v>0</v>
      </c>
      <c r="I42" s="1014">
        <v>0</v>
      </c>
    </row>
    <row r="43" spans="1:15" ht="13.5" customHeight="1">
      <c r="A43" s="896" t="s">
        <v>3233</v>
      </c>
      <c r="C43" s="1007">
        <v>0</v>
      </c>
      <c r="D43" s="1007">
        <v>0</v>
      </c>
      <c r="E43" s="1007">
        <v>0</v>
      </c>
      <c r="F43" s="1007">
        <v>0</v>
      </c>
      <c r="G43" s="1007">
        <v>0</v>
      </c>
      <c r="H43" s="1007">
        <v>0</v>
      </c>
      <c r="I43" s="1007">
        <v>0</v>
      </c>
    </row>
    <row r="44" spans="1:15" ht="13.5" customHeight="1">
      <c r="A44" s="896" t="s">
        <v>3234</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2566</v>
      </c>
      <c r="B48" s="897"/>
      <c r="C48" s="1004">
        <v>15</v>
      </c>
      <c r="D48" s="897">
        <v>16</v>
      </c>
      <c r="E48" s="897">
        <v>17</v>
      </c>
      <c r="F48" s="897">
        <v>18</v>
      </c>
      <c r="G48" s="897">
        <v>19</v>
      </c>
      <c r="H48" s="897">
        <v>20</v>
      </c>
    </row>
    <row r="49" spans="1:10" ht="13.5" customHeight="1">
      <c r="A49" s="896" t="s">
        <v>3218</v>
      </c>
      <c r="C49" s="1005">
        <f>'Part VII-Pro Forma'!F60</f>
        <v>33056.060932355584</v>
      </c>
      <c r="D49" s="1005">
        <f>'Part VII-Pro Forma'!G60</f>
        <v>121294.83041098376</v>
      </c>
      <c r="E49" s="1005">
        <f>'Part VII-Pro Forma'!H60</f>
        <v>119599.73029740712</v>
      </c>
      <c r="F49" s="1005">
        <f>'Part VII-Pro Forma'!I60</f>
        <v>117745.76307990481</v>
      </c>
      <c r="G49" s="1005">
        <f>'Part VII-Pro Forma'!J60</f>
        <v>115725.40866334908</v>
      </c>
      <c r="H49" s="1005">
        <f>'Part VII-Pro Forma'!K60</f>
        <v>113530.90366811739</v>
      </c>
    </row>
    <row r="50" spans="1:10" ht="13.5" customHeight="1">
      <c r="A50" s="896" t="s">
        <v>3219</v>
      </c>
      <c r="C50" s="1005">
        <f>'Part VII-Pro Forma'!E67-'Part VII-Pro Forma'!F67</f>
        <v>89296.85731822197</v>
      </c>
      <c r="D50" s="1005">
        <f>'Part VII-Pro Forma'!F67-'Part VII-Pro Forma'!G67</f>
        <v>-1.9434228893686351E-9</v>
      </c>
      <c r="E50" s="1005">
        <f>'Part VII-Pro Forma'!G67-'Part VII-Pro Forma'!H67</f>
        <v>-1.9629464397024975E-9</v>
      </c>
      <c r="F50" s="1005">
        <f>'Part VII-Pro Forma'!H67-'Part VII-Pro Forma'!I67</f>
        <v>-1.9826661228593808E-9</v>
      </c>
      <c r="G50" s="1005">
        <f>'Part VII-Pro Forma'!I67-'Part VII-Pro Forma'!J67</f>
        <v>-2.002583909181969E-9</v>
      </c>
      <c r="H50" s="1005">
        <f>'Part VII-Pro Forma'!J67-'Part VII-Pro Forma'!K67</f>
        <v>-2.0227017888068883E-9</v>
      </c>
    </row>
    <row r="51" spans="1:10" ht="13.5" customHeight="1">
      <c r="A51" s="896" t="s">
        <v>3219</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3219</v>
      </c>
      <c r="C52" s="1018"/>
      <c r="D52" s="1018"/>
      <c r="E52" s="1018"/>
      <c r="F52" s="1018"/>
      <c r="G52" s="1018"/>
      <c r="H52" s="1018"/>
    </row>
    <row r="53" spans="1:10" ht="13.5" customHeight="1">
      <c r="A53" s="1009" t="s">
        <v>3842</v>
      </c>
      <c r="B53" s="1010"/>
      <c r="C53" s="1011">
        <f>-SUMIF('Part VII-Pro Forma'!$A$13:$L$13,C$48,'Part VII-Pro Forma'!$A$21:$L$21)-SUMIF('Part VII-Pro Forma'!$A$43:$L$43,C$48,'Part VII-Pro Forma'!$A$51:$L$51)-SUMIF('Part VII-Pro Forma'!$A$73:$L$73,C$48,'Part VII-Pro Forma'!$A$81:$L$81)</f>
        <v>27226.615047391999</v>
      </c>
      <c r="D53" s="1011">
        <f>-SUMIF('Part VII-Pro Forma'!$A$13:$L$13,D$48,'Part VII-Pro Forma'!$A$21:$L$21)-SUMIF('Part VII-Pro Forma'!$A$43:$L$43,D$48,'Part VII-Pro Forma'!$A$51:$L$51)-SUMIF('Part VII-Pro Forma'!$A$73:$L$73,D$48,'Part VII-Pro Forma'!$A$81:$L$81)</f>
        <v>28043.413498813759</v>
      </c>
      <c r="E53" s="1011">
        <f>-SUMIF('Part VII-Pro Forma'!$A$13:$L$13,E$48,'Part VII-Pro Forma'!$A$21:$L$21)-SUMIF('Part VII-Pro Forma'!$A$43:$L$43,E$48,'Part VII-Pro Forma'!$A$51:$L$51)-SUMIF('Part VII-Pro Forma'!$A$73:$L$73,E$48,'Part VII-Pro Forma'!$A$81:$L$81)</f>
        <v>28884.715903778168</v>
      </c>
      <c r="F53" s="1011">
        <f>-SUMIF('Part VII-Pro Forma'!$A$13:$L$13,F$48,'Part VII-Pro Forma'!$A$21:$L$21)-SUMIF('Part VII-Pro Forma'!$A$43:$L$43,F$48,'Part VII-Pro Forma'!$A$51:$L$51)-SUMIF('Part VII-Pro Forma'!$A$73:$L$73,F$48,'Part VII-Pro Forma'!$A$81:$L$81)</f>
        <v>29751.257380891511</v>
      </c>
      <c r="G53" s="1011">
        <f>-SUMIF('Part VII-Pro Forma'!$A$13:$L$13,G$48,'Part VII-Pro Forma'!$A$21:$L$21)-SUMIF('Part VII-Pro Forma'!$A$43:$L$43,G$48,'Part VII-Pro Forma'!$A$51:$L$51)-SUMIF('Part VII-Pro Forma'!$A$73:$L$73,G$48,'Part VII-Pro Forma'!$A$81:$L$81)</f>
        <v>30643.795102318258</v>
      </c>
      <c r="H53" s="1011">
        <f>-SUMIF('Part VII-Pro Forma'!$A$13:$L$13,H$48,'Part VII-Pro Forma'!$A$21:$L$21)-SUMIF('Part VII-Pro Forma'!$A$43:$L$43,H$48,'Part VII-Pro Forma'!$A$51:$L$51)-SUMIF('Part VII-Pro Forma'!$A$73:$L$73,H$48,'Part VII-Pro Forma'!$A$81:$L$81)</f>
        <v>31563.108955387805</v>
      </c>
    </row>
    <row r="54" spans="1:10" ht="13.5" customHeight="1">
      <c r="A54" s="1009" t="s">
        <v>3843</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3222</v>
      </c>
      <c r="C55" s="1013">
        <f t="shared" ref="C55:H55" si="14">$E$3/$H$3</f>
        <v>380441.52727272728</v>
      </c>
      <c r="D55" s="1013">
        <f t="shared" si="14"/>
        <v>380441.52727272728</v>
      </c>
      <c r="E55" s="1013">
        <f t="shared" si="14"/>
        <v>380441.52727272728</v>
      </c>
      <c r="F55" s="1013">
        <f t="shared" si="14"/>
        <v>380441.52727272728</v>
      </c>
      <c r="G55" s="1013">
        <f t="shared" si="14"/>
        <v>380441.52727272728</v>
      </c>
      <c r="H55" s="1013">
        <f t="shared" si="14"/>
        <v>380441.52727272728</v>
      </c>
    </row>
    <row r="56" spans="1:10" ht="13.5" customHeight="1">
      <c r="A56" s="1012" t="s">
        <v>3224</v>
      </c>
      <c r="C56" s="1005">
        <f t="shared" ref="C56:H56" si="15">IF(C$48&lt;=$H$4,($E$4/$H$4),0)+IF(C$48&lt;=$H$5,($E$5/$H$5),0)</f>
        <v>8492.7333333333336</v>
      </c>
      <c r="D56" s="1005">
        <f t="shared" si="15"/>
        <v>0</v>
      </c>
      <c r="E56" s="1005">
        <f t="shared" si="15"/>
        <v>0</v>
      </c>
      <c r="F56" s="1005">
        <f t="shared" si="15"/>
        <v>0</v>
      </c>
      <c r="G56" s="1005">
        <f t="shared" si="15"/>
        <v>0</v>
      </c>
      <c r="H56" s="1005">
        <f t="shared" si="15"/>
        <v>0</v>
      </c>
    </row>
    <row r="57" spans="1:10" ht="13.5" customHeight="1">
      <c r="A57" s="1012" t="s">
        <v>3225</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3227</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3229</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3230</v>
      </c>
      <c r="C61" s="1013">
        <v>0</v>
      </c>
      <c r="D61" s="1013">
        <v>0</v>
      </c>
      <c r="E61" s="1013">
        <v>0</v>
      </c>
      <c r="F61" s="1013">
        <v>0</v>
      </c>
      <c r="G61" s="1013">
        <v>0</v>
      </c>
      <c r="H61" s="1005">
        <v>0</v>
      </c>
    </row>
    <row r="62" spans="1:10">
      <c r="A62" s="896" t="s">
        <v>3231</v>
      </c>
      <c r="C62" s="1013">
        <v>0</v>
      </c>
      <c r="D62" s="1005">
        <v>0</v>
      </c>
      <c r="E62" s="1005">
        <v>0</v>
      </c>
      <c r="F62" s="1005">
        <v>0</v>
      </c>
      <c r="G62" s="1005">
        <v>0</v>
      </c>
      <c r="H62" s="1005">
        <v>0</v>
      </c>
    </row>
    <row r="63" spans="1:10">
      <c r="A63" s="896" t="s">
        <v>3233</v>
      </c>
      <c r="C63" s="1005">
        <v>0</v>
      </c>
      <c r="D63" s="1005">
        <v>0</v>
      </c>
      <c r="E63" s="1005">
        <v>0</v>
      </c>
      <c r="F63" s="1005">
        <v>0</v>
      </c>
      <c r="G63" s="1005">
        <v>0</v>
      </c>
      <c r="H63" s="1005" t="e">
        <f>O33</f>
        <v>#VALUE!</v>
      </c>
    </row>
    <row r="64" spans="1:10">
      <c r="A64" s="896" t="s">
        <v>3234</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3240</v>
      </c>
      <c r="G66" s="1969" t="e">
        <f>IRR(K5:K25)</f>
        <v>#VALUE!</v>
      </c>
      <c r="H66" s="1970"/>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10" zoomScaleNormal="110" workbookViewId="0">
      <selection activeCellId="1" sqref="F10:H10 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3" t="str">
        <f>CONCATENATE("PART ONE - PROJECT INFORMATION"," - ",$O$4," ",$F$24,", ",'Part I-Project Information'!F28,", ",'Part I-Project Information'!J29," County")</f>
        <v>PART ONE - PROJECT INFORMATION - 2016-010 The Preserve at Newport, Kingsland, Camden County</v>
      </c>
      <c r="B1" s="1454"/>
      <c r="C1" s="1454"/>
      <c r="D1" s="1454"/>
      <c r="E1" s="1454"/>
      <c r="F1" s="1454"/>
      <c r="G1" s="1454"/>
      <c r="H1" s="1454"/>
      <c r="I1" s="1454"/>
      <c r="J1" s="1454"/>
      <c r="K1" s="1454"/>
      <c r="L1" s="1454"/>
      <c r="M1" s="1454"/>
      <c r="N1" s="1454"/>
      <c r="O1" s="1454"/>
      <c r="P1" s="1455"/>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2447</v>
      </c>
      <c r="F3" s="326"/>
      <c r="G3" s="298" t="s">
        <v>458</v>
      </c>
      <c r="L3" s="1172"/>
      <c r="O3" s="1447" t="s">
        <v>2779</v>
      </c>
      <c r="P3" s="1447"/>
    </row>
    <row r="4" spans="1:16" s="325" customFormat="1" ht="12" customHeight="1" thickBot="1">
      <c r="A4" s="539"/>
      <c r="B4" s="327"/>
      <c r="F4" s="328"/>
      <c r="G4" s="298" t="s">
        <v>459</v>
      </c>
      <c r="H4" s="1400"/>
      <c r="I4" s="1400"/>
      <c r="J4" s="1400"/>
      <c r="O4" s="2624" t="s">
        <v>4402</v>
      </c>
      <c r="P4" s="2625"/>
    </row>
    <row r="5" spans="1:16" s="325" customFormat="1" ht="12" customHeight="1" thickBot="1">
      <c r="A5" s="539"/>
      <c r="B5" s="1464" t="s">
        <v>4371</v>
      </c>
      <c r="C5" s="1465"/>
      <c r="D5" s="1466"/>
      <c r="F5" s="606"/>
      <c r="G5" s="188" t="s">
        <v>3502</v>
      </c>
      <c r="H5" s="1400"/>
      <c r="I5" s="1400"/>
      <c r="J5" s="1400"/>
    </row>
    <row r="6" spans="1:16" s="325" customFormat="1" ht="9" customHeight="1">
      <c r="A6" s="539"/>
      <c r="B6" s="327"/>
      <c r="C6" s="327"/>
      <c r="D6" s="327"/>
      <c r="E6" s="1400"/>
      <c r="H6" s="1400"/>
      <c r="I6" s="1400"/>
      <c r="J6" s="1400"/>
      <c r="K6" s="296"/>
      <c r="M6" s="1400"/>
    </row>
    <row r="7" spans="1:16" s="325" customFormat="1" ht="13.15" customHeight="1">
      <c r="A7" s="327" t="s">
        <v>640</v>
      </c>
      <c r="B7" s="327" t="s">
        <v>2460</v>
      </c>
      <c r="D7" s="299"/>
      <c r="E7" s="329"/>
      <c r="F7" s="330" t="s">
        <v>1781</v>
      </c>
      <c r="J7" s="1458">
        <f>'Part IV-Uses of Funds'!J174</f>
        <v>669893.5</v>
      </c>
      <c r="K7" s="1459"/>
      <c r="M7" s="1400"/>
    </row>
    <row r="8" spans="1:16" s="1" customFormat="1" ht="13.15" customHeight="1">
      <c r="A8" s="4"/>
      <c r="B8" s="4"/>
      <c r="D8" s="28"/>
      <c r="E8" s="409"/>
      <c r="F8" s="325" t="s">
        <v>1333</v>
      </c>
      <c r="J8" s="1460">
        <f>'Part III-Sources of Funds'!E10</f>
        <v>1250099</v>
      </c>
      <c r="K8" s="1461"/>
      <c r="L8" s="325"/>
      <c r="M8" s="1400"/>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21" t="s">
        <v>4201</v>
      </c>
      <c r="G10" s="2622"/>
      <c r="H10" s="2623"/>
      <c r="I10" s="2626" t="s">
        <v>4196</v>
      </c>
      <c r="J10" s="576" t="s">
        <v>4197</v>
      </c>
      <c r="K10" s="336"/>
      <c r="L10" s="1400"/>
      <c r="O10" s="2627" t="s">
        <v>4202</v>
      </c>
      <c r="P10" s="2628"/>
    </row>
    <row r="11" spans="1:16" s="325" customFormat="1" ht="12.75" customHeight="1">
      <c r="A11" s="539"/>
      <c r="H11" s="1400"/>
      <c r="J11" s="577" t="s">
        <v>2845</v>
      </c>
      <c r="K11" s="296"/>
      <c r="M11" s="1400"/>
      <c r="O11" s="2629" t="s">
        <v>3156</v>
      </c>
      <c r="P11" s="2630"/>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2381</v>
      </c>
      <c r="F15" s="2631" t="s">
        <v>4203</v>
      </c>
      <c r="G15" s="2632"/>
      <c r="H15" s="2632"/>
      <c r="I15" s="2632"/>
      <c r="J15" s="2632"/>
      <c r="K15" s="2632"/>
      <c r="L15" s="2633"/>
      <c r="M15" s="1386" t="s">
        <v>2055</v>
      </c>
      <c r="N15" s="2631" t="s">
        <v>4204</v>
      </c>
      <c r="O15" s="2632"/>
      <c r="P15" s="2633"/>
    </row>
    <row r="16" spans="1:16" s="325" customFormat="1" ht="13.15" customHeight="1">
      <c r="B16" s="330" t="s">
        <v>2056</v>
      </c>
      <c r="F16" s="2631" t="s">
        <v>4205</v>
      </c>
      <c r="G16" s="2632"/>
      <c r="H16" s="2632"/>
      <c r="I16" s="2632"/>
      <c r="J16" s="2632"/>
      <c r="K16" s="2632"/>
      <c r="L16" s="2633"/>
      <c r="M16" s="1386" t="s">
        <v>1787</v>
      </c>
      <c r="O16" s="2634">
        <v>4047887162</v>
      </c>
      <c r="P16" s="2635"/>
    </row>
    <row r="17" spans="1:16" s="325" customFormat="1" ht="13.15" customHeight="1">
      <c r="B17" s="330" t="s">
        <v>642</v>
      </c>
      <c r="F17" s="2636" t="s">
        <v>4206</v>
      </c>
      <c r="G17" s="2637"/>
      <c r="H17" s="2638"/>
      <c r="M17" s="1386" t="s">
        <v>1868</v>
      </c>
      <c r="O17" s="2639">
        <v>2566233944</v>
      </c>
      <c r="P17" s="2640"/>
    </row>
    <row r="18" spans="1:16" s="325" customFormat="1" ht="13.15" customHeight="1">
      <c r="B18" s="330" t="s">
        <v>1865</v>
      </c>
      <c r="F18" s="2641" t="s">
        <v>870</v>
      </c>
      <c r="I18" s="1400" t="s">
        <v>2308</v>
      </c>
      <c r="J18" s="2642">
        <v>359713484</v>
      </c>
      <c r="K18" s="2643"/>
      <c r="M18" s="1386" t="s">
        <v>2054</v>
      </c>
      <c r="O18" s="2639">
        <v>4047887162</v>
      </c>
      <c r="P18" s="2640"/>
    </row>
    <row r="19" spans="1:16" s="325" customFormat="1" ht="13.15" customHeight="1">
      <c r="B19" s="330" t="s">
        <v>1786</v>
      </c>
      <c r="F19" s="2639">
        <v>2564174920</v>
      </c>
      <c r="G19" s="2644"/>
      <c r="H19" s="2640"/>
      <c r="I19" s="1390" t="s">
        <v>1785</v>
      </c>
      <c r="J19" s="2645">
        <v>224</v>
      </c>
      <c r="K19" s="1400" t="s">
        <v>2059</v>
      </c>
      <c r="L19" s="2631" t="s">
        <v>4207</v>
      </c>
      <c r="M19" s="2632"/>
      <c r="N19" s="2632"/>
      <c r="O19" s="2632"/>
      <c r="P19" s="2633"/>
    </row>
    <row r="20" spans="1:16" s="325" customFormat="1" ht="13.15" customHeight="1">
      <c r="A20" s="327"/>
      <c r="B20" s="318" t="s">
        <v>679</v>
      </c>
      <c r="D20" s="329"/>
      <c r="G20" s="329"/>
      <c r="H20" s="329"/>
      <c r="I20" s="333"/>
    </row>
    <row r="21" spans="1:16" s="325" customFormat="1" ht="4.5" customHeight="1">
      <c r="A21" s="539"/>
      <c r="B21" s="539"/>
      <c r="C21" s="334"/>
      <c r="D21" s="1396"/>
      <c r="E21" s="1396"/>
      <c r="F21" s="1396"/>
      <c r="H21" s="1400"/>
      <c r="I21" s="1396"/>
      <c r="J21" s="334"/>
      <c r="K21" s="1396"/>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6" t="s">
        <v>4208</v>
      </c>
      <c r="G24" s="2647"/>
      <c r="H24" s="2647"/>
      <c r="I24" s="2647"/>
      <c r="J24" s="2647"/>
      <c r="K24" s="2648"/>
      <c r="L24" s="1386" t="s">
        <v>2271</v>
      </c>
      <c r="O24" s="2631" t="s">
        <v>3156</v>
      </c>
      <c r="P24" s="2633"/>
    </row>
    <row r="25" spans="1:16" s="325" customFormat="1" ht="13.15" customHeight="1">
      <c r="A25" s="337"/>
      <c r="B25" s="325" t="s">
        <v>2802</v>
      </c>
      <c r="D25" s="338"/>
      <c r="F25" s="2649" t="s">
        <v>4209</v>
      </c>
      <c r="G25" s="2650"/>
      <c r="H25" s="2650"/>
      <c r="I25" s="2650"/>
      <c r="J25" s="2650"/>
      <c r="K25" s="2651"/>
      <c r="L25" s="325" t="s">
        <v>4128</v>
      </c>
      <c r="O25" s="2649"/>
      <c r="P25" s="2651"/>
    </row>
    <row r="26" spans="1:16" s="325" customFormat="1" ht="13.15" customHeight="1">
      <c r="A26" s="337"/>
      <c r="B26" s="325" t="s">
        <v>2848</v>
      </c>
      <c r="D26" s="338"/>
      <c r="F26" s="2649" t="s">
        <v>4210</v>
      </c>
      <c r="G26" s="2650"/>
      <c r="H26" s="2650"/>
      <c r="I26" s="2650"/>
      <c r="J26" s="2650"/>
      <c r="K26" s="2651"/>
      <c r="L26" s="1386" t="s">
        <v>2128</v>
      </c>
      <c r="N26" s="2652" t="s">
        <v>3156</v>
      </c>
      <c r="O26" s="1400" t="s">
        <v>4127</v>
      </c>
      <c r="P26" s="2652">
        <v>1</v>
      </c>
    </row>
    <row r="27" spans="1:16" s="325" customFormat="1" ht="13.15" customHeight="1">
      <c r="A27" s="337"/>
      <c r="B27" s="325" t="s">
        <v>2898</v>
      </c>
      <c r="D27" s="338"/>
      <c r="F27" s="325" t="s">
        <v>4363</v>
      </c>
      <c r="G27" s="2653" t="s">
        <v>4365</v>
      </c>
      <c r="H27" s="2654"/>
      <c r="I27" s="325" t="s">
        <v>4364</v>
      </c>
      <c r="J27" s="2653" t="s">
        <v>4366</v>
      </c>
      <c r="K27" s="2654"/>
      <c r="L27" s="1386" t="s">
        <v>2363</v>
      </c>
      <c r="O27" s="2655">
        <v>18.64</v>
      </c>
      <c r="P27" s="2656"/>
    </row>
    <row r="28" spans="1:16" s="325" customFormat="1" ht="13.15" customHeight="1">
      <c r="A28" s="539"/>
      <c r="B28" s="325" t="s">
        <v>642</v>
      </c>
      <c r="F28" s="2631" t="s">
        <v>492</v>
      </c>
      <c r="G28" s="2632"/>
      <c r="H28" s="2633"/>
      <c r="I28" s="342" t="s">
        <v>2803</v>
      </c>
      <c r="J28" s="2642">
        <v>315486507</v>
      </c>
      <c r="K28" s="2643"/>
      <c r="L28" s="401" t="str">
        <f>IF(AND(NOT(F24=""),NOT(F28="Select from list"),J28=""),"Enter Zip!","")</f>
        <v/>
      </c>
      <c r="M28" s="340" t="s">
        <v>3061</v>
      </c>
      <c r="O28" s="2657" t="s">
        <v>4211</v>
      </c>
      <c r="P28" s="2658"/>
    </row>
    <row r="29" spans="1:16" s="325" customFormat="1" ht="13.15" customHeight="1">
      <c r="A29" s="539"/>
      <c r="B29" s="1396" t="s">
        <v>3854</v>
      </c>
      <c r="D29" s="1396"/>
      <c r="F29" s="2649" t="s">
        <v>4212</v>
      </c>
      <c r="G29" s="2650"/>
      <c r="H29" s="2651"/>
      <c r="I29" s="339" t="s">
        <v>643</v>
      </c>
      <c r="J29" s="2659" t="str">
        <f>IF($F$28="","",VLOOKUP($F$28,'DCA Underwriting Assumptions'!$R$141:$S$771,2,FALSE))</f>
        <v>Camden</v>
      </c>
      <c r="K29" s="2660"/>
      <c r="M29" s="1386" t="s">
        <v>468</v>
      </c>
      <c r="N29" s="2661" t="s">
        <v>3156</v>
      </c>
      <c r="O29" s="1400" t="s">
        <v>469</v>
      </c>
      <c r="P29" s="2661" t="s">
        <v>3156</v>
      </c>
    </row>
    <row r="30" spans="1:16" s="325" customFormat="1" ht="13.15" customHeight="1">
      <c r="A30" s="539"/>
      <c r="B30" s="327"/>
      <c r="C30" s="325" t="s">
        <v>1615</v>
      </c>
      <c r="F30" s="2662" t="s">
        <v>3153</v>
      </c>
      <c r="G30" s="1462" t="s">
        <v>2899</v>
      </c>
      <c r="H30" s="1463"/>
      <c r="I30" s="584" t="str">
        <f>IF($J$29="","",IF(VLOOKUP($J$29,'DCA Underwriting Assumptions'!G141:M300,7,FALSE)="Rural","Yes",IF(VLOOKUP($J$29,'DCA Underwriting Assumptions'!G141:M300,7,FALSE)="Urban","No","")))</f>
        <v>Yes</v>
      </c>
      <c r="J30" s="1390" t="s">
        <v>2920</v>
      </c>
      <c r="K30" s="1390" t="str">
        <f>IF(OR(F30="Yes",I30="Yes"),"Rural","Urban")</f>
        <v>Rural</v>
      </c>
      <c r="M30" s="1386" t="s">
        <v>2699</v>
      </c>
      <c r="N30" s="468" t="str">
        <f>VLOOKUP($J$29,'DCA Underwriting Assumptions'!$G$141:$J$300,4)</f>
        <v>Non-MSA</v>
      </c>
      <c r="O30" s="2663" t="str">
        <f>IF($F$28="","",VLOOKUP($J$29,'DCA Underwriting Assumptions'!$G$141:$L$300,3,FALSE))</f>
        <v>Camden Co.</v>
      </c>
      <c r="P30" s="2664"/>
    </row>
    <row r="31" spans="1:16" s="325" customFormat="1" ht="3" customHeight="1">
      <c r="A31" s="539"/>
      <c r="B31" s="327"/>
      <c r="C31" s="327"/>
      <c r="I31" s="330"/>
      <c r="J31" s="1396"/>
      <c r="L31" s="1404"/>
      <c r="M31" s="1404"/>
      <c r="N31" s="1404"/>
      <c r="O31" s="1404"/>
      <c r="P31" s="1404"/>
    </row>
    <row r="32" spans="1:16" s="325" customFormat="1" ht="13.15" customHeight="1">
      <c r="A32" s="539"/>
      <c r="C32" s="325" t="s">
        <v>2858</v>
      </c>
      <c r="F32" s="1457" t="s">
        <v>2878</v>
      </c>
      <c r="G32" s="1457"/>
      <c r="H32" s="1456" t="s">
        <v>766</v>
      </c>
      <c r="I32" s="1456"/>
      <c r="J32" s="1456" t="s">
        <v>767</v>
      </c>
      <c r="K32" s="1456"/>
      <c r="L32" s="570" t="s">
        <v>2804</v>
      </c>
    </row>
    <row r="33" spans="1:17" s="325" customFormat="1" ht="13.15" customHeight="1">
      <c r="A33" s="539"/>
      <c r="B33" s="325" t="s">
        <v>2877</v>
      </c>
      <c r="D33" s="327"/>
      <c r="F33" s="2665">
        <v>1</v>
      </c>
      <c r="G33" s="2666"/>
      <c r="H33" s="2665">
        <v>3</v>
      </c>
      <c r="I33" s="2666"/>
      <c r="J33" s="2665">
        <v>180</v>
      </c>
      <c r="K33" s="2666"/>
      <c r="L33" s="566" t="s">
        <v>1330</v>
      </c>
      <c r="N33" s="1469" t="s">
        <v>1331</v>
      </c>
      <c r="O33" s="1469"/>
      <c r="P33" s="1469"/>
    </row>
    <row r="34" spans="1:17" s="325" customFormat="1" ht="12.75" customHeight="1">
      <c r="A34" s="539"/>
      <c r="B34" s="330" t="s">
        <v>768</v>
      </c>
      <c r="F34" s="2665"/>
      <c r="G34" s="2666"/>
      <c r="H34" s="2665"/>
      <c r="I34" s="2666"/>
      <c r="J34" s="2665"/>
      <c r="K34" s="2666"/>
      <c r="L34" s="566" t="s">
        <v>2876</v>
      </c>
      <c r="N34" s="1470" t="s">
        <v>2875</v>
      </c>
      <c r="O34" s="1470"/>
    </row>
    <row r="35" spans="1:17" s="325" customFormat="1" ht="3" customHeight="1">
      <c r="A35" s="539"/>
      <c r="I35" s="1404"/>
      <c r="J35" s="1404"/>
      <c r="K35" s="1404"/>
      <c r="L35" s="1396"/>
      <c r="M35" s="1396"/>
      <c r="N35" s="1396"/>
      <c r="O35" s="1396"/>
      <c r="P35" s="1396"/>
    </row>
    <row r="36" spans="1:17" s="325" customFormat="1" ht="13.15" customHeight="1">
      <c r="A36" s="539"/>
      <c r="B36" s="327" t="s">
        <v>661</v>
      </c>
      <c r="F36" s="2667" t="s">
        <v>4213</v>
      </c>
      <c r="G36" s="2668"/>
      <c r="H36" s="2668"/>
      <c r="I36" s="2668"/>
      <c r="J36" s="2669"/>
      <c r="K36" s="2670"/>
      <c r="L36" s="1168" t="s">
        <v>2808</v>
      </c>
      <c r="M36" s="2649" t="s">
        <v>4214</v>
      </c>
      <c r="N36" s="2650"/>
      <c r="O36" s="2650"/>
      <c r="P36" s="2651"/>
    </row>
    <row r="37" spans="1:17" s="325" customFormat="1" ht="13.15" customHeight="1">
      <c r="A37" s="539"/>
      <c r="B37" s="325" t="s">
        <v>662</v>
      </c>
      <c r="F37" s="2671" t="s">
        <v>4215</v>
      </c>
      <c r="G37" s="2672"/>
      <c r="H37" s="2673"/>
      <c r="I37" s="1391" t="s">
        <v>2055</v>
      </c>
      <c r="J37" s="2649" t="s">
        <v>4216</v>
      </c>
      <c r="K37" s="2651"/>
      <c r="L37" s="1168"/>
    </row>
    <row r="38" spans="1:17" s="325" customFormat="1" ht="13.15" customHeight="1">
      <c r="A38" s="539"/>
      <c r="B38" s="325" t="s">
        <v>2056</v>
      </c>
      <c r="F38" s="2671" t="s">
        <v>4217</v>
      </c>
      <c r="G38" s="2672"/>
      <c r="H38" s="2672"/>
      <c r="I38" s="2672"/>
      <c r="J38" s="2674"/>
      <c r="K38" s="2675"/>
      <c r="L38" s="361" t="s">
        <v>642</v>
      </c>
      <c r="M38" s="2671" t="s">
        <v>492</v>
      </c>
      <c r="N38" s="2672"/>
      <c r="O38" s="2672"/>
      <c r="P38" s="2673"/>
    </row>
    <row r="39" spans="1:17" s="325" customFormat="1" ht="13.15" customHeight="1">
      <c r="A39" s="539"/>
      <c r="B39" s="1386" t="s">
        <v>2308</v>
      </c>
      <c r="F39" s="2676">
        <v>315485054</v>
      </c>
      <c r="G39" s="2677"/>
      <c r="H39" s="1390" t="s">
        <v>2057</v>
      </c>
      <c r="I39" s="2678">
        <v>9127295613</v>
      </c>
      <c r="J39" s="2679"/>
      <c r="K39" s="2680"/>
      <c r="L39" s="330" t="s">
        <v>1866</v>
      </c>
      <c r="M39" s="2671" t="s">
        <v>4218</v>
      </c>
      <c r="N39" s="2672"/>
      <c r="O39" s="2672"/>
      <c r="P39" s="2673"/>
    </row>
    <row r="40" spans="1:17" s="325" customFormat="1" ht="4.5" customHeight="1">
      <c r="A40" s="539"/>
      <c r="B40" s="539"/>
      <c r="C40" s="341"/>
      <c r="D40" s="342"/>
      <c r="E40" s="342"/>
      <c r="F40" s="1400"/>
      <c r="G40" s="1400"/>
      <c r="H40" s="1400"/>
      <c r="I40" s="1400"/>
      <c r="J40" s="342"/>
      <c r="K40" s="1400"/>
      <c r="L40" s="1400"/>
      <c r="N40" s="1396"/>
      <c r="O40" s="1396"/>
      <c r="P40" s="335"/>
    </row>
    <row r="41" spans="1:17" s="325" customFormat="1" ht="12" customHeight="1">
      <c r="A41" s="331" t="s">
        <v>1860</v>
      </c>
      <c r="B41" s="327" t="s">
        <v>1531</v>
      </c>
      <c r="F41" s="343"/>
      <c r="I41" s="1386"/>
      <c r="J41" s="1396"/>
      <c r="K41" s="1396"/>
      <c r="L41" s="1396"/>
      <c r="M41" s="1396"/>
    </row>
    <row r="42" spans="1:17" s="325" customFormat="1" ht="1.5" customHeight="1">
      <c r="A42" s="539"/>
      <c r="B42" s="327"/>
      <c r="C42" s="327"/>
      <c r="I42" s="1386"/>
      <c r="J42" s="1396"/>
      <c r="K42" s="1396"/>
      <c r="L42" s="1396"/>
      <c r="M42" s="1396"/>
      <c r="N42" s="1396"/>
      <c r="O42" s="1396"/>
      <c r="P42" s="1396"/>
      <c r="Q42" s="1396"/>
    </row>
    <row r="43" spans="1:17" s="325" customFormat="1" ht="12.75">
      <c r="A43" s="539"/>
      <c r="B43" s="539" t="s">
        <v>2058</v>
      </c>
      <c r="C43" s="327" t="s">
        <v>747</v>
      </c>
      <c r="I43" s="1396"/>
      <c r="J43" s="1396"/>
      <c r="K43" s="567"/>
      <c r="L43" s="1396"/>
      <c r="M43" s="569"/>
      <c r="N43" s="569"/>
      <c r="O43" s="569"/>
      <c r="P43" s="569"/>
      <c r="Q43" s="1400"/>
    </row>
    <row r="44" spans="1:17" ht="13.15" customHeight="1">
      <c r="B44" s="539"/>
      <c r="C44" s="325" t="s">
        <v>2375</v>
      </c>
      <c r="D44" s="325"/>
      <c r="E44" s="325"/>
      <c r="H44" s="345">
        <f>'Part VI-Revenues &amp; Expenses'!$O$74</f>
        <v>72</v>
      </c>
      <c r="K44" s="330" t="s">
        <v>4110</v>
      </c>
      <c r="L44" s="325"/>
      <c r="M44" s="1322" t="s">
        <v>4109</v>
      </c>
      <c r="N44" s="345">
        <f>'Part VI-Revenues &amp; Expenses'!$O$81</f>
        <v>0</v>
      </c>
      <c r="O44" s="1323" t="s">
        <v>3544</v>
      </c>
      <c r="P44" s="345">
        <f>'Part VI-Revenues &amp; Expenses'!$O$82</f>
        <v>0</v>
      </c>
      <c r="Q44" s="1400"/>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6"/>
      <c r="H46" s="345">
        <f>'Part VI-Revenues &amp; Expenses'!$O$77</f>
        <v>0</v>
      </c>
      <c r="I46" s="541" t="s">
        <v>3067</v>
      </c>
      <c r="K46" s="325" t="s">
        <v>361</v>
      </c>
      <c r="P46" s="2681" t="s">
        <v>1006</v>
      </c>
      <c r="Q46" s="1400"/>
    </row>
    <row r="47" spans="1:17" s="325" customFormat="1" ht="3.6" customHeight="1">
      <c r="A47" s="539"/>
      <c r="P47" s="1396"/>
    </row>
    <row r="48" spans="1:17" s="325" customFormat="1" ht="12.75">
      <c r="A48" s="539"/>
      <c r="B48" s="539" t="s">
        <v>2061</v>
      </c>
      <c r="C48" s="327" t="s">
        <v>2376</v>
      </c>
      <c r="H48" s="2645" t="s">
        <v>3156</v>
      </c>
      <c r="K48" s="1396"/>
      <c r="L48" s="1396"/>
      <c r="M48" s="1396"/>
      <c r="N48" s="1396"/>
      <c r="O48" s="569"/>
      <c r="P48" s="567"/>
      <c r="Q48" s="1396"/>
    </row>
    <row r="49" spans="1:19" s="325" customFormat="1" ht="3" customHeight="1">
      <c r="A49" s="539"/>
      <c r="I49" s="1396"/>
      <c r="J49" s="567"/>
      <c r="K49" s="568"/>
      <c r="L49" s="567"/>
      <c r="M49" s="568"/>
      <c r="N49" s="568"/>
      <c r="O49" s="568"/>
      <c r="P49" s="568"/>
      <c r="Q49" s="1396"/>
    </row>
    <row r="50" spans="1:19" s="325" customFormat="1" ht="13.15" customHeight="1">
      <c r="A50" s="539"/>
      <c r="B50" s="337" t="s">
        <v>779</v>
      </c>
      <c r="C50" s="336" t="s">
        <v>2356</v>
      </c>
      <c r="D50" s="1396"/>
      <c r="I50" s="1393" t="s">
        <v>3849</v>
      </c>
      <c r="J50" s="337" t="s">
        <v>2193</v>
      </c>
      <c r="K50" s="347" t="s">
        <v>2382</v>
      </c>
      <c r="M50" s="1396"/>
      <c r="N50" s="1396"/>
      <c r="O50" s="1396"/>
      <c r="P50" s="1400"/>
      <c r="Q50" s="1400"/>
      <c r="R50" s="1400"/>
      <c r="S50" s="1396"/>
    </row>
    <row r="51" spans="1:19" s="325" customFormat="1" ht="13.15" customHeight="1">
      <c r="A51" s="539"/>
      <c r="B51" s="1392"/>
      <c r="C51" s="334" t="s">
        <v>2357</v>
      </c>
      <c r="D51" s="1396"/>
      <c r="E51" s="1396"/>
      <c r="H51" s="869">
        <f>SUM(H52:H53)</f>
        <v>72</v>
      </c>
      <c r="I51" s="869">
        <f>SUM(I52:I53)</f>
        <v>0</v>
      </c>
      <c r="J51" s="539"/>
      <c r="K51" s="334" t="s">
        <v>2890</v>
      </c>
      <c r="M51" s="1396"/>
      <c r="N51" s="1396"/>
      <c r="O51" s="1396"/>
      <c r="P51" s="1128">
        <f>'Part VI-Revenues &amp; Expenses'!$O$115</f>
        <v>79300</v>
      </c>
    </row>
    <row r="52" spans="1:19" s="325" customFormat="1" ht="13.15" customHeight="1">
      <c r="A52" s="539"/>
      <c r="B52" s="344"/>
      <c r="D52" s="349" t="s">
        <v>399</v>
      </c>
      <c r="E52" s="1396"/>
      <c r="H52" s="1128">
        <f>'Part VI-Revenues &amp; Expenses'!$O$57</f>
        <v>21</v>
      </c>
      <c r="I52" s="1128">
        <f>'Part VI-Revenues &amp; Expenses'!$O$65</f>
        <v>0</v>
      </c>
      <c r="K52" s="334" t="s">
        <v>2891</v>
      </c>
      <c r="M52" s="1396"/>
      <c r="N52" s="1396"/>
      <c r="O52" s="1396"/>
      <c r="P52" s="1128">
        <f>'Part VI-Revenues &amp; Expenses'!$O$116</f>
        <v>0</v>
      </c>
    </row>
    <row r="53" spans="1:19" s="325" customFormat="1" ht="13.15" customHeight="1">
      <c r="A53" s="539"/>
      <c r="D53" s="349" t="s">
        <v>1890</v>
      </c>
      <c r="E53" s="349"/>
      <c r="H53" s="1129">
        <f>'Part VI-Revenues &amp; Expenses'!$O$56</f>
        <v>51</v>
      </c>
      <c r="I53" s="1129">
        <f>'Part VI-Revenues &amp; Expenses'!$O$64</f>
        <v>0</v>
      </c>
      <c r="K53" s="334" t="s">
        <v>2892</v>
      </c>
      <c r="M53" s="1396"/>
      <c r="N53" s="1396"/>
      <c r="O53" s="1396"/>
      <c r="P53" s="348">
        <f>P51+P52</f>
        <v>79300</v>
      </c>
    </row>
    <row r="54" spans="1:19" s="325" customFormat="1" ht="13.15" customHeight="1">
      <c r="A54" s="539"/>
      <c r="C54" s="334" t="s">
        <v>264</v>
      </c>
      <c r="D54" s="1396"/>
      <c r="E54" s="1396"/>
      <c r="H54" s="348">
        <f>'Part VI-Revenues &amp; Expenses'!$O$59</f>
        <v>0</v>
      </c>
      <c r="J54" s="539"/>
      <c r="K54" s="334" t="s">
        <v>2893</v>
      </c>
      <c r="M54" s="1396"/>
      <c r="N54" s="1396"/>
      <c r="O54" s="1396"/>
      <c r="P54" s="348">
        <f>'Part VI-Revenues &amp; Expenses'!$O$118</f>
        <v>0</v>
      </c>
    </row>
    <row r="55" spans="1:19" s="325" customFormat="1" ht="13.15" customHeight="1">
      <c r="A55" s="539"/>
      <c r="C55" s="334" t="s">
        <v>2492</v>
      </c>
      <c r="D55" s="1396"/>
      <c r="E55" s="1396"/>
      <c r="H55" s="348">
        <f>H51+H54</f>
        <v>72</v>
      </c>
      <c r="J55" s="539"/>
      <c r="K55" s="334" t="s">
        <v>1474</v>
      </c>
      <c r="M55" s="1396"/>
      <c r="N55" s="1396"/>
      <c r="O55" s="1396"/>
      <c r="P55" s="348">
        <f>+P53+P54</f>
        <v>79300</v>
      </c>
    </row>
    <row r="56" spans="1:19" s="325" customFormat="1" ht="13.15" customHeight="1">
      <c r="A56" s="539"/>
      <c r="C56" s="334" t="s">
        <v>2493</v>
      </c>
      <c r="D56" s="1396"/>
      <c r="E56" s="1396"/>
      <c r="H56" s="348">
        <f>'Part VI-Revenues &amp; Expenses'!$O$61</f>
        <v>0</v>
      </c>
      <c r="J56" s="539"/>
    </row>
    <row r="57" spans="1:19" s="325" customFormat="1" ht="13.15" customHeight="1">
      <c r="A57" s="539"/>
      <c r="C57" s="334" t="s">
        <v>1859</v>
      </c>
      <c r="D57" s="1396"/>
      <c r="E57" s="1396"/>
      <c r="H57" s="348">
        <f>+H55+H56</f>
        <v>72</v>
      </c>
      <c r="J57" s="1396"/>
    </row>
    <row r="58" spans="1:19" s="325" customFormat="1" ht="3" customHeight="1">
      <c r="A58" s="539"/>
      <c r="I58" s="1400"/>
      <c r="L58" s="1400"/>
      <c r="M58" s="1400"/>
      <c r="N58" s="1396"/>
      <c r="P58" s="335"/>
    </row>
    <row r="59" spans="1:19" s="325" customFormat="1" ht="13.15" customHeight="1">
      <c r="A59" s="539"/>
      <c r="B59" s="539" t="s">
        <v>1801</v>
      </c>
      <c r="C59" s="336" t="s">
        <v>2377</v>
      </c>
      <c r="D59" s="349" t="s">
        <v>2072</v>
      </c>
      <c r="G59" s="1396"/>
      <c r="H59" s="2682">
        <v>5</v>
      </c>
      <c r="K59" s="334" t="s">
        <v>1165</v>
      </c>
      <c r="O59" s="1396"/>
      <c r="P59" s="2682">
        <v>2305</v>
      </c>
    </row>
    <row r="60" spans="1:19" s="325" customFormat="1" ht="13.15" customHeight="1">
      <c r="A60" s="539"/>
      <c r="B60" s="539"/>
      <c r="D60" s="1392" t="s">
        <v>2073</v>
      </c>
      <c r="H60" s="2682">
        <v>1</v>
      </c>
      <c r="I60" s="1396"/>
      <c r="K60" s="334" t="s">
        <v>263</v>
      </c>
      <c r="O60" s="1396"/>
      <c r="P60" s="348">
        <f>+P55+P59</f>
        <v>81605</v>
      </c>
    </row>
    <row r="61" spans="1:19" s="325" customFormat="1" ht="13.15" customHeight="1">
      <c r="A61" s="539"/>
      <c r="B61" s="539"/>
      <c r="D61" s="1392" t="s">
        <v>2074</v>
      </c>
      <c r="H61" s="348">
        <f>+H59+H60</f>
        <v>6</v>
      </c>
      <c r="I61" s="1396"/>
    </row>
    <row r="62" spans="1:19" s="325" customFormat="1" ht="3" customHeight="1">
      <c r="A62" s="539"/>
      <c r="B62" s="539"/>
      <c r="C62" s="1396"/>
      <c r="D62" s="1396"/>
      <c r="E62" s="1396"/>
      <c r="F62" s="1396"/>
      <c r="G62" s="1400"/>
      <c r="I62" s="334"/>
      <c r="J62" s="1396"/>
      <c r="P62" s="335"/>
    </row>
    <row r="63" spans="1:19" s="325" customFormat="1" ht="13.15" customHeight="1">
      <c r="A63" s="539"/>
      <c r="B63" s="539" t="s">
        <v>1802</v>
      </c>
      <c r="C63" s="336" t="s">
        <v>2980</v>
      </c>
      <c r="D63" s="1396"/>
      <c r="E63" s="1396"/>
      <c r="F63" s="1396"/>
      <c r="G63" s="1396"/>
      <c r="H63" s="2682">
        <v>152</v>
      </c>
      <c r="K63" s="325" t="s">
        <v>2983</v>
      </c>
    </row>
    <row r="64" spans="1:19" s="325" customFormat="1" ht="6.75" customHeight="1">
      <c r="A64" s="539"/>
      <c r="B64" s="539"/>
      <c r="C64" s="334"/>
      <c r="D64" s="1396"/>
      <c r="E64" s="1396"/>
      <c r="F64" s="1396"/>
      <c r="G64" s="1400"/>
      <c r="H64" s="1396"/>
      <c r="I64" s="334"/>
      <c r="J64" s="334"/>
      <c r="K64" s="1396"/>
      <c r="P64" s="335"/>
    </row>
    <row r="65" spans="1:16" s="325" customFormat="1" ht="13.15" customHeight="1">
      <c r="A65" s="539" t="s">
        <v>549</v>
      </c>
      <c r="B65" s="350" t="s">
        <v>1234</v>
      </c>
      <c r="D65" s="350"/>
      <c r="E65" s="350"/>
      <c r="F65" s="1396"/>
      <c r="G65" s="1400"/>
      <c r="H65" s="582"/>
      <c r="K65" s="1396"/>
    </row>
    <row r="66" spans="1:16" s="325" customFormat="1" ht="3" customHeight="1">
      <c r="A66" s="539"/>
      <c r="C66" s="1387"/>
      <c r="D66" s="1387"/>
      <c r="E66" s="1387"/>
      <c r="F66" s="1396"/>
      <c r="G66" s="1400"/>
      <c r="K66" s="1396"/>
      <c r="P66" s="335"/>
    </row>
    <row r="67" spans="1:16" s="325" customFormat="1" ht="13.15" customHeight="1">
      <c r="A67" s="539"/>
      <c r="B67" s="539" t="s">
        <v>2058</v>
      </c>
      <c r="C67" s="296" t="s">
        <v>2795</v>
      </c>
      <c r="D67" s="1387"/>
      <c r="E67" s="1387"/>
      <c r="F67" s="1396"/>
      <c r="G67" s="1400"/>
      <c r="H67" s="2683" t="s">
        <v>3068</v>
      </c>
      <c r="I67" s="2684"/>
      <c r="K67" s="1446" t="s">
        <v>1838</v>
      </c>
      <c r="L67" s="1446"/>
      <c r="N67" s="2631" t="s">
        <v>1006</v>
      </c>
      <c r="O67" s="2632"/>
      <c r="P67" s="2633"/>
    </row>
    <row r="68" spans="1:16" s="325" customFormat="1" ht="3" customHeight="1">
      <c r="A68" s="539"/>
      <c r="B68" s="539"/>
      <c r="D68" s="1392"/>
      <c r="E68" s="1392"/>
      <c r="F68" s="1392"/>
      <c r="G68" s="1392"/>
      <c r="I68" s="1400"/>
      <c r="K68" s="1386"/>
      <c r="L68" s="1386"/>
      <c r="M68" s="1400"/>
      <c r="N68" s="1396"/>
      <c r="P68" s="335"/>
    </row>
    <row r="69" spans="1:16" s="325" customFormat="1" ht="13.15" customHeight="1">
      <c r="A69" s="539"/>
      <c r="B69" s="539"/>
      <c r="E69" s="1387"/>
      <c r="K69" s="1472" t="s">
        <v>3503</v>
      </c>
      <c r="L69" s="1472"/>
      <c r="M69" s="351" t="s">
        <v>3068</v>
      </c>
      <c r="N69" s="2682"/>
      <c r="O69" s="351" t="s">
        <v>3069</v>
      </c>
      <c r="P69" s="2682"/>
    </row>
    <row r="70" spans="1:16" s="325" customFormat="1" ht="3" customHeight="1">
      <c r="A70" s="539"/>
      <c r="B70" s="539"/>
      <c r="D70" s="1392"/>
      <c r="E70" s="1392"/>
      <c r="F70" s="1392"/>
      <c r="G70" s="1392"/>
      <c r="K70" s="1472"/>
      <c r="L70" s="1472"/>
      <c r="M70" s="1400"/>
      <c r="N70" s="1396"/>
      <c r="P70" s="335"/>
    </row>
    <row r="71" spans="1:16" s="325" customFormat="1" ht="13.15" customHeight="1">
      <c r="A71" s="539"/>
      <c r="B71" s="539"/>
      <c r="D71" s="1386"/>
      <c r="E71" s="1387"/>
      <c r="K71" s="1472"/>
      <c r="L71" s="1472"/>
      <c r="M71" s="338" t="s">
        <v>3070</v>
      </c>
      <c r="N71" s="2682"/>
      <c r="O71" s="338" t="s">
        <v>1659</v>
      </c>
      <c r="P71" s="2682"/>
    </row>
    <row r="72" spans="1:16" s="325" customFormat="1" ht="3" customHeight="1">
      <c r="A72" s="539"/>
      <c r="B72" s="539"/>
      <c r="D72" s="1392"/>
      <c r="E72" s="1392"/>
      <c r="F72" s="1392"/>
      <c r="G72" s="1392"/>
      <c r="I72" s="1400"/>
      <c r="K72" s="1386"/>
      <c r="L72" s="1386"/>
      <c r="M72" s="1400"/>
      <c r="N72" s="1396"/>
      <c r="P72" s="335"/>
    </row>
    <row r="73" spans="1:16" s="325" customFormat="1" ht="13.15" customHeight="1">
      <c r="A73" s="539"/>
      <c r="B73" s="539" t="s">
        <v>2061</v>
      </c>
      <c r="C73" s="336" t="s">
        <v>1465</v>
      </c>
      <c r="D73" s="1396"/>
      <c r="E73" s="349"/>
      <c r="F73" s="1392" t="s">
        <v>828</v>
      </c>
      <c r="H73" s="2682">
        <v>4</v>
      </c>
      <c r="K73" s="1446" t="s">
        <v>539</v>
      </c>
      <c r="L73" s="1446"/>
      <c r="N73" s="352">
        <f>IF('Part VI-Revenues &amp; Expenses'!$O$62=0,0,H73/'Part VI-Revenues &amp; Expenses'!$O$62)</f>
        <v>5.5555555555555552E-2</v>
      </c>
      <c r="O73" s="338" t="s">
        <v>4145</v>
      </c>
      <c r="P73" s="1344">
        <f>'DCA Underwriting Assumptions'!$Q$124</f>
        <v>0.05</v>
      </c>
    </row>
    <row r="74" spans="1:16" s="325" customFormat="1" ht="12.75" customHeight="1">
      <c r="A74" s="539"/>
      <c r="B74" s="539"/>
      <c r="D74" s="1392" t="s">
        <v>2978</v>
      </c>
      <c r="E74" s="1392"/>
      <c r="F74" s="1392" t="s">
        <v>828</v>
      </c>
      <c r="H74" s="2682">
        <v>2</v>
      </c>
      <c r="K74" s="1396" t="s">
        <v>2979</v>
      </c>
      <c r="L74" s="1396"/>
      <c r="N74" s="352">
        <f>IF(H73=0,0,H74/H73)</f>
        <v>0.5</v>
      </c>
      <c r="O74" s="338" t="s">
        <v>4145</v>
      </c>
      <c r="P74" s="1344">
        <f>'DCA Underwriting Assumptions'!$Q$125</f>
        <v>0.4</v>
      </c>
    </row>
    <row r="75" spans="1:16" s="325" customFormat="1" ht="3" customHeight="1">
      <c r="A75" s="539"/>
      <c r="B75" s="539"/>
      <c r="D75" s="1392"/>
      <c r="E75" s="1392"/>
      <c r="F75" s="1392"/>
      <c r="I75" s="1400"/>
      <c r="K75" s="1386"/>
      <c r="L75" s="1386"/>
      <c r="M75" s="1400"/>
      <c r="N75" s="1400"/>
      <c r="P75" s="1390"/>
    </row>
    <row r="76" spans="1:16" s="325" customFormat="1" ht="13.15" customHeight="1">
      <c r="A76" s="539"/>
      <c r="B76" s="539" t="s">
        <v>779</v>
      </c>
      <c r="C76" s="336" t="s">
        <v>1913</v>
      </c>
      <c r="D76" s="349"/>
      <c r="E76" s="349"/>
      <c r="F76" s="1392" t="s">
        <v>828</v>
      </c>
      <c r="H76" s="2682">
        <v>2</v>
      </c>
      <c r="K76" s="1446" t="s">
        <v>539</v>
      </c>
      <c r="L76" s="1446"/>
      <c r="N76" s="352">
        <f>IF('Part VI-Revenues &amp; Expenses'!$O$62=0,0,H76/'Part VI-Revenues &amp; Expenses'!$O$62)</f>
        <v>2.7777777777777776E-2</v>
      </c>
      <c r="O76" s="338" t="s">
        <v>4145</v>
      </c>
      <c r="P76" s="1344">
        <f>'DCA Underwriting Assumptions'!$Q$126</f>
        <v>0.02</v>
      </c>
    </row>
    <row r="77" spans="1:16" s="325" customFormat="1" ht="6.75" customHeight="1">
      <c r="A77" s="539"/>
      <c r="B77" s="539"/>
      <c r="D77" s="1392"/>
      <c r="E77" s="1392"/>
      <c r="F77" s="1392"/>
      <c r="G77" s="1392"/>
      <c r="I77" s="1400"/>
      <c r="J77" s="1400"/>
      <c r="K77" s="1400"/>
      <c r="L77" s="1400"/>
      <c r="M77" s="1400"/>
      <c r="N77" s="1396"/>
      <c r="P77" s="335"/>
    </row>
    <row r="78" spans="1:16" s="325" customFormat="1" ht="13.15" customHeight="1">
      <c r="A78" s="353" t="s">
        <v>803</v>
      </c>
      <c r="B78" s="1387" t="s">
        <v>2462</v>
      </c>
      <c r="D78" s="1392"/>
      <c r="E78" s="1392"/>
      <c r="F78" s="1392"/>
      <c r="G78" s="1392"/>
      <c r="H78" s="1392"/>
      <c r="I78" s="1400"/>
      <c r="M78" s="1400"/>
      <c r="N78" s="1396"/>
      <c r="P78" s="335"/>
    </row>
    <row r="79" spans="1:16" s="325" customFormat="1" ht="3" customHeight="1">
      <c r="A79" s="539"/>
      <c r="B79" s="539"/>
      <c r="C79" s="1387"/>
      <c r="D79" s="1392"/>
      <c r="E79" s="1392"/>
      <c r="F79" s="1392"/>
      <c r="L79" s="1400"/>
      <c r="M79" s="1400"/>
      <c r="N79" s="1396"/>
      <c r="P79" s="335"/>
    </row>
    <row r="80" spans="1:16" s="325" customFormat="1" ht="13.15" customHeight="1">
      <c r="A80" s="539"/>
      <c r="B80" s="539" t="s">
        <v>2058</v>
      </c>
      <c r="C80" s="296" t="s">
        <v>2461</v>
      </c>
      <c r="D80" s="1392"/>
      <c r="E80" s="1392"/>
      <c r="F80" s="1392"/>
      <c r="H80" s="2685" t="s">
        <v>902</v>
      </c>
      <c r="I80" s="2686"/>
      <c r="J80" s="2687"/>
      <c r="M80" s="1400"/>
      <c r="N80" s="1400"/>
      <c r="P80" s="335"/>
    </row>
    <row r="81" spans="1:16" s="325" customFormat="1" ht="3" customHeight="1">
      <c r="A81" s="539"/>
      <c r="B81" s="539"/>
      <c r="D81" s="1392"/>
      <c r="E81" s="1392"/>
      <c r="F81" s="1392"/>
      <c r="G81" s="1392"/>
      <c r="I81" s="1400"/>
      <c r="J81" s="1400"/>
      <c r="K81" s="1400"/>
      <c r="L81" s="1400"/>
      <c r="M81" s="1400"/>
      <c r="N81" s="1396"/>
      <c r="P81" s="335"/>
    </row>
    <row r="82" spans="1:16" s="325" customFormat="1" ht="13.15" customHeight="1">
      <c r="B82" s="539" t="s">
        <v>2061</v>
      </c>
      <c r="C82" s="327" t="s">
        <v>1591</v>
      </c>
      <c r="K82" s="330" t="s">
        <v>901</v>
      </c>
      <c r="N82" s="354"/>
      <c r="P82" s="2645" t="s">
        <v>3153</v>
      </c>
    </row>
    <row r="83" spans="1:16" s="325" customFormat="1" ht="6.75" customHeight="1">
      <c r="A83" s="539"/>
      <c r="B83" s="539"/>
      <c r="C83" s="327"/>
      <c r="D83" s="1392"/>
      <c r="E83" s="1392"/>
      <c r="F83" s="1392"/>
      <c r="G83" s="1392"/>
      <c r="I83" s="1400"/>
      <c r="J83" s="1400"/>
      <c r="K83" s="1400"/>
      <c r="L83" s="1400"/>
      <c r="M83" s="1400"/>
      <c r="N83" s="1396"/>
      <c r="P83" s="335"/>
    </row>
    <row r="84" spans="1:16" s="325" customFormat="1" ht="13.15" customHeight="1">
      <c r="A84" s="353" t="s">
        <v>305</v>
      </c>
      <c r="B84" s="1387" t="s">
        <v>2119</v>
      </c>
      <c r="D84" s="1392"/>
    </row>
    <row r="85" spans="1:16" s="325" customFormat="1" ht="3" customHeight="1">
      <c r="A85" s="539"/>
      <c r="B85" s="539"/>
      <c r="D85" s="1392"/>
      <c r="N85" s="1396"/>
      <c r="P85" s="335"/>
    </row>
    <row r="86" spans="1:16" s="325" customFormat="1" ht="13.15" customHeight="1">
      <c r="A86" s="353"/>
      <c r="B86" s="539" t="s">
        <v>2058</v>
      </c>
      <c r="C86" s="327" t="s">
        <v>2813</v>
      </c>
      <c r="F86" s="349" t="s">
        <v>2688</v>
      </c>
      <c r="H86" s="2645" t="s">
        <v>3156</v>
      </c>
      <c r="K86" s="349" t="s">
        <v>3654</v>
      </c>
      <c r="M86" s="2645" t="s">
        <v>3153</v>
      </c>
    </row>
    <row r="87" spans="1:16" s="325" customFormat="1" ht="3" customHeight="1">
      <c r="A87" s="539"/>
      <c r="B87" s="539"/>
      <c r="C87" s="1387"/>
      <c r="F87" s="1392"/>
      <c r="H87" s="1392"/>
      <c r="J87" s="1400"/>
      <c r="K87" s="1400"/>
      <c r="L87" s="1400"/>
      <c r="M87" s="1400"/>
      <c r="N87" s="1400"/>
      <c r="P87" s="335"/>
    </row>
    <row r="88" spans="1:16" s="325" customFormat="1" ht="13.15" customHeight="1">
      <c r="A88" s="353"/>
      <c r="B88" s="539" t="s">
        <v>2061</v>
      </c>
      <c r="C88" s="327" t="s">
        <v>2814</v>
      </c>
      <c r="F88" s="1386" t="s">
        <v>2773</v>
      </c>
      <c r="H88" s="2645" t="s">
        <v>3156</v>
      </c>
      <c r="J88" s="1400"/>
      <c r="K88" s="534" t="s">
        <v>2815</v>
      </c>
      <c r="L88" s="1400"/>
      <c r="M88" s="1400"/>
      <c r="N88" s="1400"/>
      <c r="O88" s="1400"/>
    </row>
    <row r="89" spans="1:16" s="325" customFormat="1" ht="6.75" customHeight="1">
      <c r="A89" s="539"/>
      <c r="B89" s="539"/>
      <c r="C89" s="327"/>
      <c r="D89" s="1392"/>
      <c r="E89" s="1392"/>
      <c r="F89" s="1392"/>
      <c r="G89" s="1392"/>
      <c r="I89" s="1400"/>
      <c r="J89" s="1400"/>
      <c r="K89" s="1400"/>
      <c r="L89" s="1400"/>
      <c r="M89" s="1400"/>
      <c r="N89" s="1396"/>
      <c r="P89" s="335"/>
    </row>
    <row r="90" spans="1:16" s="325" customFormat="1" ht="13.15" customHeight="1">
      <c r="A90" s="353" t="s">
        <v>440</v>
      </c>
      <c r="B90" s="1387" t="s">
        <v>2901</v>
      </c>
      <c r="D90" s="1392"/>
      <c r="H90" s="2649" t="s">
        <v>2687</v>
      </c>
      <c r="I90" s="2651"/>
      <c r="J90" s="1400"/>
    </row>
    <row r="91" spans="1:16" s="325" customFormat="1" ht="6.75" customHeight="1">
      <c r="A91" s="539"/>
      <c r="D91" s="342"/>
      <c r="E91" s="1396"/>
      <c r="I91" s="342"/>
      <c r="J91" s="334"/>
      <c r="K91" s="1396"/>
      <c r="P91" s="335"/>
    </row>
    <row r="92" spans="1:16" s="325" customFormat="1" ht="13.15" customHeight="1">
      <c r="A92" s="353" t="s">
        <v>376</v>
      </c>
      <c r="B92" s="347" t="s">
        <v>1232</v>
      </c>
      <c r="D92" s="1396"/>
      <c r="E92" s="1396"/>
      <c r="F92" s="1396"/>
      <c r="G92" s="1396"/>
      <c r="H92" s="1396"/>
      <c r="I92" s="342"/>
      <c r="J92" s="334"/>
      <c r="K92" s="1396"/>
      <c r="P92" s="335"/>
    </row>
    <row r="93" spans="1:16" s="325" customFormat="1" ht="3" customHeight="1">
      <c r="A93" s="353"/>
      <c r="B93" s="539"/>
      <c r="C93" s="347"/>
      <c r="D93" s="1396"/>
      <c r="E93" s="1396"/>
      <c r="F93" s="1396"/>
      <c r="G93" s="1396"/>
      <c r="H93" s="1396"/>
      <c r="I93" s="342"/>
      <c r="J93" s="334"/>
      <c r="K93" s="1396"/>
    </row>
    <row r="94" spans="1:16" s="325" customFormat="1" ht="13.15" customHeight="1">
      <c r="A94" s="539"/>
      <c r="B94" s="539"/>
      <c r="C94" s="334" t="s">
        <v>571</v>
      </c>
      <c r="D94" s="1396"/>
      <c r="E94" s="2631"/>
      <c r="F94" s="2632"/>
      <c r="G94" s="2632"/>
      <c r="H94" s="2632"/>
      <c r="I94" s="2632"/>
      <c r="J94" s="2632"/>
      <c r="K94" s="2632"/>
      <c r="L94" s="2633"/>
      <c r="M94" s="1445" t="s">
        <v>572</v>
      </c>
      <c r="N94" s="1445"/>
      <c r="O94" s="2688"/>
      <c r="P94" s="2689"/>
    </row>
    <row r="95" spans="1:16" s="325" customFormat="1" ht="13.15" customHeight="1">
      <c r="C95" s="330" t="s">
        <v>1058</v>
      </c>
      <c r="D95" s="338"/>
      <c r="E95" s="2631"/>
      <c r="F95" s="2632"/>
      <c r="G95" s="2632"/>
      <c r="H95" s="2632"/>
      <c r="I95" s="2632"/>
      <c r="J95" s="2632"/>
      <c r="K95" s="2632"/>
      <c r="L95" s="2633"/>
      <c r="M95" s="1445" t="s">
        <v>840</v>
      </c>
      <c r="N95" s="1445"/>
      <c r="O95" s="2690"/>
      <c r="P95" s="2691"/>
    </row>
    <row r="96" spans="1:16" s="325" customFormat="1" ht="13.15" customHeight="1">
      <c r="C96" s="330" t="s">
        <v>642</v>
      </c>
      <c r="E96" s="2631"/>
      <c r="F96" s="2692"/>
      <c r="G96" s="2693"/>
      <c r="H96" s="1390" t="s">
        <v>1865</v>
      </c>
      <c r="I96" s="2645"/>
      <c r="J96" s="355" t="s">
        <v>2308</v>
      </c>
      <c r="K96" s="2642"/>
      <c r="L96" s="2693"/>
      <c r="M96" s="299" t="s">
        <v>4097</v>
      </c>
      <c r="N96" s="299"/>
      <c r="O96" s="2694"/>
      <c r="P96" s="2695"/>
    </row>
    <row r="97" spans="1:16" s="325" customFormat="1" ht="13.15" customHeight="1">
      <c r="C97" s="325" t="s">
        <v>2273</v>
      </c>
      <c r="E97" s="2631"/>
      <c r="F97" s="2692"/>
      <c r="G97" s="2693"/>
      <c r="H97" s="1400" t="s">
        <v>2055</v>
      </c>
      <c r="I97" s="2631"/>
      <c r="J97" s="2692"/>
      <c r="K97" s="2693"/>
      <c r="L97" s="1407" t="s">
        <v>2059</v>
      </c>
      <c r="M97" s="2631"/>
      <c r="N97" s="2692"/>
      <c r="O97" s="2692"/>
      <c r="P97" s="2693"/>
    </row>
    <row r="98" spans="1:16" s="325" customFormat="1" ht="13.15" customHeight="1">
      <c r="C98" s="330" t="s">
        <v>2272</v>
      </c>
      <c r="E98" s="2639"/>
      <c r="F98" s="2644"/>
      <c r="G98" s="2640"/>
      <c r="H98" s="1400" t="s">
        <v>1868</v>
      </c>
      <c r="I98" s="2678"/>
      <c r="J98" s="2693"/>
      <c r="K98" s="355" t="s">
        <v>1869</v>
      </c>
      <c r="L98" s="2678"/>
      <c r="M98" s="2693"/>
      <c r="N98" s="355" t="s">
        <v>2054</v>
      </c>
      <c r="O98" s="2678"/>
      <c r="P98" s="2693"/>
    </row>
    <row r="99" spans="1:16" s="325" customFormat="1" ht="3" customHeight="1">
      <c r="A99" s="539"/>
      <c r="B99" s="539"/>
      <c r="G99" s="342"/>
      <c r="H99" s="1400"/>
      <c r="I99" s="1400"/>
      <c r="M99" s="335"/>
    </row>
    <row r="100" spans="1:16" s="325" customFormat="1" ht="13.15" customHeight="1">
      <c r="A100" s="353" t="s">
        <v>377</v>
      </c>
      <c r="B100" s="1387" t="s">
        <v>1728</v>
      </c>
      <c r="D100" s="342"/>
      <c r="E100" s="342"/>
      <c r="F100" s="1400"/>
      <c r="G100" s="1400"/>
      <c r="H100" s="1400"/>
      <c r="I100" s="1400"/>
      <c r="J100" s="342"/>
      <c r="K100" s="1400"/>
      <c r="L100" s="1400"/>
      <c r="N100" s="1396"/>
      <c r="O100" s="1396"/>
      <c r="P100" s="335"/>
    </row>
    <row r="101" spans="1:16" s="325" customFormat="1" ht="3.6" customHeight="1">
      <c r="A101" s="353"/>
      <c r="B101" s="1387"/>
      <c r="D101" s="342"/>
      <c r="E101" s="342"/>
      <c r="F101" s="1400"/>
      <c r="G101" s="1400"/>
      <c r="H101" s="1400"/>
      <c r="I101" s="1400"/>
      <c r="J101" s="342"/>
      <c r="K101" s="1400"/>
      <c r="L101" s="1400"/>
      <c r="N101" s="1396"/>
      <c r="O101" s="1396"/>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87" t="s">
        <v>1466</v>
      </c>
      <c r="D104" s="1392"/>
      <c r="E104" s="1392"/>
      <c r="F104" s="1400"/>
      <c r="G104" s="1400"/>
      <c r="H104" s="2696">
        <v>2</v>
      </c>
      <c r="N104" s="1396"/>
      <c r="O104" s="1396"/>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87" t="s">
        <v>430</v>
      </c>
      <c r="D106" s="1392"/>
      <c r="E106" s="1392"/>
      <c r="F106" s="1400"/>
      <c r="G106" s="1400"/>
      <c r="H106" s="2697">
        <f>669894+692104</f>
        <v>1361998</v>
      </c>
      <c r="J106" s="342"/>
      <c r="K106" s="1386"/>
      <c r="N106" s="1396"/>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7" t="s">
        <v>315</v>
      </c>
      <c r="D108" s="1392"/>
      <c r="E108" s="1392"/>
      <c r="F108" s="1400"/>
      <c r="G108" s="1400"/>
      <c r="H108" s="1400"/>
      <c r="I108" s="1400"/>
      <c r="J108" s="342"/>
      <c r="K108" s="1400"/>
      <c r="L108" s="1400"/>
      <c r="N108" s="1396"/>
      <c r="O108" s="1396"/>
    </row>
    <row r="109" spans="1:16" s="325" customFormat="1" ht="13.15" customHeight="1">
      <c r="B109" s="539"/>
      <c r="C109" s="1392" t="s">
        <v>2213</v>
      </c>
      <c r="D109" s="1392"/>
      <c r="F109" s="1392" t="s">
        <v>1175</v>
      </c>
      <c r="G109" s="1400"/>
      <c r="H109" s="1400"/>
      <c r="I109" s="1400" t="s">
        <v>1343</v>
      </c>
      <c r="J109" s="1392" t="s">
        <v>2213</v>
      </c>
      <c r="K109" s="1392"/>
      <c r="M109" s="1392" t="s">
        <v>1175</v>
      </c>
      <c r="N109" s="1400"/>
      <c r="O109" s="1400"/>
      <c r="P109" s="1400" t="s">
        <v>1343</v>
      </c>
    </row>
    <row r="110" spans="1:16" s="325" customFormat="1" ht="13.15" customHeight="1">
      <c r="A110" s="539"/>
      <c r="B110" s="539"/>
      <c r="C110" s="2698" t="s">
        <v>4219</v>
      </c>
      <c r="D110" s="2699"/>
      <c r="E110" s="2699"/>
      <c r="F110" s="2700" t="s">
        <v>4208</v>
      </c>
      <c r="G110" s="2701"/>
      <c r="H110" s="2702"/>
      <c r="I110" s="2703" t="s">
        <v>4225</v>
      </c>
      <c r="J110" s="2704">
        <v>7</v>
      </c>
      <c r="K110" s="2705"/>
      <c r="L110" s="2705"/>
      <c r="M110" s="2706"/>
      <c r="N110" s="2707"/>
      <c r="O110" s="2708"/>
      <c r="P110" s="2703"/>
    </row>
    <row r="111" spans="1:16" s="325" customFormat="1" ht="13.15" customHeight="1">
      <c r="A111" s="539"/>
      <c r="B111" s="539"/>
      <c r="C111" s="2709" t="s">
        <v>4220</v>
      </c>
      <c r="D111" s="2710"/>
      <c r="E111" s="2710"/>
      <c r="F111" s="2711" t="s">
        <v>4208</v>
      </c>
      <c r="G111" s="2712"/>
      <c r="H111" s="2713"/>
      <c r="I111" s="2714" t="s">
        <v>4225</v>
      </c>
      <c r="J111" s="2715">
        <v>8</v>
      </c>
      <c r="K111" s="2716"/>
      <c r="L111" s="2716"/>
      <c r="M111" s="2717"/>
      <c r="N111" s="2718"/>
      <c r="O111" s="2719"/>
      <c r="P111" s="2714"/>
    </row>
    <row r="112" spans="1:16" s="325" customFormat="1" ht="13.15" customHeight="1">
      <c r="A112" s="539"/>
      <c r="B112" s="539"/>
      <c r="C112" s="2709" t="s">
        <v>4221</v>
      </c>
      <c r="D112" s="2710"/>
      <c r="E112" s="2710"/>
      <c r="F112" s="2711" t="s">
        <v>4208</v>
      </c>
      <c r="G112" s="2712"/>
      <c r="H112" s="2713"/>
      <c r="I112" s="2714" t="s">
        <v>4226</v>
      </c>
      <c r="J112" s="2715">
        <v>9</v>
      </c>
      <c r="K112" s="2716"/>
      <c r="L112" s="2716"/>
      <c r="M112" s="2717"/>
      <c r="N112" s="2718"/>
      <c r="O112" s="2719"/>
      <c r="P112" s="2714"/>
    </row>
    <row r="113" spans="1:16" s="325" customFormat="1" ht="13.15" customHeight="1">
      <c r="A113" s="539"/>
      <c r="B113" s="539"/>
      <c r="C113" s="2709" t="s">
        <v>4222</v>
      </c>
      <c r="D113" s="2710"/>
      <c r="E113" s="2710"/>
      <c r="F113" s="2711" t="s">
        <v>4208</v>
      </c>
      <c r="G113" s="2712"/>
      <c r="H113" s="2713"/>
      <c r="I113" s="2714" t="s">
        <v>4226</v>
      </c>
      <c r="J113" s="2715">
        <v>10</v>
      </c>
      <c r="K113" s="2716"/>
      <c r="L113" s="2716"/>
      <c r="M113" s="2717"/>
      <c r="N113" s="2718"/>
      <c r="O113" s="2719"/>
      <c r="P113" s="2714"/>
    </row>
    <row r="114" spans="1:16" s="325" customFormat="1" ht="13.15" customHeight="1">
      <c r="A114" s="539"/>
      <c r="B114" s="539"/>
      <c r="C114" s="2709" t="s">
        <v>4223</v>
      </c>
      <c r="D114" s="2710"/>
      <c r="E114" s="2710"/>
      <c r="F114" s="2711" t="s">
        <v>4208</v>
      </c>
      <c r="G114" s="2712"/>
      <c r="H114" s="2713"/>
      <c r="I114" s="2714" t="s">
        <v>4226</v>
      </c>
      <c r="J114" s="2715">
        <v>11</v>
      </c>
      <c r="K114" s="2716"/>
      <c r="L114" s="2716"/>
      <c r="M114" s="2717"/>
      <c r="N114" s="2718"/>
      <c r="O114" s="2719"/>
      <c r="P114" s="2714"/>
    </row>
    <row r="115" spans="1:16" s="325" customFormat="1" ht="13.15" customHeight="1">
      <c r="A115" s="539"/>
      <c r="B115" s="539"/>
      <c r="C115" s="2720" t="s">
        <v>4224</v>
      </c>
      <c r="D115" s="2721"/>
      <c r="E115" s="2721"/>
      <c r="F115" s="2722" t="s">
        <v>4208</v>
      </c>
      <c r="G115" s="2723"/>
      <c r="H115" s="2724"/>
      <c r="I115" s="2725" t="s">
        <v>4227</v>
      </c>
      <c r="J115" s="2726">
        <v>12</v>
      </c>
      <c r="K115" s="2727"/>
      <c r="L115" s="2727"/>
      <c r="M115" s="2728"/>
      <c r="N115" s="2729"/>
      <c r="O115" s="2730"/>
      <c r="P115" s="2725"/>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71" t="s">
        <v>1917</v>
      </c>
      <c r="D117" s="1471"/>
      <c r="E117" s="1471"/>
      <c r="F117" s="1471"/>
      <c r="G117" s="1471"/>
      <c r="H117" s="1471"/>
      <c r="I117" s="1471"/>
      <c r="J117" s="1471"/>
      <c r="K117" s="1471"/>
      <c r="L117" s="1471"/>
      <c r="M117" s="1471"/>
      <c r="N117" s="1471"/>
      <c r="O117" s="1471"/>
      <c r="P117" s="1471"/>
    </row>
    <row r="118" spans="1:16" s="325" customFormat="1" ht="13.15" customHeight="1">
      <c r="A118" s="539"/>
      <c r="B118" s="539"/>
      <c r="C118" s="1471"/>
      <c r="D118" s="1471"/>
      <c r="E118" s="1471"/>
      <c r="F118" s="1471"/>
      <c r="G118" s="1471"/>
      <c r="H118" s="1471"/>
      <c r="I118" s="1471"/>
      <c r="J118" s="1471"/>
      <c r="K118" s="1471"/>
      <c r="L118" s="1471"/>
      <c r="M118" s="1471"/>
      <c r="N118" s="1471"/>
      <c r="O118" s="1471"/>
      <c r="P118" s="1471"/>
    </row>
    <row r="119" spans="1:16" s="325" customFormat="1" ht="13.15" customHeight="1">
      <c r="B119" s="539"/>
      <c r="C119" s="1392" t="s">
        <v>2213</v>
      </c>
      <c r="D119" s="1392"/>
      <c r="F119" s="1392" t="s">
        <v>1175</v>
      </c>
      <c r="G119" s="1400"/>
      <c r="H119" s="1400"/>
      <c r="I119" s="1400"/>
      <c r="J119" s="1392" t="s">
        <v>2213</v>
      </c>
      <c r="K119" s="1392"/>
      <c r="M119" s="1392" t="s">
        <v>1175</v>
      </c>
      <c r="N119" s="1400"/>
      <c r="O119" s="1400"/>
      <c r="P119" s="1400"/>
    </row>
    <row r="120" spans="1:16" s="325" customFormat="1" ht="13.15" customHeight="1">
      <c r="A120" s="539"/>
      <c r="B120" s="539"/>
      <c r="C120" s="2704" t="s">
        <v>4377</v>
      </c>
      <c r="D120" s="2705"/>
      <c r="E120" s="2705"/>
      <c r="F120" s="2706" t="s">
        <v>4372</v>
      </c>
      <c r="G120" s="2707"/>
      <c r="H120" s="2707"/>
      <c r="I120" s="2731"/>
      <c r="J120" s="2704">
        <v>7</v>
      </c>
      <c r="K120" s="2705"/>
      <c r="L120" s="2705"/>
      <c r="M120" s="2706"/>
      <c r="N120" s="2707"/>
      <c r="O120" s="2707"/>
      <c r="P120" s="2731"/>
    </row>
    <row r="121" spans="1:16" s="325" customFormat="1" ht="13.15" customHeight="1">
      <c r="A121" s="539"/>
      <c r="B121" s="539"/>
      <c r="C121" s="2715" t="s">
        <v>4373</v>
      </c>
      <c r="D121" s="2716"/>
      <c r="E121" s="2716"/>
      <c r="F121" s="2717" t="s">
        <v>4372</v>
      </c>
      <c r="G121" s="2718"/>
      <c r="H121" s="2718"/>
      <c r="I121" s="2732"/>
      <c r="J121" s="2715">
        <v>8</v>
      </c>
      <c r="K121" s="2716"/>
      <c r="L121" s="2716"/>
      <c r="M121" s="2717"/>
      <c r="N121" s="2718"/>
      <c r="O121" s="2718"/>
      <c r="P121" s="2732"/>
    </row>
    <row r="122" spans="1:16" s="325" customFormat="1" ht="13.15" customHeight="1">
      <c r="A122" s="539"/>
      <c r="B122" s="539"/>
      <c r="C122" s="2715" t="s">
        <v>4374</v>
      </c>
      <c r="D122" s="2716"/>
      <c r="E122" s="2716"/>
      <c r="F122" s="2717" t="s">
        <v>4372</v>
      </c>
      <c r="G122" s="2718"/>
      <c r="H122" s="2718"/>
      <c r="I122" s="2732"/>
      <c r="J122" s="2715">
        <v>9</v>
      </c>
      <c r="K122" s="2716"/>
      <c r="L122" s="2716"/>
      <c r="M122" s="2717"/>
      <c r="N122" s="2718"/>
      <c r="O122" s="2718"/>
      <c r="P122" s="2732"/>
    </row>
    <row r="123" spans="1:16" s="325" customFormat="1" ht="13.15" customHeight="1">
      <c r="A123" s="539"/>
      <c r="B123" s="539"/>
      <c r="C123" s="2715" t="s">
        <v>4375</v>
      </c>
      <c r="D123" s="2716"/>
      <c r="E123" s="2716"/>
      <c r="F123" s="2717" t="s">
        <v>4372</v>
      </c>
      <c r="G123" s="2718"/>
      <c r="H123" s="2718"/>
      <c r="I123" s="2732"/>
      <c r="J123" s="2715">
        <v>10</v>
      </c>
      <c r="K123" s="2716"/>
      <c r="L123" s="2716"/>
      <c r="M123" s="2717"/>
      <c r="N123" s="2718"/>
      <c r="O123" s="2718"/>
      <c r="P123" s="2732"/>
    </row>
    <row r="124" spans="1:16" s="325" customFormat="1" ht="13.15" customHeight="1">
      <c r="A124" s="539"/>
      <c r="B124" s="539"/>
      <c r="C124" s="2715" t="s">
        <v>4376</v>
      </c>
      <c r="D124" s="2716"/>
      <c r="E124" s="2716"/>
      <c r="F124" s="2717" t="s">
        <v>4372</v>
      </c>
      <c r="G124" s="2718"/>
      <c r="H124" s="2718"/>
      <c r="I124" s="2732"/>
      <c r="J124" s="2715">
        <v>11</v>
      </c>
      <c r="K124" s="2716"/>
      <c r="L124" s="2716"/>
      <c r="M124" s="2717"/>
      <c r="N124" s="2718"/>
      <c r="O124" s="2718"/>
      <c r="P124" s="2732"/>
    </row>
    <row r="125" spans="1:16" s="325" customFormat="1" ht="13.15" customHeight="1">
      <c r="A125" s="539"/>
      <c r="B125" s="539"/>
      <c r="C125" s="2726">
        <v>6</v>
      </c>
      <c r="D125" s="2727"/>
      <c r="E125" s="2727"/>
      <c r="F125" s="2728"/>
      <c r="G125" s="2729"/>
      <c r="H125" s="2729"/>
      <c r="I125" s="2733"/>
      <c r="J125" s="2726">
        <v>12</v>
      </c>
      <c r="K125" s="2727"/>
      <c r="L125" s="2727"/>
      <c r="M125" s="2728"/>
      <c r="N125" s="2729"/>
      <c r="O125" s="2729"/>
      <c r="P125" s="2733"/>
    </row>
    <row r="126" spans="1:16" s="325" customFormat="1" ht="6.6" customHeight="1">
      <c r="A126" s="539"/>
      <c r="B126" s="539"/>
      <c r="C126" s="1392"/>
      <c r="D126" s="1392"/>
      <c r="E126" s="1392"/>
      <c r="F126" s="1400"/>
      <c r="G126" s="1400"/>
      <c r="H126" s="1400"/>
      <c r="I126" s="1400"/>
      <c r="J126" s="342"/>
      <c r="K126" s="1400"/>
      <c r="L126" s="1400"/>
      <c r="N126" s="1396"/>
      <c r="O126" s="1396"/>
      <c r="P126" s="335"/>
    </row>
    <row r="127" spans="1:16" s="325" customFormat="1" ht="13.15" customHeight="1">
      <c r="A127" s="353" t="s">
        <v>378</v>
      </c>
      <c r="B127" s="350" t="s">
        <v>2503</v>
      </c>
      <c r="D127" s="350"/>
      <c r="E127" s="350"/>
      <c r="F127" s="350"/>
      <c r="H127" s="2645" t="s">
        <v>3156</v>
      </c>
      <c r="M127" s="1400"/>
      <c r="N127" s="1396"/>
      <c r="O127" s="1396"/>
      <c r="P127" s="335"/>
    </row>
    <row r="128" spans="1:16" s="325" customFormat="1" ht="3" customHeight="1">
      <c r="A128" s="353"/>
      <c r="B128" s="539"/>
      <c r="C128" s="1387"/>
      <c r="D128" s="1387"/>
      <c r="E128" s="1387"/>
      <c r="F128" s="1387"/>
      <c r="G128" s="1400"/>
      <c r="M128" s="1400"/>
      <c r="N128" s="1396"/>
      <c r="O128" s="1396"/>
    </row>
    <row r="129" spans="1:16" s="325" customFormat="1" ht="13.15" customHeight="1">
      <c r="A129" s="539"/>
      <c r="B129" s="539" t="s">
        <v>2058</v>
      </c>
      <c r="C129" s="331" t="s">
        <v>1777</v>
      </c>
      <c r="H129" s="2645" t="s">
        <v>3156</v>
      </c>
      <c r="M129" s="1400"/>
      <c r="N129" s="1396"/>
      <c r="O129" s="1396"/>
      <c r="P129" s="335"/>
    </row>
    <row r="130" spans="1:16" s="325" customFormat="1" ht="13.15" customHeight="1">
      <c r="A130" s="539"/>
      <c r="B130" s="539"/>
      <c r="C130" s="1392" t="s">
        <v>2505</v>
      </c>
      <c r="D130" s="1392"/>
      <c r="E130" s="1392"/>
      <c r="F130" s="1400"/>
      <c r="H130" s="2734"/>
      <c r="N130" s="1396"/>
      <c r="O130" s="1396"/>
      <c r="P130" s="335"/>
    </row>
    <row r="131" spans="1:16" s="325" customFormat="1" ht="13.15" customHeight="1">
      <c r="A131" s="539"/>
      <c r="B131" s="539"/>
      <c r="C131" s="358" t="s">
        <v>1776</v>
      </c>
      <c r="D131" s="330"/>
      <c r="H131" s="2631"/>
      <c r="I131" s="2633"/>
      <c r="P131" s="335"/>
    </row>
    <row r="132" spans="1:16" s="325" customFormat="1" ht="13.15" customHeight="1">
      <c r="A132" s="539"/>
      <c r="B132" s="539"/>
      <c r="C132" s="1392" t="s">
        <v>2506</v>
      </c>
      <c r="D132" s="1392"/>
      <c r="E132" s="1392"/>
      <c r="F132" s="1400"/>
      <c r="H132" s="2734"/>
      <c r="K132" s="299" t="s">
        <v>2325</v>
      </c>
      <c r="O132" s="2631" t="s">
        <v>502</v>
      </c>
      <c r="P132" s="2633"/>
    </row>
    <row r="133" spans="1:16" s="325" customFormat="1" ht="13.15" customHeight="1">
      <c r="A133" s="539"/>
      <c r="B133" s="539"/>
      <c r="C133" s="1392" t="s">
        <v>2504</v>
      </c>
      <c r="F133" s="1400"/>
      <c r="H133" s="2696" t="s">
        <v>3156</v>
      </c>
      <c r="K133" s="299" t="s">
        <v>2326</v>
      </c>
      <c r="O133" s="2631" t="s">
        <v>502</v>
      </c>
      <c r="P133" s="2633"/>
    </row>
    <row r="134" spans="1:16" s="325" customFormat="1" ht="13.15" customHeight="1">
      <c r="A134" s="539"/>
      <c r="B134" s="539"/>
      <c r="C134" s="1392" t="s">
        <v>2244</v>
      </c>
      <c r="D134" s="1392"/>
      <c r="E134" s="1392"/>
      <c r="F134" s="1400"/>
      <c r="H134" s="2688"/>
      <c r="I134" s="2689"/>
      <c r="N134" s="1396"/>
      <c r="O134" s="1396"/>
      <c r="P134" s="335"/>
    </row>
    <row r="135" spans="1:16" s="325" customFormat="1" ht="3" customHeight="1">
      <c r="A135" s="539"/>
      <c r="B135" s="539"/>
      <c r="C135" s="1392"/>
      <c r="D135" s="1392"/>
      <c r="E135" s="1392"/>
      <c r="F135" s="1400"/>
      <c r="N135" s="1396"/>
      <c r="O135" s="1396"/>
      <c r="P135" s="335"/>
    </row>
    <row r="136" spans="1:16" s="325" customFormat="1" ht="13.15" customHeight="1">
      <c r="A136" s="539"/>
      <c r="B136" s="539" t="s">
        <v>2061</v>
      </c>
      <c r="C136" s="1387" t="s">
        <v>2576</v>
      </c>
      <c r="D136" s="1392"/>
      <c r="E136" s="1392"/>
      <c r="F136" s="1400"/>
      <c r="H136" s="2696" t="s">
        <v>3156</v>
      </c>
      <c r="N136" s="1396"/>
      <c r="O136" s="1396"/>
      <c r="P136" s="335"/>
    </row>
    <row r="137" spans="1:16" s="325" customFormat="1" ht="3" customHeight="1">
      <c r="A137" s="539"/>
      <c r="B137" s="539"/>
      <c r="C137" s="1392"/>
      <c r="D137" s="1392"/>
      <c r="E137" s="1392"/>
      <c r="F137" s="1400"/>
      <c r="G137" s="1400"/>
      <c r="M137" s="1400"/>
      <c r="N137" s="1396"/>
      <c r="O137" s="1396"/>
      <c r="P137" s="335"/>
    </row>
    <row r="138" spans="1:16" s="325" customFormat="1" ht="13.15" customHeight="1">
      <c r="A138" s="539"/>
      <c r="B138" s="539" t="s">
        <v>779</v>
      </c>
      <c r="C138" s="1387" t="s">
        <v>2805</v>
      </c>
      <c r="D138" s="1392"/>
      <c r="E138" s="1392"/>
      <c r="F138" s="1400"/>
      <c r="G138" s="1400"/>
      <c r="N138" s="1396"/>
      <c r="O138" s="1396"/>
      <c r="P138" s="335"/>
    </row>
    <row r="139" spans="1:16" s="325" customFormat="1" ht="13.15" customHeight="1">
      <c r="A139" s="539"/>
      <c r="B139" s="539"/>
      <c r="C139" s="1392" t="s">
        <v>748</v>
      </c>
      <c r="D139" s="1392"/>
      <c r="E139" s="1392"/>
      <c r="F139" s="1400"/>
      <c r="G139" s="1400"/>
      <c r="H139" s="2696" t="s">
        <v>3156</v>
      </c>
      <c r="K139" s="1392" t="s">
        <v>1592</v>
      </c>
      <c r="L139" s="1392"/>
      <c r="M139" s="1400"/>
      <c r="N139" s="1400"/>
      <c r="O139" s="2696" t="s">
        <v>3156</v>
      </c>
      <c r="P139" s="335"/>
    </row>
    <row r="140" spans="1:16" s="325" customFormat="1" ht="6" customHeight="1">
      <c r="A140" s="539"/>
      <c r="B140" s="539"/>
      <c r="C140" s="1392"/>
      <c r="D140" s="1392"/>
      <c r="E140" s="1392"/>
      <c r="F140" s="1400"/>
      <c r="G140" s="1400"/>
      <c r="H140" s="1400"/>
      <c r="I140" s="1400"/>
      <c r="J140" s="342"/>
      <c r="K140" s="1400"/>
      <c r="L140" s="1400"/>
      <c r="N140" s="1396"/>
      <c r="O140" s="1396"/>
      <c r="P140" s="335"/>
    </row>
    <row r="141" spans="1:16" s="325" customFormat="1" ht="13.15" customHeight="1">
      <c r="A141" s="353" t="s">
        <v>1792</v>
      </c>
      <c r="B141" s="350" t="s">
        <v>1233</v>
      </c>
      <c r="D141" s="350"/>
      <c r="E141" s="350"/>
      <c r="F141" s="350"/>
      <c r="G141" s="1400"/>
      <c r="H141" s="1400"/>
      <c r="I141" s="1400"/>
      <c r="J141" s="342"/>
      <c r="K141" s="1400"/>
      <c r="L141" s="1400"/>
      <c r="N141" s="1396"/>
      <c r="O141" s="1396"/>
      <c r="P141" s="335"/>
    </row>
    <row r="142" spans="1:16" s="325" customFormat="1" ht="1.9" customHeight="1">
      <c r="A142" s="353"/>
      <c r="B142" s="539"/>
      <c r="C142" s="1387"/>
      <c r="D142" s="1387"/>
      <c r="E142" s="1387"/>
      <c r="F142" s="1387"/>
      <c r="G142" s="1400"/>
      <c r="H142" s="1400"/>
      <c r="I142" s="1400"/>
      <c r="J142" s="342"/>
      <c r="K142" s="1400"/>
      <c r="L142" s="1400"/>
      <c r="N142" s="1396"/>
      <c r="O142" s="1396"/>
    </row>
    <row r="143" spans="1:16" s="325" customFormat="1" ht="13.15" customHeight="1">
      <c r="A143" s="539"/>
      <c r="B143" s="539" t="s">
        <v>2058</v>
      </c>
      <c r="C143" s="341" t="s">
        <v>1891</v>
      </c>
      <c r="F143" s="1400"/>
      <c r="G143" s="1400"/>
      <c r="H143" s="1400"/>
      <c r="I143" s="1400"/>
      <c r="J143" s="342"/>
      <c r="K143" s="1400"/>
      <c r="L143" s="1400"/>
      <c r="N143" s="1396"/>
      <c r="O143" s="1396"/>
      <c r="P143" s="335"/>
    </row>
    <row r="144" spans="1:16" s="325" customFormat="1" ht="12.6" customHeight="1">
      <c r="A144" s="539"/>
      <c r="B144" s="539"/>
      <c r="C144" s="349" t="s">
        <v>1584</v>
      </c>
      <c r="D144" s="342"/>
      <c r="E144" s="342"/>
      <c r="F144" s="1400"/>
      <c r="G144" s="1400"/>
      <c r="H144" s="1400"/>
      <c r="I144" s="1400"/>
      <c r="K144" s="2696" t="s">
        <v>3156</v>
      </c>
      <c r="N144" s="1396"/>
      <c r="O144" s="1396"/>
      <c r="P144" s="335"/>
    </row>
    <row r="145" spans="1:16" s="325" customFormat="1" ht="12.6" customHeight="1">
      <c r="A145" s="539"/>
      <c r="B145" s="539"/>
      <c r="C145" s="325" t="s">
        <v>639</v>
      </c>
      <c r="K145" s="2682"/>
      <c r="L145" s="330" t="s">
        <v>1861</v>
      </c>
      <c r="P145" s="359">
        <f>IF('Part VI-Revenues &amp; Expenses'!O$60=0,0,K145/'Part VI-Revenues &amp; Expenses'!$O$60)</f>
        <v>0</v>
      </c>
    </row>
    <row r="146" spans="1:16" s="325" customFormat="1" ht="12.6" customHeight="1">
      <c r="A146" s="539"/>
      <c r="B146" s="539"/>
      <c r="C146" s="325" t="s">
        <v>2245</v>
      </c>
      <c r="K146" s="2682"/>
      <c r="L146" s="330" t="s">
        <v>1861</v>
      </c>
      <c r="P146" s="359">
        <f>IF('Part VI-Revenues &amp; Expenses'!O$60=0,0,K146/'Part VI-Revenues &amp; Expenses'!$O$60)</f>
        <v>0</v>
      </c>
    </row>
    <row r="147" spans="1:16" s="325" customFormat="1" ht="12.6" customHeight="1">
      <c r="A147" s="539"/>
      <c r="B147" s="539"/>
      <c r="C147" s="325" t="s">
        <v>1862</v>
      </c>
      <c r="E147" s="2631"/>
      <c r="F147" s="2632"/>
      <c r="G147" s="2632"/>
      <c r="H147" s="2632"/>
      <c r="I147" s="2632"/>
      <c r="J147" s="2632"/>
      <c r="K147" s="2633"/>
      <c r="L147" s="360" t="s">
        <v>1863</v>
      </c>
      <c r="M147" s="2631"/>
      <c r="N147" s="2632"/>
      <c r="O147" s="2632"/>
      <c r="P147" s="2633"/>
    </row>
    <row r="148" spans="1:16" s="325" customFormat="1" ht="12.6" customHeight="1">
      <c r="A148" s="539"/>
      <c r="B148" s="539"/>
      <c r="C148" s="330" t="s">
        <v>1864</v>
      </c>
      <c r="D148" s="338"/>
      <c r="E148" s="2631"/>
      <c r="F148" s="2632"/>
      <c r="G148" s="2632"/>
      <c r="H148" s="2632"/>
      <c r="I148" s="2632"/>
      <c r="J148" s="2632"/>
      <c r="K148" s="2735"/>
      <c r="L148" s="360" t="s">
        <v>1869</v>
      </c>
      <c r="M148" s="2639"/>
      <c r="N148" s="2644"/>
      <c r="O148" s="2640"/>
    </row>
    <row r="149" spans="1:16" s="325" customFormat="1" ht="12.6" customHeight="1">
      <c r="A149" s="539"/>
      <c r="B149" s="539"/>
      <c r="C149" s="330" t="s">
        <v>642</v>
      </c>
      <c r="E149" s="2631"/>
      <c r="F149" s="2632"/>
      <c r="G149" s="2632"/>
      <c r="H149" s="2633"/>
      <c r="I149" s="355" t="s">
        <v>2308</v>
      </c>
      <c r="J149" s="2736"/>
      <c r="K149" s="2737"/>
      <c r="L149" s="361" t="s">
        <v>2054</v>
      </c>
      <c r="M149" s="2738"/>
      <c r="N149" s="2739"/>
      <c r="O149" s="2740"/>
    </row>
    <row r="150" spans="1:16" s="325" customFormat="1" ht="12.6" customHeight="1">
      <c r="A150" s="539"/>
      <c r="B150" s="539"/>
      <c r="C150" s="330" t="s">
        <v>1867</v>
      </c>
      <c r="E150" s="2639"/>
      <c r="F150" s="2644"/>
      <c r="G150" s="2640"/>
      <c r="H150" s="1389"/>
      <c r="I150" s="1391" t="s">
        <v>1866</v>
      </c>
      <c r="J150" s="2646"/>
      <c r="K150" s="2647"/>
      <c r="L150" s="2647"/>
      <c r="M150" s="2647"/>
      <c r="N150" s="2647"/>
      <c r="O150" s="2647"/>
      <c r="P150" s="2648"/>
    </row>
    <row r="151" spans="1:16" s="325" customFormat="1" ht="6" customHeight="1">
      <c r="A151" s="539"/>
      <c r="B151" s="539"/>
      <c r="C151" s="330"/>
      <c r="E151" s="362"/>
      <c r="F151" s="362"/>
      <c r="G151" s="362"/>
      <c r="H151" s="1400"/>
      <c r="I151" s="362"/>
      <c r="J151" s="362"/>
      <c r="K151" s="1400"/>
      <c r="L151" s="362"/>
      <c r="M151" s="362"/>
      <c r="N151" s="1400"/>
      <c r="O151" s="362"/>
      <c r="P151" s="362"/>
    </row>
    <row r="152" spans="1:16" s="325" customFormat="1" ht="12.6" customHeight="1">
      <c r="A152" s="539"/>
      <c r="B152" s="539" t="s">
        <v>2061</v>
      </c>
      <c r="C152" s="1387" t="s">
        <v>2806</v>
      </c>
      <c r="D152" s="1387"/>
      <c r="E152" s="1387"/>
      <c r="F152" s="1387"/>
      <c r="G152" s="1387"/>
      <c r="I152" s="2696" t="s">
        <v>3156</v>
      </c>
      <c r="J152" s="1451" t="s">
        <v>792</v>
      </c>
      <c r="K152" s="1452"/>
      <c r="L152" s="2696"/>
      <c r="M152" s="1448" t="s">
        <v>2406</v>
      </c>
      <c r="N152" s="1449"/>
      <c r="O152" s="1450"/>
      <c r="P152" s="2734"/>
    </row>
    <row r="153" spans="1:16" s="325" customFormat="1" ht="6" customHeight="1">
      <c r="A153" s="539"/>
      <c r="B153" s="539"/>
      <c r="C153" s="1387"/>
      <c r="D153" s="1387"/>
      <c r="E153" s="327"/>
      <c r="F153" s="1387"/>
      <c r="G153" s="1387"/>
      <c r="J153" s="334"/>
      <c r="K153" s="363"/>
      <c r="M153" s="1396"/>
      <c r="O153" s="1400"/>
      <c r="P153" s="335"/>
    </row>
    <row r="154" spans="1:16" s="325" customFormat="1" ht="12.6" customHeight="1">
      <c r="A154" s="539"/>
      <c r="B154" s="539"/>
      <c r="C154" s="1387" t="s">
        <v>2807</v>
      </c>
      <c r="D154" s="1387"/>
      <c r="E154" s="1387"/>
      <c r="F154" s="1387"/>
      <c r="G154" s="1387"/>
      <c r="I154" s="2696" t="s">
        <v>3153</v>
      </c>
      <c r="J154" s="1451" t="s">
        <v>792</v>
      </c>
      <c r="K154" s="1452"/>
      <c r="L154" s="2696">
        <v>2043</v>
      </c>
      <c r="M154" s="1448" t="s">
        <v>2406</v>
      </c>
      <c r="N154" s="1449"/>
      <c r="O154" s="1450"/>
      <c r="P154" s="2734">
        <v>5</v>
      </c>
    </row>
    <row r="155" spans="1:16" s="325" customFormat="1" ht="6" customHeight="1">
      <c r="A155" s="539"/>
      <c r="B155" s="539"/>
      <c r="C155" s="1387"/>
      <c r="D155" s="1387"/>
      <c r="E155" s="327"/>
      <c r="F155" s="1387"/>
      <c r="G155" s="1387"/>
      <c r="J155" s="334"/>
      <c r="K155" s="363"/>
      <c r="M155" s="1396"/>
      <c r="O155" s="1400"/>
      <c r="P155" s="335"/>
    </row>
    <row r="156" spans="1:16" s="325" customFormat="1" ht="12.6" customHeight="1">
      <c r="A156" s="539"/>
      <c r="B156" s="539" t="s">
        <v>779</v>
      </c>
      <c r="C156" s="1387" t="s">
        <v>1823</v>
      </c>
      <c r="D156" s="1387"/>
      <c r="E156" s="1387"/>
      <c r="F156" s="1387"/>
      <c r="G156" s="1387"/>
      <c r="I156" s="2696" t="s">
        <v>3156</v>
      </c>
      <c r="L156" s="299"/>
      <c r="M156" s="299"/>
      <c r="P156" s="335"/>
    </row>
    <row r="157" spans="1:16" s="325" customFormat="1" ht="6" customHeight="1">
      <c r="A157" s="539"/>
      <c r="B157" s="539"/>
      <c r="C157" s="330"/>
      <c r="E157" s="362"/>
      <c r="F157" s="362"/>
      <c r="G157" s="362"/>
      <c r="I157" s="362"/>
      <c r="J157" s="362"/>
      <c r="K157" s="1400"/>
      <c r="L157" s="362"/>
      <c r="M157" s="362"/>
      <c r="N157" s="1400"/>
      <c r="O157" s="362"/>
      <c r="P157" s="362"/>
    </row>
    <row r="158" spans="1:16" s="325" customFormat="1" ht="12.6" customHeight="1">
      <c r="A158" s="539"/>
      <c r="B158" s="539" t="s">
        <v>2193</v>
      </c>
      <c r="C158" s="1468" t="s">
        <v>2053</v>
      </c>
      <c r="D158" s="1468"/>
      <c r="E158" s="1468"/>
      <c r="F158" s="1468"/>
      <c r="G158" s="1387"/>
      <c r="I158" s="2696" t="s">
        <v>3156</v>
      </c>
      <c r="J158" s="365" t="s">
        <v>2868</v>
      </c>
      <c r="L158" s="1467" t="s">
        <v>4153</v>
      </c>
      <c r="M158" s="1467"/>
      <c r="N158" s="1387"/>
      <c r="O158" s="1387"/>
      <c r="P158" s="2741"/>
    </row>
    <row r="159" spans="1:16" s="325" customFormat="1" ht="12.6" customHeight="1">
      <c r="B159" s="539"/>
      <c r="L159" s="1446" t="s">
        <v>829</v>
      </c>
      <c r="M159" s="1446"/>
      <c r="N159" s="1387"/>
      <c r="O159" s="1387"/>
      <c r="P159" s="2741"/>
    </row>
    <row r="160" spans="1:16" s="325" customFormat="1" ht="12.6" customHeight="1">
      <c r="A160" s="539"/>
      <c r="B160" s="539"/>
      <c r="L160" s="1446" t="s">
        <v>1857</v>
      </c>
      <c r="M160" s="1446"/>
      <c r="N160" s="1387"/>
      <c r="O160" s="1387"/>
      <c r="P160" s="364" t="str">
        <f>IF(P158="","",P159/P158)</f>
        <v/>
      </c>
    </row>
    <row r="161" spans="1:21" s="325" customFormat="1" ht="13.15" customHeight="1">
      <c r="A161" s="539"/>
      <c r="B161" s="539" t="s">
        <v>1801</v>
      </c>
      <c r="C161" s="296" t="s">
        <v>1667</v>
      </c>
      <c r="D161" s="1392"/>
      <c r="E161" s="1392"/>
      <c r="F161" s="1392"/>
      <c r="G161" s="1392"/>
      <c r="H161" s="1400"/>
      <c r="J161" s="334"/>
      <c r="K161" s="342"/>
      <c r="M161" s="1396"/>
      <c r="O161" s="1400"/>
      <c r="P161" s="335"/>
    </row>
    <row r="162" spans="1:21" s="325" customFormat="1" ht="12.6" customHeight="1">
      <c r="A162" s="539"/>
      <c r="B162" s="539"/>
      <c r="C162" s="1396" t="s">
        <v>2291</v>
      </c>
      <c r="D162" s="336"/>
      <c r="E162" s="1396"/>
      <c r="F162" s="1396"/>
      <c r="I162" s="2696" t="s">
        <v>3156</v>
      </c>
      <c r="L162" s="1396" t="s">
        <v>1668</v>
      </c>
      <c r="M162" s="1396"/>
      <c r="N162" s="1396"/>
      <c r="P162" s="2696" t="s">
        <v>3153</v>
      </c>
    </row>
    <row r="163" spans="1:21" s="325" customFormat="1" ht="12.6" customHeight="1">
      <c r="A163" s="539"/>
      <c r="B163" s="539"/>
      <c r="C163" s="1396" t="s">
        <v>2292</v>
      </c>
      <c r="I163" s="2696" t="s">
        <v>3156</v>
      </c>
      <c r="L163" s="1396" t="s">
        <v>2984</v>
      </c>
      <c r="M163" s="1396"/>
      <c r="N163" s="1396"/>
      <c r="P163" s="2696" t="s">
        <v>3156</v>
      </c>
    </row>
    <row r="164" spans="1:21" s="325" customFormat="1" ht="12.6" customHeight="1">
      <c r="A164" s="539"/>
      <c r="C164" s="1396" t="s">
        <v>2828</v>
      </c>
      <c r="I164" s="2696" t="s">
        <v>3156</v>
      </c>
      <c r="L164" s="1396" t="s">
        <v>2791</v>
      </c>
      <c r="N164" s="2742"/>
      <c r="O164" s="2743"/>
      <c r="P164" s="2696" t="s">
        <v>3156</v>
      </c>
    </row>
    <row r="165" spans="1:21" s="325" customFormat="1" ht="12.6" customHeight="1">
      <c r="A165" s="539"/>
      <c r="B165" s="539"/>
      <c r="C165" s="1396" t="s">
        <v>1332</v>
      </c>
      <c r="D165" s="366"/>
      <c r="I165" s="2696" t="s">
        <v>3153</v>
      </c>
      <c r="K165" s="336"/>
      <c r="L165" s="1396" t="s">
        <v>3753</v>
      </c>
      <c r="M165" s="1396"/>
      <c r="N165" s="1396"/>
      <c r="P165" s="2696" t="s">
        <v>3156</v>
      </c>
    </row>
    <row r="166" spans="1:21" s="325" customFormat="1" ht="12.6" customHeight="1">
      <c r="A166" s="539"/>
      <c r="B166" s="327"/>
      <c r="C166" s="1396" t="s">
        <v>1875</v>
      </c>
      <c r="I166" s="2696" t="s">
        <v>3156</v>
      </c>
      <c r="J166" s="365" t="s">
        <v>2869</v>
      </c>
      <c r="O166" s="2744"/>
      <c r="P166" s="2745"/>
    </row>
    <row r="167" spans="1:21" s="325" customFormat="1" ht="12.6" customHeight="1">
      <c r="A167" s="539"/>
      <c r="B167" s="539"/>
      <c r="C167" s="1396" t="s">
        <v>3046</v>
      </c>
      <c r="I167" s="2696" t="s">
        <v>3156</v>
      </c>
      <c r="J167" s="365" t="s">
        <v>2869</v>
      </c>
      <c r="O167" s="2744"/>
      <c r="P167" s="2745"/>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92"/>
      <c r="E170" s="1392"/>
      <c r="F170" s="1400"/>
      <c r="G170" s="1400"/>
      <c r="H170" s="2688"/>
      <c r="I170" s="2689"/>
      <c r="N170" s="1396"/>
      <c r="O170" s="1396"/>
      <c r="P170" s="335"/>
    </row>
    <row r="171" spans="1:21" s="325" customFormat="1" ht="12.6" customHeight="1">
      <c r="A171" s="539"/>
      <c r="B171" s="539"/>
      <c r="C171" s="330" t="s">
        <v>288</v>
      </c>
      <c r="D171" s="1392"/>
      <c r="E171" s="1392"/>
      <c r="F171" s="1400"/>
      <c r="G171" s="1400"/>
      <c r="H171" s="2688"/>
      <c r="I171" s="2689"/>
      <c r="N171" s="1396"/>
      <c r="O171" s="1396"/>
      <c r="P171" s="335"/>
    </row>
    <row r="172" spans="1:21" s="325" customFormat="1" ht="12.6" customHeight="1">
      <c r="A172" s="539"/>
      <c r="B172" s="539"/>
      <c r="C172" s="330" t="s">
        <v>2375</v>
      </c>
      <c r="D172" s="1392"/>
      <c r="E172" s="1392"/>
      <c r="F172" s="1400"/>
      <c r="G172" s="1400"/>
      <c r="H172" s="2688">
        <v>43465</v>
      </c>
      <c r="I172" s="2689"/>
      <c r="N172" s="1396"/>
      <c r="O172" s="1396"/>
      <c r="P172" s="335"/>
    </row>
    <row r="173" spans="1:21" s="325" customFormat="1" ht="6" customHeight="1">
      <c r="B173" s="327"/>
      <c r="C173" s="1396"/>
      <c r="H173" s="1396"/>
      <c r="L173" s="344"/>
      <c r="M173" s="344"/>
      <c r="N173" s="344"/>
      <c r="O173" s="344"/>
      <c r="P173" s="332"/>
    </row>
    <row r="174" spans="1:21" ht="12" customHeight="1">
      <c r="A174" s="353" t="s">
        <v>2900</v>
      </c>
      <c r="C174" s="353" t="s">
        <v>593</v>
      </c>
      <c r="K174" s="353" t="s">
        <v>2331</v>
      </c>
      <c r="L174" s="353" t="s">
        <v>81</v>
      </c>
    </row>
    <row r="175" spans="1:21" ht="106.5" customHeight="1">
      <c r="A175" s="2746" t="s">
        <v>4329</v>
      </c>
      <c r="B175" s="2747"/>
      <c r="C175" s="2747"/>
      <c r="D175" s="2747"/>
      <c r="E175" s="2747"/>
      <c r="F175" s="2747"/>
      <c r="G175" s="2747"/>
      <c r="H175" s="2747"/>
      <c r="I175" s="2747"/>
      <c r="J175" s="2748"/>
      <c r="K175" s="2749"/>
      <c r="L175" s="2750"/>
      <c r="M175" s="2750"/>
      <c r="N175" s="2750"/>
      <c r="O175" s="2750"/>
      <c r="P175" s="2751"/>
      <c r="Q175" s="1444" t="s">
        <v>2796</v>
      </c>
      <c r="R175" s="1444"/>
      <c r="S175" s="1444"/>
      <c r="T175" s="1444"/>
      <c r="U175" s="1444"/>
    </row>
    <row r="176" spans="1:21" ht="12" customHeight="1">
      <c r="Q176" s="1444"/>
      <c r="R176" s="1444"/>
      <c r="S176" s="1444"/>
      <c r="T176" s="1444"/>
      <c r="U176" s="1444"/>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52"/>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52"/>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52"/>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52"/>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52"/>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52"/>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52"/>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52"/>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52"/>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52"/>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52"/>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52"/>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52"/>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52"/>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52"/>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52"/>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52"/>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52"/>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52"/>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53"/>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52"/>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52"/>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52"/>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53"/>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52"/>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52"/>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52"/>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52"/>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52"/>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52"/>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52"/>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52"/>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52"/>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52"/>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52"/>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52"/>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52"/>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54"/>
      <c r="Q229" s="2752"/>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52"/>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52"/>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52"/>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53"/>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52"/>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52"/>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54"/>
      <c r="Q237" s="2752"/>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52"/>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52"/>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52"/>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52"/>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52"/>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52"/>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52"/>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54"/>
      <c r="Q245" s="2752"/>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52"/>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52"/>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52"/>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52"/>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52"/>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52"/>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52"/>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52"/>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52"/>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52"/>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52"/>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52"/>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52"/>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52"/>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52"/>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52"/>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52"/>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52"/>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52"/>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52"/>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52"/>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52"/>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52"/>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52"/>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52"/>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52"/>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52"/>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52"/>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52"/>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52"/>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52"/>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52"/>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52"/>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52"/>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52"/>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52"/>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52"/>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52"/>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52"/>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52"/>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52"/>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54"/>
      <c r="Q287" s="2752"/>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52"/>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52"/>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52"/>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52"/>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52"/>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52"/>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52"/>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52"/>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52"/>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52"/>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52"/>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52"/>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52"/>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53"/>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52"/>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52"/>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52"/>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53"/>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52"/>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52"/>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54"/>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52"/>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52"/>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52"/>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53"/>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52"/>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54"/>
      <c r="Q316" s="2752"/>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52"/>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52"/>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52"/>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53"/>
      <c r="Q322" s="2752"/>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52"/>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52"/>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52"/>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52"/>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52"/>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52"/>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52"/>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52"/>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52"/>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52"/>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52"/>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52"/>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52"/>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52"/>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52"/>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52"/>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52"/>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54"/>
      <c r="Q340" s="2752"/>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52"/>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52"/>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52"/>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52"/>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54"/>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5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54"/>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54"/>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5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5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5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5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5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53"/>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5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54"/>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54"/>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54"/>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54"/>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54"/>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54"/>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54"/>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54"/>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54"/>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54"/>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53"/>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53"/>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54"/>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54"/>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53"/>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54"/>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54"/>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54"/>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53"/>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54"/>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54"/>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54"/>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53"/>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54"/>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4" t="s">
        <v>96</v>
      </c>
      <c r="S602" s="1304" t="s">
        <v>98</v>
      </c>
      <c r="T602" s="130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4" t="s">
        <v>2649</v>
      </c>
      <c r="S603" s="1304" t="s">
        <v>652</v>
      </c>
      <c r="T603" s="2755"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54"/>
      <c r="R604" s="1304" t="s">
        <v>2650</v>
      </c>
      <c r="S604" s="1304" t="s">
        <v>332</v>
      </c>
      <c r="T604" s="2755"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4" t="s">
        <v>2651</v>
      </c>
      <c r="S605" s="1304" t="s">
        <v>2569</v>
      </c>
      <c r="T605" s="2755"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4" t="s">
        <v>2652</v>
      </c>
      <c r="S606" s="1304"/>
      <c r="T606" s="2755"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4" t="s">
        <v>2653</v>
      </c>
      <c r="S607" s="1304" t="s">
        <v>2083</v>
      </c>
      <c r="T607" s="2755"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4" t="s">
        <v>2654</v>
      </c>
      <c r="S608" s="1304" t="s">
        <v>2569</v>
      </c>
      <c r="T608" s="2755"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4" t="s">
        <v>2655</v>
      </c>
      <c r="S609" s="1304" t="s">
        <v>1376</v>
      </c>
      <c r="T609" s="2755"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4" t="s">
        <v>2656</v>
      </c>
      <c r="S610" s="1304" t="s">
        <v>2085</v>
      </c>
      <c r="T610" s="2755"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4" t="s">
        <v>2657</v>
      </c>
      <c r="S611" s="1304" t="s">
        <v>692</v>
      </c>
      <c r="T611" s="2755"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4" t="s">
        <v>2658</v>
      </c>
      <c r="S612" s="1304" t="s">
        <v>652</v>
      </c>
      <c r="T612" s="2755"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4" t="s">
        <v>2659</v>
      </c>
      <c r="S613" s="1304" t="s">
        <v>2251</v>
      </c>
      <c r="T613" s="2755"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4" t="s">
        <v>2660</v>
      </c>
      <c r="S614" s="1304" t="s">
        <v>2619</v>
      </c>
      <c r="T614" s="2755"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4" t="s">
        <v>2324</v>
      </c>
      <c r="S615" s="1304" t="s">
        <v>2616</v>
      </c>
      <c r="T615" s="2755"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4" t="s">
        <v>2661</v>
      </c>
      <c r="S616" s="1304" t="s">
        <v>2251</v>
      </c>
      <c r="T616" s="2755"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4" t="s">
        <v>2662</v>
      </c>
      <c r="S617" s="1304" t="s">
        <v>2572</v>
      </c>
      <c r="T617" s="2755"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53"/>
      <c r="R618" s="1304" t="s">
        <v>2663</v>
      </c>
      <c r="S618" s="1304" t="s">
        <v>2083</v>
      </c>
      <c r="T618" s="2755"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4" t="s">
        <v>1083</v>
      </c>
      <c r="S619" s="1304" t="s">
        <v>1512</v>
      </c>
      <c r="T619" s="2755"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54"/>
      <c r="R620" s="1304" t="s">
        <v>937</v>
      </c>
      <c r="S620" s="1304" t="s">
        <v>1141</v>
      </c>
      <c r="T620" s="2755"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4" t="s">
        <v>1084</v>
      </c>
      <c r="S621" s="1304" t="s">
        <v>652</v>
      </c>
      <c r="T621" s="2755"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4" t="s">
        <v>1085</v>
      </c>
      <c r="S622" s="1304" t="s">
        <v>1985</v>
      </c>
      <c r="T622" s="2755"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54"/>
      <c r="R623" s="1304" t="s">
        <v>1086</v>
      </c>
      <c r="S623" s="1304" t="s">
        <v>2081</v>
      </c>
      <c r="T623" s="2755"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4" t="s">
        <v>1087</v>
      </c>
      <c r="S624" s="1304" t="s">
        <v>1134</v>
      </c>
      <c r="T624" s="2755"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56"/>
      <c r="R625" s="1304" t="s">
        <v>1088</v>
      </c>
      <c r="S625" s="1304" t="s">
        <v>1577</v>
      </c>
      <c r="T625" s="2755"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4" t="s">
        <v>1089</v>
      </c>
      <c r="S626" s="1304" t="s">
        <v>2569</v>
      </c>
      <c r="T626" s="2755"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54"/>
      <c r="R627" s="1304" t="s">
        <v>1090</v>
      </c>
      <c r="S627" s="1304" t="s">
        <v>164</v>
      </c>
      <c r="T627" s="2755"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54"/>
      <c r="R628" s="1304" t="s">
        <v>1091</v>
      </c>
      <c r="S628" s="1304" t="s">
        <v>1383</v>
      </c>
      <c r="T628" s="2755"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4" t="s">
        <v>1092</v>
      </c>
      <c r="S629" s="1304" t="s">
        <v>1577</v>
      </c>
      <c r="T629" s="2755"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4" t="s">
        <v>1093</v>
      </c>
      <c r="S630" s="1304" t="s">
        <v>1148</v>
      </c>
      <c r="T630" s="2755"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4" t="s">
        <v>1094</v>
      </c>
      <c r="S631" s="1304" t="s">
        <v>2081</v>
      </c>
      <c r="T631" s="2755"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55"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4" t="s">
        <v>1095</v>
      </c>
      <c r="S633" s="1304" t="s">
        <v>2572</v>
      </c>
      <c r="T633" s="2755"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4" t="s">
        <v>1665</v>
      </c>
      <c r="S634" s="1304" t="s">
        <v>2616</v>
      </c>
      <c r="T634" s="2755"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4" t="s">
        <v>1096</v>
      </c>
      <c r="S635" s="1304"/>
      <c r="T635" s="2755"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4" t="s">
        <v>189</v>
      </c>
      <c r="S636" s="1304" t="s">
        <v>164</v>
      </c>
      <c r="T636" s="2755"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4" t="s">
        <v>1097</v>
      </c>
      <c r="S637" s="1304" t="s">
        <v>180</v>
      </c>
      <c r="T637" s="2755"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4" t="s">
        <v>2365</v>
      </c>
      <c r="S638" s="1304" t="s">
        <v>1252</v>
      </c>
      <c r="T638" s="2755"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4" t="s">
        <v>1098</v>
      </c>
      <c r="S639" s="1304" t="s">
        <v>652</v>
      </c>
      <c r="T639" s="2755"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4" t="s">
        <v>1099</v>
      </c>
      <c r="S640" s="1304" t="s">
        <v>652</v>
      </c>
      <c r="T640" s="2755"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4" t="s">
        <v>1100</v>
      </c>
      <c r="S641" s="1304" t="s">
        <v>652</v>
      </c>
      <c r="T641" s="2755"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4" t="s">
        <v>1101</v>
      </c>
      <c r="S642" s="1304" t="s">
        <v>652</v>
      </c>
      <c r="T642" s="2755"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4" t="s">
        <v>1102</v>
      </c>
      <c r="S643" s="1304" t="s">
        <v>1727</v>
      </c>
      <c r="T643" s="2755"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4" t="s">
        <v>1103</v>
      </c>
      <c r="S644" s="1304" t="s">
        <v>989</v>
      </c>
      <c r="T644" s="2755"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4" t="s">
        <v>1104</v>
      </c>
      <c r="S645" s="1304" t="s">
        <v>124</v>
      </c>
      <c r="T645" s="2755"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54"/>
      <c r="R646" s="1304" t="s">
        <v>1105</v>
      </c>
      <c r="S646" s="1304" t="s">
        <v>652</v>
      </c>
      <c r="T646" s="2755"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4" t="s">
        <v>1106</v>
      </c>
      <c r="S647" s="1304" t="s">
        <v>329</v>
      </c>
      <c r="T647" s="2755"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4" t="s">
        <v>1107</v>
      </c>
      <c r="S648" s="1304" t="s">
        <v>333</v>
      </c>
      <c r="T648" s="2755"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4" t="s">
        <v>864</v>
      </c>
      <c r="S649" s="1304" t="s">
        <v>1362</v>
      </c>
      <c r="T649" s="2755"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4" t="s">
        <v>1108</v>
      </c>
      <c r="S650" s="1304" t="s">
        <v>692</v>
      </c>
      <c r="T650" s="2755"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4" t="s">
        <v>1109</v>
      </c>
      <c r="S651" s="1304" t="s">
        <v>1577</v>
      </c>
      <c r="T651" s="2755"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4" t="s">
        <v>1110</v>
      </c>
      <c r="S652" s="1304" t="s">
        <v>652</v>
      </c>
      <c r="T652" s="2755"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4" t="s">
        <v>1111</v>
      </c>
      <c r="S653" s="1304" t="s">
        <v>684</v>
      </c>
      <c r="T653" s="2755"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4" t="s">
        <v>1112</v>
      </c>
      <c r="S654" s="1304" t="s">
        <v>164</v>
      </c>
      <c r="T654" s="2755"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53"/>
      <c r="R655" s="1304" t="s">
        <v>1113</v>
      </c>
      <c r="S655" s="1304" t="s">
        <v>1985</v>
      </c>
      <c r="T655" s="2755"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54"/>
      <c r="R656" s="1304" t="s">
        <v>1114</v>
      </c>
      <c r="S656" s="1304" t="s">
        <v>2081</v>
      </c>
      <c r="T656" s="2755"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4" t="s">
        <v>1115</v>
      </c>
      <c r="S657" s="1304" t="s">
        <v>652</v>
      </c>
      <c r="T657" s="2755"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4" t="s">
        <v>1116</v>
      </c>
      <c r="S658" s="1304" t="s">
        <v>1727</v>
      </c>
      <c r="T658" s="2755"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54"/>
      <c r="R659" s="1304" t="s">
        <v>1117</v>
      </c>
      <c r="S659" s="1304" t="s">
        <v>2572</v>
      </c>
      <c r="T659" s="2755"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4" t="s">
        <v>1118</v>
      </c>
      <c r="S660" s="1304" t="s">
        <v>164</v>
      </c>
      <c r="T660" s="2755"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4" t="s">
        <v>1119</v>
      </c>
      <c r="S661" s="1304" t="s">
        <v>164</v>
      </c>
      <c r="T661" s="2755"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54"/>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54"/>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54"/>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54"/>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54"/>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54"/>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56"/>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53"/>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54"/>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54"/>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53"/>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54"/>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53"/>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5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54"/>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rePnAU1K3Am7cjpTD5hxEXoBBTsRTnOATbKnn061Y368TG6mVDM2bZ12alPR8GG6bqLSaO2g6iVpIKy0UmUibw==" saltValue="ECWCBTlE3Gr/gxLMyI7tEQ==" spinCount="100000" sheet="1" objects="1" scenarios="1" formatColumns="0" formatRows="0"/>
  <sortState ref="C181:H340">
    <sortCondition ref="C181:C340"/>
    <sortCondition ref="E181:E340"/>
  </sortState>
  <mergeCells count="157">
    <mergeCell ref="F36:K36"/>
    <mergeCell ref="E97:G97"/>
    <mergeCell ref="J110:L110"/>
    <mergeCell ref="J112:L112"/>
    <mergeCell ref="F37:H37"/>
    <mergeCell ref="F38:K38"/>
    <mergeCell ref="I39:K39"/>
    <mergeCell ref="K67:L67"/>
    <mergeCell ref="I98:J98"/>
    <mergeCell ref="K69:L71"/>
    <mergeCell ref="F39:G39"/>
    <mergeCell ref="E94:L94"/>
    <mergeCell ref="I97:K97"/>
    <mergeCell ref="L159:M159"/>
    <mergeCell ref="J123:L123"/>
    <mergeCell ref="M123:P123"/>
    <mergeCell ref="M110:O110"/>
    <mergeCell ref="M111:O111"/>
    <mergeCell ref="M112:O112"/>
    <mergeCell ref="M115:O115"/>
    <mergeCell ref="J114:L114"/>
    <mergeCell ref="C112:E112"/>
    <mergeCell ref="C114:E114"/>
    <mergeCell ref="J113:L113"/>
    <mergeCell ref="J154:K154"/>
    <mergeCell ref="M125:P125"/>
    <mergeCell ref="C124:E124"/>
    <mergeCell ref="C122:E122"/>
    <mergeCell ref="M36:P36"/>
    <mergeCell ref="M39:P39"/>
    <mergeCell ref="F123:I123"/>
    <mergeCell ref="C115:E115"/>
    <mergeCell ref="C113:E113"/>
    <mergeCell ref="C110:E110"/>
    <mergeCell ref="C111:E111"/>
    <mergeCell ref="F110:H110"/>
    <mergeCell ref="F115:H115"/>
    <mergeCell ref="F111:H111"/>
    <mergeCell ref="F112:H112"/>
    <mergeCell ref="M122:P122"/>
    <mergeCell ref="H67:I67"/>
    <mergeCell ref="M38:P38"/>
    <mergeCell ref="J37:K37"/>
    <mergeCell ref="M114:O114"/>
    <mergeCell ref="C123:E123"/>
    <mergeCell ref="M120:P120"/>
    <mergeCell ref="C121:E121"/>
    <mergeCell ref="K96:L96"/>
    <mergeCell ref="H90:I90"/>
    <mergeCell ref="O95:P95"/>
    <mergeCell ref="E95:L95"/>
    <mergeCell ref="C117:P118"/>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F26:K26"/>
    <mergeCell ref="F25:K25"/>
    <mergeCell ref="F24:K24"/>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F122:I122"/>
    <mergeCell ref="F124:I124"/>
    <mergeCell ref="M121:P121"/>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B5:D5"/>
    <mergeCell ref="G27:H27"/>
    <mergeCell ref="J27:K27"/>
    <mergeCell ref="Q175:U176"/>
    <mergeCell ref="O3:P3"/>
    <mergeCell ref="M147:P147"/>
    <mergeCell ref="E149:H149"/>
    <mergeCell ref="L160:M160"/>
    <mergeCell ref="O166:P166"/>
    <mergeCell ref="J122:L122"/>
    <mergeCell ref="E150:G150"/>
    <mergeCell ref="M152:O152"/>
    <mergeCell ref="J152:K152"/>
    <mergeCell ref="J111:L111"/>
    <mergeCell ref="L98:M98"/>
    <mergeCell ref="M97:P97"/>
    <mergeCell ref="O98:P98"/>
    <mergeCell ref="N164:O164"/>
    <mergeCell ref="M154:O154"/>
    <mergeCell ref="C125:E125"/>
    <mergeCell ref="F125:I125"/>
    <mergeCell ref="J125:L125"/>
    <mergeCell ref="F10:H10"/>
    <mergeCell ref="E96:G96"/>
    <mergeCell ref="N67:P67"/>
    <mergeCell ref="O94:P94"/>
    <mergeCell ref="M113:O113"/>
    <mergeCell ref="M94:N94"/>
    <mergeCell ref="E98:G98"/>
    <mergeCell ref="H80:J80"/>
    <mergeCell ref="K76:L76"/>
    <mergeCell ref="K73:L73"/>
    <mergeCell ref="M95:N95"/>
    <mergeCell ref="J115:L115"/>
    <mergeCell ref="O96:P96"/>
    <mergeCell ref="F113:H113"/>
    <mergeCell ref="F114:H114"/>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2" t="str">
        <f>IF(Overview!C8="","",Overview!C8)</f>
        <v>The Preserve at Newport</v>
      </c>
      <c r="B1" s="1972"/>
      <c r="C1" s="1972"/>
      <c r="D1" s="1972"/>
      <c r="E1" s="1972"/>
      <c r="F1" s="1972"/>
      <c r="G1" s="1972"/>
      <c r="H1" s="1972"/>
    </row>
    <row r="2" spans="1:8" ht="21.95" customHeight="1">
      <c r="A2" s="881"/>
      <c r="B2" s="881"/>
      <c r="C2" s="881"/>
      <c r="D2" s="881"/>
      <c r="E2" s="881"/>
      <c r="F2" s="881"/>
      <c r="G2" s="881"/>
      <c r="H2" s="881"/>
    </row>
    <row r="3" spans="1:8" ht="20.25" customHeight="1">
      <c r="C3" s="1971" t="s">
        <v>3241</v>
      </c>
      <c r="D3" s="1971"/>
      <c r="E3" s="1971"/>
      <c r="F3" s="1971"/>
    </row>
    <row r="5" spans="1:8" ht="15.75">
      <c r="D5" s="651"/>
      <c r="E5" s="651" t="s">
        <v>3242</v>
      </c>
    </row>
    <row r="6" spans="1:8" ht="15.75">
      <c r="D6" s="651" t="s">
        <v>2566</v>
      </c>
      <c r="E6" s="651" t="s">
        <v>3243</v>
      </c>
    </row>
    <row r="7" spans="1:8" ht="15">
      <c r="D7" s="652"/>
      <c r="E7" s="652"/>
    </row>
    <row r="8" spans="1:8" ht="15">
      <c r="D8" s="653">
        <v>1</v>
      </c>
      <c r="E8" s="654">
        <f>-'Part VII-Pro Forma'!B23/12</f>
        <v>7481.7739410477398</v>
      </c>
    </row>
    <row r="9" spans="1:8" ht="15">
      <c r="D9" s="653">
        <v>2</v>
      </c>
      <c r="E9" s="654">
        <f>-'Part VII-Pro Forma'!C23/12</f>
        <v>7481.7739410477398</v>
      </c>
    </row>
    <row r="10" spans="1:8" ht="15">
      <c r="D10" s="653">
        <v>3</v>
      </c>
      <c r="E10" s="654">
        <f>-'Part VII-Pro Forma'!D23/12</f>
        <v>7481.7739410477398</v>
      </c>
    </row>
    <row r="11" spans="1:8" ht="15">
      <c r="D11" s="655">
        <v>4</v>
      </c>
      <c r="E11" s="654">
        <f>-'Part VII-Pro Forma'!E23/12</f>
        <v>7481.7739410477398</v>
      </c>
    </row>
    <row r="12" spans="1:8" ht="15">
      <c r="D12" s="655">
        <v>5</v>
      </c>
      <c r="E12" s="654">
        <f>-'Part VII-Pro Forma'!F23/12</f>
        <v>7481.7739410477398</v>
      </c>
    </row>
    <row r="13" spans="1:8" ht="15">
      <c r="D13" s="653">
        <v>6</v>
      </c>
      <c r="E13" s="654">
        <f>-'Part VII-Pro Forma'!G23/12</f>
        <v>7481.7739410477398</v>
      </c>
    </row>
    <row r="14" spans="1:8" ht="15">
      <c r="D14" s="653">
        <v>7</v>
      </c>
      <c r="E14" s="654">
        <f>-'Part VII-Pro Forma'!H23/12</f>
        <v>7481.7739410477398</v>
      </c>
    </row>
    <row r="15" spans="1:8" ht="15">
      <c r="D15" s="655">
        <v>8</v>
      </c>
      <c r="E15" s="654">
        <f>-'Part VII-Pro Forma'!I23/12</f>
        <v>7481.7739410477398</v>
      </c>
    </row>
    <row r="16" spans="1:8" ht="15">
      <c r="D16" s="653">
        <v>9</v>
      </c>
      <c r="E16" s="654">
        <f>-'Part VII-Pro Forma'!J23/12</f>
        <v>7481.7739410477398</v>
      </c>
    </row>
    <row r="17" spans="4:8" ht="15">
      <c r="D17" s="653">
        <v>10</v>
      </c>
      <c r="E17" s="654">
        <f>-'Part VII-Pro Forma'!K23/12</f>
        <v>7481.7739410477398</v>
      </c>
    </row>
    <row r="18" spans="4:8" ht="15">
      <c r="D18" s="655">
        <v>11</v>
      </c>
      <c r="E18" s="654">
        <f>-'Part VII-Pro Forma'!B53/12</f>
        <v>7481.7739410477398</v>
      </c>
    </row>
    <row r="19" spans="4:8" ht="15">
      <c r="D19" s="653">
        <v>12</v>
      </c>
      <c r="E19" s="654">
        <f>-'Part VII-Pro Forma'!C53/12</f>
        <v>7481.7739410477398</v>
      </c>
    </row>
    <row r="20" spans="4:8" ht="15">
      <c r="D20" s="653">
        <v>13</v>
      </c>
      <c r="E20" s="654">
        <f>-'Part VII-Pro Forma'!D53/12</f>
        <v>7481.7739410477398</v>
      </c>
    </row>
    <row r="21" spans="4:8" ht="15">
      <c r="D21" s="653">
        <v>14</v>
      </c>
      <c r="E21" s="654">
        <f>-'Part VII-Pro Forma'!E53/12</f>
        <v>7481.7739410477398</v>
      </c>
    </row>
    <row r="22" spans="4:8" ht="15">
      <c r="D22" s="653">
        <v>15</v>
      </c>
      <c r="E22" s="654">
        <f>-'Part VII-Pro Forma'!F53/12</f>
        <v>7481.7739410477398</v>
      </c>
    </row>
    <row r="23" spans="4:8" ht="15">
      <c r="D23" s="653">
        <v>16</v>
      </c>
      <c r="E23" s="654">
        <f>-'Part VII-Pro Forma'!G53/12</f>
        <v>0</v>
      </c>
    </row>
    <row r="24" spans="4:8" ht="15">
      <c r="D24" s="653">
        <v>17</v>
      </c>
      <c r="E24" s="654">
        <f>-'Part VII-Pro Forma'!H53/12</f>
        <v>0</v>
      </c>
      <c r="H24" s="650" t="s">
        <v>254</v>
      </c>
    </row>
    <row r="25" spans="4:8" ht="15">
      <c r="D25" s="653">
        <v>18</v>
      </c>
      <c r="E25" s="654">
        <f>-'Part VII-Pro Forma'!I53/12</f>
        <v>0</v>
      </c>
    </row>
    <row r="26" spans="4:8" ht="15">
      <c r="D26" s="653">
        <v>19</v>
      </c>
      <c r="E26" s="654">
        <f>-'Part VII-Pro Forma'!J53/12</f>
        <v>0</v>
      </c>
    </row>
    <row r="27" spans="4:8" ht="15">
      <c r="D27" s="653">
        <v>20</v>
      </c>
      <c r="E27" s="654">
        <f>-'Part VII-Pro Forma'!K53/12</f>
        <v>0</v>
      </c>
    </row>
    <row r="28" spans="4:8" ht="15">
      <c r="D28" s="653">
        <v>21</v>
      </c>
      <c r="E28" s="654">
        <f>-'Part VII-Pro Forma'!B83/12</f>
        <v>0</v>
      </c>
    </row>
    <row r="29" spans="4:8" ht="15">
      <c r="D29" s="653">
        <v>22</v>
      </c>
      <c r="E29" s="654">
        <f>-'Part VII-Pro Forma'!C83/12</f>
        <v>0</v>
      </c>
    </row>
    <row r="30" spans="4:8" ht="15">
      <c r="D30" s="653">
        <v>23</v>
      </c>
      <c r="E30" s="654">
        <f>-'Part VII-Pro Forma'!D83/12</f>
        <v>0</v>
      </c>
    </row>
    <row r="31" spans="4:8" ht="15">
      <c r="D31" s="653">
        <v>24</v>
      </c>
      <c r="E31" s="654">
        <f>-'Part VII-Pro Forma'!E83/12</f>
        <v>0</v>
      </c>
    </row>
    <row r="32" spans="4:8" ht="15">
      <c r="D32" s="653">
        <v>25</v>
      </c>
      <c r="E32" s="654">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3" t="s">
        <v>3244</v>
      </c>
      <c r="B1" s="1973"/>
      <c r="C1" s="1973"/>
      <c r="D1" s="1973"/>
      <c r="E1" s="1973"/>
      <c r="F1" s="1973"/>
      <c r="G1" s="1973"/>
      <c r="H1" s="1973"/>
      <c r="I1" s="1973"/>
      <c r="J1" s="1973"/>
      <c r="K1" s="1973"/>
    </row>
    <row r="2" spans="1:11" ht="15">
      <c r="A2" s="1025" t="str">
        <f>Overview!E8</f>
        <v>2016-010</v>
      </c>
      <c r="B2" s="1025" t="str">
        <f>Overview!C8</f>
        <v>The Preserve at Newport</v>
      </c>
      <c r="C2" s="1026"/>
    </row>
    <row r="3" spans="1:11" ht="12.6" customHeight="1">
      <c r="A3" s="1026"/>
      <c r="B3" s="1026"/>
      <c r="C3" s="1026"/>
    </row>
    <row r="4" spans="1:11" ht="18">
      <c r="A4" s="1027" t="s">
        <v>3835</v>
      </c>
      <c r="B4" s="1026"/>
      <c r="C4" s="1026"/>
    </row>
    <row r="5" spans="1:11" s="979" customFormat="1" ht="17.25" customHeight="1">
      <c r="C5" s="1976" t="s">
        <v>3819</v>
      </c>
      <c r="D5" s="1977"/>
      <c r="E5" s="1978"/>
      <c r="F5" s="701"/>
      <c r="G5" s="1976" t="s">
        <v>3820</v>
      </c>
      <c r="H5" s="1977"/>
      <c r="I5" s="1978"/>
      <c r="J5" s="1024"/>
      <c r="K5" s="1028" t="s">
        <v>3824</v>
      </c>
    </row>
    <row r="6" spans="1:11" s="1030" customFormat="1" ht="15" customHeight="1">
      <c r="A6" s="1029" t="s">
        <v>2820</v>
      </c>
      <c r="C6" s="1031" t="s">
        <v>3815</v>
      </c>
      <c r="D6" s="1031" t="s">
        <v>3245</v>
      </c>
      <c r="E6" s="1031" t="s">
        <v>2066</v>
      </c>
      <c r="G6" s="1031" t="s">
        <v>3816</v>
      </c>
      <c r="H6" s="1031" t="s">
        <v>3245</v>
      </c>
      <c r="I6" s="1031" t="s">
        <v>2066</v>
      </c>
      <c r="K6" s="1032" t="s">
        <v>3248</v>
      </c>
    </row>
    <row r="7" spans="1:11" s="701" customFormat="1" ht="13.5" customHeight="1">
      <c r="A7" s="701" t="s">
        <v>3246</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2818</v>
      </c>
      <c r="C8" s="1033">
        <f>'DCA Underwriting Assumptions'!$K$54</f>
        <v>126647</v>
      </c>
      <c r="D8" s="1034" t="e">
        <f>#REF!</f>
        <v>#REF!</v>
      </c>
      <c r="E8" s="1035" t="e">
        <f>C8*D8</f>
        <v>#REF!</v>
      </c>
      <c r="G8" s="1033">
        <f>'DCA Underwriting Assumptions'!$K$54</f>
        <v>126647</v>
      </c>
      <c r="H8" s="1034" t="e">
        <f>#REF!</f>
        <v>#REF!</v>
      </c>
      <c r="I8" s="1035" t="e">
        <f>G8*H8</f>
        <v>#REF!</v>
      </c>
      <c r="K8" s="1032" t="s">
        <v>3817</v>
      </c>
    </row>
    <row r="9" spans="1:11" s="701" customFormat="1" ht="13.5" customHeight="1">
      <c r="A9" s="701" t="s">
        <v>2819</v>
      </c>
      <c r="C9" s="1033">
        <f>'DCA Underwriting Assumptions'!$L$54</f>
        <v>154003</v>
      </c>
      <c r="D9" s="1034" t="e">
        <f>#REF!</f>
        <v>#REF!</v>
      </c>
      <c r="E9" s="1035" t="e">
        <f>C9*D9</f>
        <v>#REF!</v>
      </c>
      <c r="G9" s="1033">
        <f>'DCA Underwriting Assumptions'!$L$54</f>
        <v>154003</v>
      </c>
      <c r="H9" s="1034" t="e">
        <f>#REF!</f>
        <v>#REF!</v>
      </c>
      <c r="I9" s="1035" t="e">
        <f>G9*H9</f>
        <v>#REF!</v>
      </c>
      <c r="K9" s="1036">
        <f>'Part IV-Uses of Funds'!$G$131</f>
        <v>11097534</v>
      </c>
    </row>
    <row r="10" spans="1:11" s="701" customFormat="1" ht="13.5" customHeight="1">
      <c r="A10" s="701" t="s">
        <v>2822</v>
      </c>
      <c r="C10" s="1033">
        <f>'DCA Underwriting Assumptions'!$M$54</f>
        <v>199229</v>
      </c>
      <c r="D10" s="1034" t="e">
        <f>#REF!</f>
        <v>#REF!</v>
      </c>
      <c r="E10" s="1035" t="e">
        <f>C10*D10</f>
        <v>#REF!</v>
      </c>
      <c r="G10" s="1033">
        <f>'DCA Underwriting Assumptions'!$M$54</f>
        <v>199229</v>
      </c>
      <c r="H10" s="1034" t="e">
        <f>#REF!</f>
        <v>#REF!</v>
      </c>
      <c r="I10" s="1035" t="e">
        <f>G10*H10</f>
        <v>#REF!</v>
      </c>
      <c r="K10" s="1032" t="s">
        <v>3818</v>
      </c>
    </row>
    <row r="11" spans="1:11" s="701" customFormat="1" ht="13.5" customHeight="1">
      <c r="A11" s="1037" t="s">
        <v>3814</v>
      </c>
      <c r="C11" s="1038">
        <f>'DCA Underwriting Assumptions'!$N$54</f>
        <v>199229</v>
      </c>
      <c r="D11" s="1039" t="e">
        <f>#REF!</f>
        <v>#REF!</v>
      </c>
      <c r="E11" s="1040" t="e">
        <f>C11*D11</f>
        <v>#REF!</v>
      </c>
      <c r="G11" s="1038">
        <f>'DCA Underwriting Assumptions'!$N$54</f>
        <v>199229</v>
      </c>
      <c r="H11" s="1039" t="e">
        <f>#REF!</f>
        <v>#REF!</v>
      </c>
      <c r="I11" s="1040" t="e">
        <f>G11*H11</f>
        <v>#REF!</v>
      </c>
      <c r="K11" s="1979" t="s">
        <v>3825</v>
      </c>
    </row>
    <row r="12" spans="1:11" ht="13.5" customHeight="1" thickBot="1">
      <c r="A12" s="1041" t="s">
        <v>3781</v>
      </c>
      <c r="D12" s="1042" t="e">
        <f>SUM(D7:D11)</f>
        <v>#REF!</v>
      </c>
      <c r="E12" s="1043"/>
      <c r="G12" s="1041" t="s">
        <v>1859</v>
      </c>
      <c r="H12" s="1042" t="e">
        <f>SUM(H7:H11)</f>
        <v>#REF!</v>
      </c>
      <c r="I12" s="1043"/>
      <c r="K12" s="1980"/>
    </row>
    <row r="13" spans="1:11" s="701" customFormat="1" ht="13.5" customHeight="1" thickBot="1">
      <c r="A13" s="1041" t="s">
        <v>3247</v>
      </c>
      <c r="B13" s="1044"/>
      <c r="E13" s="1045" t="e">
        <f>SUM(E7:E11)</f>
        <v>#REF!</v>
      </c>
      <c r="G13" s="1041" t="s">
        <v>3501</v>
      </c>
      <c r="H13" s="1044"/>
      <c r="I13" s="1046" t="e">
        <f>SUM(I7:I11)</f>
        <v>#REF!</v>
      </c>
      <c r="K13" s="1036">
        <f>'Part VIII-Threshold Criteria'!$P$65</f>
        <v>11865716</v>
      </c>
    </row>
    <row r="14" spans="1:11" ht="11.25" customHeight="1">
      <c r="G14" s="1047" t="s">
        <v>3821</v>
      </c>
    </row>
    <row r="15" spans="1:11" s="701" customFormat="1" ht="13.5" customHeight="1"/>
    <row r="16" spans="1:11" ht="16.5" customHeight="1">
      <c r="A16" s="1027" t="s">
        <v>3836</v>
      </c>
    </row>
    <row r="17" spans="1:11" ht="6" customHeight="1"/>
    <row r="18" spans="1:11" s="701" customFormat="1" ht="13.5" customHeight="1">
      <c r="A18" s="701" t="s">
        <v>3823</v>
      </c>
      <c r="E18" s="1048" t="s">
        <v>3499</v>
      </c>
      <c r="K18" s="1049" t="e">
        <f>Overview!D13</f>
        <v>#REF!</v>
      </c>
    </row>
    <row r="19" spans="1:11" s="701" customFormat="1" ht="13.5" customHeight="1">
      <c r="A19" s="701" t="s">
        <v>3249</v>
      </c>
      <c r="K19" s="870" t="e">
        <f>Overview!C13</f>
        <v>#REF!</v>
      </c>
    </row>
    <row r="20" spans="1:11" ht="3" customHeight="1">
      <c r="A20" s="1050"/>
    </row>
    <row r="21" spans="1:11" s="701" customFormat="1" ht="13.5" customHeight="1">
      <c r="A21" s="701" t="s">
        <v>3250</v>
      </c>
      <c r="E21" s="1048" t="s">
        <v>3822</v>
      </c>
      <c r="K21" s="1051" t="e">
        <f>K18/K19</f>
        <v>#REF!</v>
      </c>
    </row>
    <row r="22" spans="1:11" ht="9" customHeight="1"/>
    <row r="23" spans="1:11" s="701" customFormat="1" ht="13.5" customHeight="1">
      <c r="A23" s="701" t="s">
        <v>3780</v>
      </c>
      <c r="C23" s="1052"/>
      <c r="E23" s="1048" t="s">
        <v>3253</v>
      </c>
      <c r="K23" s="870">
        <f>K9</f>
        <v>11097534</v>
      </c>
    </row>
    <row r="24" spans="1:11" s="701" customFormat="1" ht="13.5" customHeight="1">
      <c r="A24" s="1053" t="s">
        <v>1826</v>
      </c>
      <c r="K24" s="1036">
        <f>'Part IV-Uses of Funds'!$G$121</f>
        <v>189995</v>
      </c>
    </row>
    <row r="25" spans="1:11" s="701" customFormat="1" ht="13.5" customHeight="1">
      <c r="A25" s="1053" t="s">
        <v>3254</v>
      </c>
      <c r="K25" s="1054">
        <v>0</v>
      </c>
    </row>
    <row r="26" spans="1:11" s="701" customFormat="1" ht="13.5" customHeight="1">
      <c r="A26" s="1053" t="s">
        <v>3254</v>
      </c>
      <c r="K26" s="1054">
        <v>0</v>
      </c>
    </row>
    <row r="27" spans="1:11" ht="3" customHeight="1">
      <c r="A27" s="1055"/>
      <c r="K27" s="1056">
        <v>0</v>
      </c>
    </row>
    <row r="28" spans="1:11" s="1044" customFormat="1" ht="13.5" customHeight="1">
      <c r="A28" s="1044" t="s">
        <v>3255</v>
      </c>
      <c r="K28" s="1057">
        <f>K23-SUM(K24:K27)</f>
        <v>10907539</v>
      </c>
    </row>
    <row r="29" spans="1:11" ht="9" customHeight="1">
      <c r="A29" s="1050"/>
      <c r="K29" s="1058"/>
    </row>
    <row r="30" spans="1:11" s="701" customFormat="1" ht="15" customHeight="1">
      <c r="A30" s="1044" t="s">
        <v>3256</v>
      </c>
      <c r="E30" s="1048" t="s">
        <v>3830</v>
      </c>
      <c r="F30" s="1059"/>
      <c r="G30" s="1059"/>
      <c r="H30" s="1059"/>
      <c r="I30" s="1059"/>
      <c r="K30" s="1060" t="e">
        <f>K21*K28</f>
        <v>#REF!</v>
      </c>
    </row>
    <row r="31" spans="1:11" ht="27.75" customHeight="1">
      <c r="K31" s="1058"/>
    </row>
    <row r="32" spans="1:11" s="701" customFormat="1" ht="16.5" customHeight="1">
      <c r="A32" s="1061" t="s">
        <v>3837</v>
      </c>
      <c r="B32" s="1044"/>
      <c r="C32" s="1044"/>
      <c r="D32" s="1044"/>
      <c r="E32" s="1048"/>
    </row>
    <row r="33" spans="1:11" ht="6" customHeight="1" thickBot="1"/>
    <row r="34" spans="1:11" s="701" customFormat="1" ht="24" customHeight="1" thickBot="1">
      <c r="A34" s="1062" t="s">
        <v>3833</v>
      </c>
      <c r="B34" s="1044"/>
      <c r="C34" s="1044"/>
      <c r="D34" s="1044"/>
      <c r="E34" s="1048" t="s">
        <v>3831</v>
      </c>
      <c r="K34" s="1063" t="e">
        <f>MIN(E13,K30)</f>
        <v>#REF!</v>
      </c>
    </row>
    <row r="35" spans="1:11" ht="6" customHeight="1"/>
    <row r="36" spans="1:11" s="701" customFormat="1" ht="15" customHeight="1">
      <c r="A36" s="1044" t="s">
        <v>3834</v>
      </c>
      <c r="E36" s="1048" t="s">
        <v>3832</v>
      </c>
      <c r="K36" s="1064">
        <f>Overview!C25</f>
        <v>1250099</v>
      </c>
    </row>
    <row r="37" spans="1:11" s="701" customFormat="1" ht="9" customHeight="1" thickBot="1">
      <c r="E37" s="1065"/>
      <c r="F37" s="1065"/>
      <c r="G37" s="1065"/>
      <c r="H37" s="1065"/>
      <c r="K37" s="1066"/>
    </row>
    <row r="38" spans="1:11" s="701" customFormat="1" ht="15.75" customHeight="1">
      <c r="A38" s="1981" t="s">
        <v>3828</v>
      </c>
      <c r="B38" s="1981"/>
      <c r="C38" s="1981"/>
      <c r="D38" s="1984" t="s">
        <v>3251</v>
      </c>
      <c r="E38" s="1984"/>
      <c r="F38" s="1984" t="s">
        <v>3252</v>
      </c>
      <c r="G38" s="1984"/>
      <c r="H38" s="1984"/>
      <c r="I38" s="1067" t="s">
        <v>2959</v>
      </c>
      <c r="K38" s="1974" t="e">
        <f>ROUND((D39/F39)*I39,0)</f>
        <v>#REF!</v>
      </c>
    </row>
    <row r="39" spans="1:11" s="701" customFormat="1" ht="15.75" customHeight="1" thickBot="1">
      <c r="A39" s="1981"/>
      <c r="B39" s="1981"/>
      <c r="C39" s="1981"/>
      <c r="D39" s="1983">
        <f>K36</f>
        <v>1250099</v>
      </c>
      <c r="E39" s="1983"/>
      <c r="F39" s="1982">
        <f>K28</f>
        <v>10907539</v>
      </c>
      <c r="G39" s="1982"/>
      <c r="H39" s="1982"/>
      <c r="I39" s="1068" t="e">
        <f>K19</f>
        <v>#REF!</v>
      </c>
      <c r="K39" s="1975"/>
    </row>
    <row r="40" spans="1:11" ht="12.75" customHeight="1">
      <c r="D40" s="1069" t="s">
        <v>3829</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5" t="str">
        <f>CONCATENATE(Overview!E8,"  ",Overview!C8)</f>
        <v>2016-010  The Preserve at Newport</v>
      </c>
      <c r="B1" s="1985"/>
      <c r="C1" s="1985"/>
      <c r="D1" s="1985"/>
      <c r="E1" s="1985"/>
      <c r="F1" s="1985"/>
      <c r="G1" s="1985"/>
      <c r="H1" s="1985"/>
    </row>
    <row r="3" spans="1:13" ht="12" customHeight="1">
      <c r="A3" s="1986" t="s">
        <v>3783</v>
      </c>
      <c r="B3" s="1986"/>
      <c r="C3" s="1986"/>
      <c r="D3" s="1986"/>
      <c r="E3" s="1986"/>
      <c r="F3" s="1986"/>
      <c r="G3" s="1986"/>
      <c r="H3" s="1986"/>
      <c r="I3" s="685"/>
      <c r="J3" s="658" t="s">
        <v>3257</v>
      </c>
      <c r="K3" s="658"/>
      <c r="L3" s="658"/>
      <c r="M3" s="658"/>
    </row>
    <row r="5" spans="1:13" ht="12" customHeight="1">
      <c r="A5" s="656">
        <v>1</v>
      </c>
      <c r="C5" s="656" t="s">
        <v>3258</v>
      </c>
      <c r="E5" s="686" t="str">
        <f>Overview!H9</f>
        <v>The Preserve at Newport, LP</v>
      </c>
    </row>
    <row r="6" spans="1:13" ht="3" customHeight="1">
      <c r="H6" s="879"/>
    </row>
    <row r="7" spans="1:13" ht="12" customHeight="1">
      <c r="A7" s="656">
        <v>2</v>
      </c>
      <c r="C7" s="656" t="s">
        <v>3259</v>
      </c>
      <c r="E7" s="686" t="str">
        <f>'Part II-Development Team'!H6</f>
        <v>1544 S. Main Street</v>
      </c>
    </row>
    <row r="8" spans="1:13" ht="12" customHeight="1">
      <c r="E8" s="686" t="str">
        <f>+'Part II-Development Team'!H7&amp;","&amp;" "&amp;'Part II-Development Team'!H8&amp;" "&amp;LEFT('Part II-Development Team'!J8,5)</f>
        <v>Fyffe, AL 35971</v>
      </c>
    </row>
    <row r="9" spans="1:13" ht="12" customHeight="1">
      <c r="C9" s="656" t="s">
        <v>3260</v>
      </c>
      <c r="E9" s="1987"/>
      <c r="F9" s="1987"/>
    </row>
    <row r="10" spans="1:13" ht="12" customHeight="1">
      <c r="C10" s="656" t="s">
        <v>3261</v>
      </c>
      <c r="E10" s="686" t="str">
        <f>'Part II-Development Team'!Q5</f>
        <v>Lowell R. Barron II</v>
      </c>
    </row>
    <row r="11" spans="1:13" ht="12" customHeight="1">
      <c r="C11" s="656" t="s">
        <v>3262</v>
      </c>
      <c r="E11" s="686">
        <f>'Part II-Development Team'!O9</f>
        <v>0</v>
      </c>
    </row>
    <row r="12" spans="1:13" ht="12" customHeight="1">
      <c r="C12" s="656" t="s">
        <v>3263</v>
      </c>
      <c r="E12" s="695">
        <f>'Part II-Development Team'!H9</f>
        <v>2564174920</v>
      </c>
    </row>
    <row r="13" spans="1:13" ht="12" customHeight="1">
      <c r="C13" s="656" t="s">
        <v>3264</v>
      </c>
      <c r="E13" s="695" t="str">
        <f>'Part II-Development Team'!L9</f>
        <v>lbarron@thevantagegroup.biz</v>
      </c>
    </row>
    <row r="14" spans="1:13" ht="3" customHeight="1"/>
    <row r="15" spans="1:13" ht="12" customHeight="1">
      <c r="A15" s="656">
        <v>3</v>
      </c>
      <c r="C15" s="656" t="s">
        <v>3265</v>
      </c>
      <c r="E15" s="686" t="str">
        <f>Overview!C8</f>
        <v>The Preserve at Newport</v>
      </c>
    </row>
    <row r="16" spans="1:13" ht="12" customHeight="1">
      <c r="C16" s="656" t="s">
        <v>3266</v>
      </c>
      <c r="E16" s="686" t="str">
        <f>'Part I-Project Information'!$F$25</f>
        <v>Parcel# 107-017</v>
      </c>
    </row>
    <row r="17" spans="1:8" ht="12" customHeight="1">
      <c r="E17" s="686" t="str">
        <f>+'Part I-Project Information'!$F$28&amp;","&amp;" "&amp;'Part I-Project Information'!$J$29&amp;" "&amp;LEFT('Part I-Project Information'!$J$28,5)</f>
        <v>Kingsland, Camden 31548</v>
      </c>
    </row>
    <row r="18" spans="1:8" ht="3" customHeight="1"/>
    <row r="19" spans="1:8" ht="12" customHeight="1">
      <c r="A19" s="656">
        <v>4</v>
      </c>
      <c r="C19" s="656" t="s">
        <v>3267</v>
      </c>
      <c r="E19" s="686" t="str">
        <f>'Part II-Development Team'!H92</f>
        <v>Vantage Management, LLC</v>
      </c>
    </row>
    <row r="20" spans="1:8" ht="12" customHeight="1">
      <c r="C20" s="656" t="s">
        <v>3268</v>
      </c>
      <c r="E20" s="686" t="str">
        <f>'Part II-Development Team'!H93</f>
        <v>1544 S. Main Street</v>
      </c>
    </row>
    <row r="21" spans="1:8" ht="12" customHeight="1">
      <c r="E21" s="686" t="str">
        <f>+'Part II-Development Team'!H94&amp;","&amp;" "&amp;'Part II-Development Team'!H95&amp;" "&amp;LEFT('Part II-Development Team'!J95,5)</f>
        <v xml:space="preserve">Fyffe, AL </v>
      </c>
    </row>
    <row r="22" spans="1:8" ht="12" customHeight="1">
      <c r="C22" s="656" t="s">
        <v>3263</v>
      </c>
      <c r="E22" s="695">
        <f>'Part II-Development Team'!H96</f>
        <v>2564174921</v>
      </c>
    </row>
    <row r="23" spans="1:8" ht="12" customHeight="1">
      <c r="C23" s="656" t="s">
        <v>3264</v>
      </c>
      <c r="E23" s="695" t="str">
        <f>'Part II-Development Team'!L96</f>
        <v>lbarron@thevantagegroup.biz</v>
      </c>
    </row>
    <row r="24" spans="1:8" ht="12" customHeight="1">
      <c r="C24" s="656" t="s">
        <v>1866</v>
      </c>
      <c r="E24" s="695">
        <f>'Part II-Development Team'!O96</f>
        <v>0</v>
      </c>
    </row>
    <row r="25" spans="1:8" ht="3" customHeight="1">
      <c r="E25" s="686"/>
    </row>
    <row r="26" spans="1:8" ht="12" customHeight="1">
      <c r="A26" s="656">
        <v>5</v>
      </c>
      <c r="C26" s="656" t="s">
        <v>3269</v>
      </c>
      <c r="E26" s="686" t="str">
        <f>Overview!$H$7</f>
        <v>New Construction</v>
      </c>
    </row>
    <row r="27" spans="1:8" ht="12" customHeight="1">
      <c r="E27" s="686" t="s">
        <v>1837</v>
      </c>
    </row>
    <row r="28" spans="1:8" ht="12" customHeight="1">
      <c r="C28" s="656" t="s">
        <v>3782</v>
      </c>
      <c r="E28" s="656" t="str">
        <f>Overview!$C$9</f>
        <v>&lt;&lt;Select&gt;&gt;</v>
      </c>
    </row>
    <row r="29" spans="1:8" ht="3" customHeight="1">
      <c r="H29" s="657"/>
    </row>
    <row r="30" spans="1:8" ht="12" customHeight="1">
      <c r="A30" s="656">
        <v>6</v>
      </c>
      <c r="C30" s="656" t="s">
        <v>3270</v>
      </c>
      <c r="E30" s="656" t="s">
        <v>2494</v>
      </c>
      <c r="F30" s="687">
        <f>'Part III-Sources of Funds'!L19</f>
        <v>5374000</v>
      </c>
      <c r="G30" s="656" t="s">
        <v>3271</v>
      </c>
    </row>
    <row r="31" spans="1:8" ht="12" customHeight="1">
      <c r="F31" s="687" t="s">
        <v>3272</v>
      </c>
      <c r="G31" s="656" t="s">
        <v>3273</v>
      </c>
    </row>
    <row r="32" spans="1:8" ht="3" customHeight="1">
      <c r="F32" s="663"/>
    </row>
    <row r="33" spans="1:7" ht="12" customHeight="1">
      <c r="A33" s="656">
        <v>7</v>
      </c>
      <c r="C33" s="656" t="s">
        <v>3274</v>
      </c>
      <c r="F33" s="689">
        <v>0</v>
      </c>
    </row>
    <row r="34" spans="1:7" ht="3" customHeight="1">
      <c r="F34" s="663"/>
    </row>
    <row r="35" spans="1:7" ht="12" customHeight="1">
      <c r="A35" s="656">
        <v>8</v>
      </c>
      <c r="C35" s="656" t="s">
        <v>3275</v>
      </c>
      <c r="E35" s="656" t="s">
        <v>2494</v>
      </c>
      <c r="F35" s="688">
        <v>0.01</v>
      </c>
    </row>
    <row r="36" spans="1:7" ht="3" customHeight="1">
      <c r="F36" s="689"/>
    </row>
    <row r="37" spans="1:7" ht="12" customHeight="1">
      <c r="A37" s="656">
        <v>9</v>
      </c>
      <c r="C37" s="656" t="s">
        <v>3276</v>
      </c>
      <c r="F37" s="690">
        <v>24</v>
      </c>
      <c r="G37" s="656" t="s">
        <v>3277</v>
      </c>
    </row>
    <row r="38" spans="1:7" ht="3" customHeight="1">
      <c r="F38" s="689"/>
    </row>
    <row r="39" spans="1:7" ht="12" customHeight="1">
      <c r="A39" s="656">
        <v>10</v>
      </c>
      <c r="C39" s="656" t="s">
        <v>3278</v>
      </c>
      <c r="E39" s="656" t="s">
        <v>2494</v>
      </c>
      <c r="F39" s="663">
        <f>'Part III-Sources of Funds'!L37*12</f>
        <v>180</v>
      </c>
      <c r="G39" s="656" t="s">
        <v>3277</v>
      </c>
    </row>
    <row r="40" spans="1:7" ht="3" customHeight="1">
      <c r="F40" s="663"/>
    </row>
    <row r="41" spans="1:7" ht="12" customHeight="1">
      <c r="A41" s="656">
        <v>11</v>
      </c>
      <c r="C41" s="656" t="s">
        <v>3279</v>
      </c>
      <c r="F41" s="696">
        <v>24</v>
      </c>
      <c r="G41" s="656" t="s">
        <v>3277</v>
      </c>
    </row>
    <row r="42" spans="1:7" ht="3" customHeight="1"/>
    <row r="43" spans="1:7" ht="12" customHeight="1">
      <c r="A43" s="656">
        <v>12</v>
      </c>
      <c r="C43" s="656" t="s">
        <v>3280</v>
      </c>
      <c r="F43" s="698" t="s">
        <v>3281</v>
      </c>
    </row>
    <row r="44" spans="1:7" ht="3" customHeight="1"/>
    <row r="45" spans="1:7" ht="12" customHeight="1">
      <c r="A45" s="656">
        <v>13</v>
      </c>
      <c r="C45" s="656" t="s">
        <v>3282</v>
      </c>
      <c r="E45" s="656" t="s">
        <v>2494</v>
      </c>
      <c r="F45" s="686" t="s">
        <v>3283</v>
      </c>
    </row>
    <row r="46" spans="1:7" ht="3" customHeight="1">
      <c r="F46" s="879"/>
    </row>
    <row r="47" spans="1:7" ht="12" customHeight="1">
      <c r="A47" s="656">
        <v>14</v>
      </c>
      <c r="C47" s="656" t="s">
        <v>3284</v>
      </c>
      <c r="E47" s="686" t="str">
        <f>'Part II-Development Team'!H14</f>
        <v>Vantage Partners 2016 GA, LLC</v>
      </c>
    </row>
    <row r="48" spans="1:7" ht="3" customHeight="1">
      <c r="E48" s="686"/>
    </row>
    <row r="49" spans="1:7" ht="12" customHeight="1">
      <c r="A49" s="656">
        <v>15</v>
      </c>
      <c r="C49" s="656" t="s">
        <v>3285</v>
      </c>
      <c r="E49" s="686" t="str">
        <f>'Part II-Development Team'!Q98</f>
        <v>Matt Aiken</v>
      </c>
    </row>
    <row r="50" spans="1:7" ht="12" customHeight="1">
      <c r="C50" s="656" t="s">
        <v>3286</v>
      </c>
      <c r="E50" s="686">
        <f>'Part II-Development Team'!O102</f>
        <v>0</v>
      </c>
      <c r="F50" s="663"/>
    </row>
    <row r="51" spans="1:7" ht="3" customHeight="1">
      <c r="F51" s="663"/>
    </row>
    <row r="52" spans="1:7" ht="12" customHeight="1">
      <c r="A52" s="656">
        <v>16</v>
      </c>
      <c r="C52" s="656" t="s">
        <v>3287</v>
      </c>
      <c r="F52" s="663" t="e">
        <f>#REF!</f>
        <v>#REF!</v>
      </c>
    </row>
    <row r="53" spans="1:7" ht="3" customHeight="1">
      <c r="F53" s="663"/>
    </row>
    <row r="54" spans="1:7" ht="12" customHeight="1">
      <c r="A54" s="691">
        <v>17</v>
      </c>
      <c r="B54" s="691"/>
      <c r="C54" s="691" t="s">
        <v>3288</v>
      </c>
      <c r="D54" s="691"/>
      <c r="E54" s="691"/>
      <c r="F54" s="864" t="e">
        <f>'Subsidy Layering WS'!D12</f>
        <v>#REF!</v>
      </c>
      <c r="G54" s="691"/>
    </row>
    <row r="55" spans="1:7" ht="3" customHeight="1">
      <c r="F55" s="663"/>
    </row>
    <row r="56" spans="1:7" ht="12" customHeight="1">
      <c r="A56" s="656">
        <v>18</v>
      </c>
      <c r="C56" s="656" t="s">
        <v>3289</v>
      </c>
      <c r="E56" s="656" t="s">
        <v>2598</v>
      </c>
      <c r="F56" s="663" t="e">
        <f>#REF!</f>
        <v>#REF!</v>
      </c>
    </row>
    <row r="57" spans="1:7" ht="3" customHeight="1">
      <c r="F57" s="663"/>
    </row>
    <row r="58" spans="1:7" ht="12" customHeight="1">
      <c r="A58" s="656">
        <v>19</v>
      </c>
      <c r="C58" s="656" t="s">
        <v>3290</v>
      </c>
      <c r="F58" s="697"/>
      <c r="G58" s="656" t="s">
        <v>3784</v>
      </c>
    </row>
    <row r="59" spans="1:7" ht="3" customHeight="1">
      <c r="F59" s="663"/>
    </row>
    <row r="60" spans="1:7" ht="12" customHeight="1">
      <c r="A60" s="656">
        <v>20</v>
      </c>
      <c r="C60" s="656" t="s">
        <v>3291</v>
      </c>
      <c r="F60" s="692">
        <f>'Part VII-Pro Forma'!$K$67</f>
        <v>2.033674821958283E-7</v>
      </c>
      <c r="G60" s="691">
        <v>300</v>
      </c>
    </row>
    <row r="61" spans="1:7" ht="3" customHeight="1"/>
    <row r="62" spans="1:7" ht="12" customHeight="1">
      <c r="A62" s="656">
        <v>21</v>
      </c>
      <c r="C62" s="656" t="s">
        <v>3802</v>
      </c>
      <c r="E62" s="658" t="s">
        <v>3785</v>
      </c>
      <c r="F62" s="865" t="s">
        <v>3786</v>
      </c>
      <c r="G62" s="658" t="s">
        <v>3292</v>
      </c>
    </row>
    <row r="63" spans="1:7" ht="12" customHeight="1">
      <c r="E63" s="658" t="s">
        <v>3785</v>
      </c>
      <c r="F63" s="865" t="s">
        <v>3786</v>
      </c>
      <c r="G63" s="658"/>
    </row>
    <row r="64" spans="1:7" ht="3" customHeight="1"/>
    <row r="65" spans="1:6" ht="12" customHeight="1">
      <c r="A65" s="656">
        <v>22</v>
      </c>
      <c r="C65" s="656" t="s">
        <v>3293</v>
      </c>
      <c r="E65" s="686" t="str">
        <f>Overview!H9</f>
        <v>The Preserve at Newport, LP</v>
      </c>
    </row>
    <row r="66" spans="1:6" ht="3" customHeight="1"/>
    <row r="67" spans="1:6" ht="12" customHeight="1">
      <c r="A67" s="656">
        <v>23</v>
      </c>
      <c r="C67" s="656" t="s">
        <v>3294</v>
      </c>
      <c r="F67" s="663" t="s">
        <v>3295</v>
      </c>
    </row>
    <row r="68" spans="1:6" ht="3" customHeight="1"/>
    <row r="69" spans="1:6" ht="12" customHeight="1">
      <c r="A69" s="656">
        <v>24</v>
      </c>
      <c r="C69" s="656" t="s">
        <v>3296</v>
      </c>
      <c r="E69" s="656" t="s">
        <v>2494</v>
      </c>
      <c r="F69" s="663">
        <v>20</v>
      </c>
    </row>
    <row r="70" spans="1:6" ht="3" customHeight="1"/>
    <row r="71" spans="1:6" ht="12" customHeight="1">
      <c r="A71" s="656">
        <v>25</v>
      </c>
      <c r="C71" s="656" t="s">
        <v>3297</v>
      </c>
      <c r="F71" s="693">
        <f>'Part IV-Uses of Funds'!$G$121</f>
        <v>189995</v>
      </c>
    </row>
    <row r="72" spans="1:6" ht="3" customHeight="1">
      <c r="F72" s="693"/>
    </row>
    <row r="73" spans="1:6" ht="12" customHeight="1">
      <c r="A73" s="656">
        <v>26</v>
      </c>
      <c r="C73" s="656" t="s">
        <v>3298</v>
      </c>
      <c r="F73" s="693">
        <f>'Part IV-Uses of Funds'!$G$122</f>
        <v>0</v>
      </c>
    </row>
    <row r="74" spans="1:6" ht="3" customHeight="1">
      <c r="F74" s="693"/>
    </row>
    <row r="75" spans="1:6" ht="12" customHeight="1">
      <c r="A75" s="656">
        <v>27</v>
      </c>
      <c r="C75" s="656" t="s">
        <v>3299</v>
      </c>
      <c r="F75" s="694">
        <f>'Part IV-Uses of Funds'!$G$120</f>
        <v>72552</v>
      </c>
    </row>
    <row r="76" spans="1:6" ht="3" customHeight="1">
      <c r="F76" s="693"/>
    </row>
    <row r="77" spans="1:6" ht="12" customHeight="1">
      <c r="A77" s="656">
        <v>28</v>
      </c>
      <c r="C77" s="656" t="s">
        <v>3300</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99" t="s">
        <v>3504</v>
      </c>
      <c r="B1" s="1999"/>
      <c r="C1" s="1999"/>
      <c r="D1" s="1999"/>
      <c r="E1" s="1999"/>
      <c r="F1" s="1999"/>
      <c r="G1" s="1999"/>
      <c r="H1" s="1999"/>
      <c r="I1" s="1999"/>
      <c r="J1" s="1999"/>
    </row>
    <row r="2" spans="1:10" ht="15">
      <c r="A2" s="1999" t="str">
        <f>Overview!E8&amp;"  "&amp;Overview!C8</f>
        <v>2016-010  The Preserve at Newport</v>
      </c>
      <c r="B2" s="1999"/>
      <c r="C2" s="1999"/>
      <c r="D2" s="1999"/>
      <c r="E2" s="1999"/>
      <c r="F2" s="1999"/>
      <c r="G2" s="1999"/>
      <c r="H2" s="1999"/>
      <c r="I2" s="1999"/>
      <c r="J2" s="1999"/>
    </row>
    <row r="3" spans="1:10" ht="6" customHeight="1"/>
    <row r="4" spans="1:10" ht="12" customHeight="1">
      <c r="A4" s="1070" t="s">
        <v>3301</v>
      </c>
    </row>
    <row r="5" spans="1:10" ht="12" customHeight="1">
      <c r="A5" s="1024" t="s">
        <v>3302</v>
      </c>
      <c r="C5" s="1071" t="str">
        <f>'Subsidy Layering Memo'!D6</f>
        <v>(Underwriter)</v>
      </c>
      <c r="F5" s="2002" t="s">
        <v>3257</v>
      </c>
      <c r="G5" s="2002"/>
      <c r="H5" s="2002"/>
      <c r="I5" s="1071"/>
    </row>
    <row r="6" spans="1:10" ht="6" customHeight="1">
      <c r="C6" s="957"/>
      <c r="D6" s="1071"/>
      <c r="I6" s="1071"/>
    </row>
    <row r="7" spans="1:10" ht="12" customHeight="1">
      <c r="A7" s="1070" t="s">
        <v>3303</v>
      </c>
      <c r="C7" s="957"/>
      <c r="D7" s="1071"/>
      <c r="I7" s="1071"/>
    </row>
    <row r="8" spans="1:10" ht="12" customHeight="1">
      <c r="A8" s="1024" t="s">
        <v>3304</v>
      </c>
      <c r="C8" s="1071" t="str">
        <f>Overview!$H$9</f>
        <v>The Preserve at Newport, LP</v>
      </c>
      <c r="I8" s="1071"/>
    </row>
    <row r="9" spans="1:10" ht="3" customHeight="1">
      <c r="C9" s="957"/>
      <c r="D9" s="1071"/>
      <c r="I9" s="1071"/>
    </row>
    <row r="10" spans="1:10" ht="12" customHeight="1">
      <c r="A10" s="1024" t="s">
        <v>3305</v>
      </c>
      <c r="C10" s="957" t="s">
        <v>1837</v>
      </c>
      <c r="I10" s="1071"/>
    </row>
    <row r="11" spans="1:10" ht="12" customHeight="1">
      <c r="C11" s="957" t="s">
        <v>1837</v>
      </c>
      <c r="I11" s="1071"/>
    </row>
    <row r="12" spans="1:10" ht="12" customHeight="1">
      <c r="C12" s="1071" t="s">
        <v>2773</v>
      </c>
      <c r="D12" s="1072" t="s">
        <v>1837</v>
      </c>
      <c r="I12" s="1071"/>
    </row>
    <row r="13" spans="1:10" ht="12" customHeight="1">
      <c r="C13" s="1071" t="s">
        <v>3306</v>
      </c>
      <c r="D13" s="1073"/>
      <c r="I13" s="1071"/>
    </row>
    <row r="14" spans="1:10" ht="3" customHeight="1">
      <c r="G14" s="957"/>
      <c r="H14" s="1071"/>
      <c r="I14" s="1071"/>
    </row>
    <row r="15" spans="1:10" ht="12" customHeight="1">
      <c r="A15" s="1024" t="s">
        <v>3307</v>
      </c>
      <c r="C15" s="1074" t="str">
        <f>'Part II-Development Team'!$Q$5</f>
        <v>Lowell R. Barron II</v>
      </c>
      <c r="G15" s="957"/>
      <c r="I15" s="1071"/>
    </row>
    <row r="16" spans="1:10" ht="12" customHeight="1">
      <c r="A16" s="1075" t="s">
        <v>2055</v>
      </c>
      <c r="C16" s="1074" t="str">
        <f>'Part II-Development Team'!$Q$6</f>
        <v>President of GP</v>
      </c>
      <c r="G16" s="957"/>
      <c r="I16" s="1071"/>
    </row>
    <row r="17" spans="1:9" ht="3" customHeight="1">
      <c r="G17" s="957"/>
      <c r="H17" s="1071"/>
      <c r="I17" s="1071"/>
    </row>
    <row r="18" spans="1:9" ht="12" customHeight="1">
      <c r="A18" s="1024" t="s">
        <v>3308</v>
      </c>
      <c r="C18" s="1074" t="str">
        <f>'Preview term'!$E$7</f>
        <v>1544 S. Main Street</v>
      </c>
      <c r="G18" s="957"/>
      <c r="I18" s="1071"/>
    </row>
    <row r="19" spans="1:9" ht="12" customHeight="1">
      <c r="C19" s="1074" t="str">
        <f>'Preview term'!$E$8</f>
        <v>Fyffe, AL 35971</v>
      </c>
      <c r="G19" s="957"/>
      <c r="I19" s="1071"/>
    </row>
    <row r="20" spans="1:9" ht="3" customHeight="1">
      <c r="G20" s="957"/>
      <c r="H20" s="1071"/>
      <c r="I20" s="1071"/>
    </row>
    <row r="21" spans="1:9" ht="12" customHeight="1">
      <c r="A21" s="1024" t="s">
        <v>3309</v>
      </c>
      <c r="C21" s="1074" t="str">
        <f>'Preview term'!$E$49</f>
        <v>Matt Aiken</v>
      </c>
      <c r="G21" s="957"/>
      <c r="I21" s="1071"/>
    </row>
    <row r="22" spans="1:9" ht="3" customHeight="1">
      <c r="C22" s="1074"/>
      <c r="G22" s="957"/>
      <c r="I22" s="1071"/>
    </row>
    <row r="23" spans="1:9" ht="12" customHeight="1">
      <c r="A23" s="1024" t="s">
        <v>3310</v>
      </c>
      <c r="C23" s="1074">
        <f>'Part II-Development Team'!$H$102</f>
        <v>2052263425</v>
      </c>
      <c r="G23" s="957"/>
      <c r="I23" s="1071"/>
    </row>
    <row r="24" spans="1:9" ht="3" customHeight="1">
      <c r="C24" s="1074"/>
      <c r="G24" s="957"/>
      <c r="I24" s="1071"/>
    </row>
    <row r="25" spans="1:9" ht="12" customHeight="1">
      <c r="A25" s="1024" t="s">
        <v>3311</v>
      </c>
      <c r="C25" s="866">
        <f>'Preview term'!$E$50</f>
        <v>0</v>
      </c>
      <c r="G25" s="957"/>
    </row>
    <row r="26" spans="1:9" ht="6" customHeight="1">
      <c r="G26" s="957"/>
      <c r="H26" s="1071"/>
      <c r="I26" s="1071"/>
    </row>
    <row r="27" spans="1:9" ht="12" customHeight="1">
      <c r="A27" s="1070" t="s">
        <v>3312</v>
      </c>
      <c r="G27" s="957"/>
      <c r="H27" s="1071"/>
      <c r="I27" s="1071"/>
    </row>
    <row r="28" spans="1:9" ht="12" customHeight="1">
      <c r="A28" s="1024" t="s">
        <v>3313</v>
      </c>
      <c r="C28" s="1074" t="str">
        <f>Overview!$C$8</f>
        <v>The Preserve at Newport</v>
      </c>
      <c r="I28" s="1071"/>
    </row>
    <row r="29" spans="1:9" ht="3" customHeight="1">
      <c r="C29" s="1074"/>
      <c r="I29" s="1071"/>
    </row>
    <row r="30" spans="1:9" ht="12" customHeight="1">
      <c r="A30" s="1024" t="s">
        <v>3314</v>
      </c>
      <c r="C30" s="1074" t="str">
        <f>'Preview term'!E16</f>
        <v>Parcel# 107-017</v>
      </c>
      <c r="I30" s="1071"/>
    </row>
    <row r="31" spans="1:9">
      <c r="C31" s="1071" t="str">
        <f>'Preview term'!E17</f>
        <v>Kingsland, Camden 31548</v>
      </c>
      <c r="I31" s="1071"/>
    </row>
    <row r="32" spans="1:9" ht="3" customHeight="1">
      <c r="C32" s="957"/>
      <c r="D32" s="957"/>
      <c r="I32" s="957"/>
    </row>
    <row r="33" spans="1:10" ht="12" customHeight="1">
      <c r="A33" s="1024" t="s">
        <v>3315</v>
      </c>
      <c r="C33" s="957" t="s">
        <v>3316</v>
      </c>
      <c r="D33" s="1076" t="e">
        <f>'Preview term'!F54</f>
        <v>#REF!</v>
      </c>
      <c r="I33" s="957"/>
    </row>
    <row r="34" spans="1:10" ht="12" customHeight="1">
      <c r="C34" s="957" t="s">
        <v>3317</v>
      </c>
      <c r="D34" s="1077" t="e">
        <f>#REF!+#REF!</f>
        <v>#REF!</v>
      </c>
      <c r="I34" s="957"/>
    </row>
    <row r="35" spans="1:10" ht="12" customHeight="1">
      <c r="C35" s="957" t="s">
        <v>3318</v>
      </c>
      <c r="D35" s="1078" t="e">
        <f>SUM(D33:D34)</f>
        <v>#REF!</v>
      </c>
      <c r="I35" s="957"/>
    </row>
    <row r="36" spans="1:10" ht="3" customHeight="1">
      <c r="C36" s="957"/>
      <c r="D36" s="957"/>
      <c r="I36" s="957"/>
    </row>
    <row r="37" spans="1:10" ht="12" customHeight="1">
      <c r="A37" s="1024" t="s">
        <v>3319</v>
      </c>
      <c r="C37" s="957" t="s">
        <v>3153</v>
      </c>
      <c r="D37" s="1079"/>
      <c r="I37" s="957"/>
    </row>
    <row r="38" spans="1:10" ht="12" customHeight="1">
      <c r="C38" s="957" t="s">
        <v>3156</v>
      </c>
      <c r="D38" s="1080"/>
      <c r="I38" s="957"/>
    </row>
    <row r="39" spans="1:10" ht="12" customHeight="1">
      <c r="C39" s="957" t="s">
        <v>3320</v>
      </c>
      <c r="D39" s="1081" t="e">
        <f>#REF!</f>
        <v>#REF!</v>
      </c>
      <c r="I39" s="957"/>
    </row>
    <row r="40" spans="1:10" ht="3" customHeight="1">
      <c r="G40" s="1082"/>
      <c r="H40" s="957"/>
      <c r="I40" s="957"/>
    </row>
    <row r="41" spans="1:10" ht="25.5" customHeight="1">
      <c r="A41" s="1083" t="s">
        <v>3321</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Playground, Covered pavilion with BBQ Grills, , </v>
      </c>
      <c r="D41" s="1990"/>
      <c r="E41" s="1990"/>
      <c r="F41" s="1990"/>
      <c r="G41" s="1990"/>
      <c r="H41" s="1990"/>
      <c r="I41" s="1990"/>
      <c r="J41" s="1990"/>
    </row>
    <row r="42" spans="1:10" ht="3" customHeight="1">
      <c r="G42" s="957"/>
      <c r="H42" s="957"/>
      <c r="I42" s="957"/>
    </row>
    <row r="43" spans="1:10" ht="25.5" customHeight="1">
      <c r="A43" s="1083" t="s">
        <v>3322</v>
      </c>
      <c r="C43" s="1991" t="s">
        <v>3787</v>
      </c>
      <c r="D43" s="1991"/>
      <c r="E43" s="1991"/>
      <c r="F43" s="1991"/>
      <c r="G43" s="1991"/>
      <c r="H43" s="1991"/>
      <c r="I43" s="1991"/>
      <c r="J43" s="1991"/>
    </row>
    <row r="44" spans="1:10" ht="3" customHeight="1">
      <c r="C44" s="699"/>
      <c r="D44" s="699"/>
      <c r="E44" s="699"/>
      <c r="F44" s="699"/>
      <c r="G44" s="699"/>
      <c r="H44" s="700"/>
      <c r="I44" s="701"/>
      <c r="J44" s="700"/>
    </row>
    <row r="45" spans="1:10" ht="12" customHeight="1">
      <c r="A45" s="1024" t="s">
        <v>3323</v>
      </c>
      <c r="C45" s="867" t="str">
        <f>'Part I-Project Information'!$J$29</f>
        <v>Camden</v>
      </c>
      <c r="D45" s="699"/>
      <c r="F45" s="700"/>
      <c r="I45" s="701"/>
      <c r="J45" s="700"/>
    </row>
    <row r="46" spans="1:10" ht="3" customHeight="1">
      <c r="C46" s="699"/>
      <c r="D46" s="699"/>
      <c r="E46" s="699"/>
      <c r="F46" s="700"/>
      <c r="I46" s="701"/>
      <c r="J46" s="700"/>
    </row>
    <row r="47" spans="1:10" ht="12" customHeight="1">
      <c r="A47" s="1024" t="s">
        <v>3324</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3325</v>
      </c>
      <c r="C49" s="957" t="s">
        <v>3326</v>
      </c>
      <c r="D49" s="1085">
        <v>2</v>
      </c>
      <c r="I49" s="1086"/>
      <c r="J49" s="1086"/>
    </row>
    <row r="50" spans="1:10" ht="3" customHeight="1">
      <c r="D50" s="1086"/>
      <c r="E50" s="1086"/>
      <c r="F50" s="1086"/>
      <c r="G50" s="1087"/>
      <c r="H50" s="957"/>
      <c r="I50" s="1086"/>
      <c r="J50" s="1086"/>
    </row>
    <row r="51" spans="1:10" ht="12" customHeight="1">
      <c r="B51" s="1024" t="s">
        <v>3327</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86"/>
      <c r="E53" s="1086"/>
      <c r="F53" s="1086"/>
      <c r="G53" s="1087"/>
      <c r="H53" s="957"/>
      <c r="I53" s="1086"/>
      <c r="J53" s="1086"/>
    </row>
    <row r="54" spans="1:10" ht="25.5" customHeight="1">
      <c r="A54" s="1083" t="s">
        <v>3328</v>
      </c>
      <c r="B54" s="1083"/>
      <c r="C54" s="1088" t="s">
        <v>3329</v>
      </c>
      <c r="D54" s="1088" t="s">
        <v>3788</v>
      </c>
      <c r="E54" s="1993"/>
      <c r="F54" s="1993"/>
      <c r="G54" s="1993"/>
      <c r="H54" s="1993"/>
      <c r="I54" s="1993"/>
      <c r="J54" s="1993"/>
    </row>
    <row r="55" spans="1:10" ht="12" customHeight="1">
      <c r="A55" s="1083"/>
      <c r="B55" s="1083"/>
      <c r="C55" s="1083"/>
      <c r="D55" s="1088" t="s">
        <v>3789</v>
      </c>
      <c r="E55" s="1994"/>
      <c r="F55" s="1994"/>
      <c r="G55" s="1994"/>
      <c r="H55" s="1994"/>
      <c r="I55" s="1994"/>
      <c r="J55" s="1994"/>
    </row>
    <row r="56" spans="1:10" ht="12" customHeight="1">
      <c r="A56" s="1070" t="s">
        <v>3330</v>
      </c>
      <c r="G56" s="957"/>
      <c r="H56" s="957"/>
      <c r="I56" s="957"/>
    </row>
    <row r="57" spans="1:10" ht="18" customHeight="1">
      <c r="A57" s="1024" t="s">
        <v>3331</v>
      </c>
      <c r="C57" s="1072" t="str">
        <f>Overview!C10</f>
        <v>Vantage Partners 2016 GA, LLC</v>
      </c>
      <c r="G57" s="957"/>
      <c r="I57" s="957"/>
    </row>
    <row r="58" spans="1:10" ht="3" customHeight="1">
      <c r="C58" s="1072"/>
      <c r="G58" s="957"/>
      <c r="I58" s="957"/>
    </row>
    <row r="59" spans="1:10" ht="12" customHeight="1">
      <c r="A59" s="1024" t="s">
        <v>3332</v>
      </c>
      <c r="C59" s="1072" t="str">
        <f>Overview!C11</f>
        <v/>
      </c>
      <c r="G59" s="957"/>
      <c r="I59" s="957"/>
    </row>
    <row r="60" spans="1:10" ht="3" customHeight="1">
      <c r="C60" s="1072"/>
      <c r="G60" s="957"/>
      <c r="I60" s="957"/>
    </row>
    <row r="61" spans="1:10" ht="12" customHeight="1">
      <c r="A61" s="1024" t="s">
        <v>3333</v>
      </c>
      <c r="C61" s="1072" t="s">
        <v>2947</v>
      </c>
      <c r="G61" s="957"/>
      <c r="I61" s="957"/>
    </row>
    <row r="62" spans="1:10" ht="6" customHeight="1">
      <c r="G62" s="957"/>
      <c r="H62" s="957"/>
      <c r="I62" s="957"/>
    </row>
    <row r="63" spans="1:10" ht="12" customHeight="1">
      <c r="A63" s="1070" t="s">
        <v>3334</v>
      </c>
      <c r="G63" s="957"/>
      <c r="H63" s="957"/>
      <c r="I63" s="957"/>
    </row>
    <row r="64" spans="1:10" ht="12" customHeight="1">
      <c r="A64" s="1024" t="s">
        <v>3335</v>
      </c>
      <c r="C64" s="1024" t="s">
        <v>3336</v>
      </c>
      <c r="D64" s="1089">
        <f>'Preview term'!F30</f>
        <v>5374000</v>
      </c>
      <c r="G64" s="957"/>
      <c r="I64" s="957"/>
    </row>
    <row r="65" spans="1:10" ht="3" customHeight="1">
      <c r="D65" s="1090"/>
      <c r="G65" s="957"/>
      <c r="H65" s="1091"/>
      <c r="I65" s="957"/>
    </row>
    <row r="66" spans="1:10" ht="12" customHeight="1">
      <c r="A66" s="1024" t="s">
        <v>3337</v>
      </c>
      <c r="C66" s="1024" t="s">
        <v>3339</v>
      </c>
      <c r="D66" s="1072" t="s">
        <v>3338</v>
      </c>
      <c r="G66" s="957"/>
      <c r="I66" s="957"/>
    </row>
    <row r="67" spans="1:10" ht="3" customHeight="1">
      <c r="D67" s="1090"/>
      <c r="G67" s="957"/>
      <c r="H67" s="957"/>
      <c r="I67" s="957"/>
    </row>
    <row r="68" spans="1:10" ht="12" customHeight="1">
      <c r="A68" s="1024" t="s">
        <v>3340</v>
      </c>
      <c r="C68" s="957" t="s">
        <v>1837</v>
      </c>
      <c r="D68" s="1090"/>
      <c r="I68" s="957"/>
    </row>
    <row r="69" spans="1:10" ht="12" customHeight="1">
      <c r="C69" s="1024" t="s">
        <v>3341</v>
      </c>
      <c r="D69" s="1073"/>
      <c r="I69" s="957"/>
    </row>
    <row r="70" spans="1:10" ht="12" customHeight="1">
      <c r="C70" s="1024" t="s">
        <v>3306</v>
      </c>
      <c r="D70" s="1073"/>
      <c r="I70" s="957"/>
    </row>
    <row r="71" spans="1:10" ht="3" customHeight="1">
      <c r="D71" s="1090"/>
      <c r="E71" s="957"/>
      <c r="F71" s="957"/>
      <c r="I71" s="957"/>
    </row>
    <row r="72" spans="1:10" ht="12" customHeight="1">
      <c r="A72" s="1024" t="s">
        <v>3342</v>
      </c>
      <c r="C72" s="1024" t="s">
        <v>2494</v>
      </c>
      <c r="D72" s="1072" t="s">
        <v>1837</v>
      </c>
      <c r="I72" s="957"/>
    </row>
    <row r="73" spans="1:10" ht="3" customHeight="1">
      <c r="D73" s="957"/>
      <c r="E73" s="957"/>
      <c r="I73" s="957"/>
    </row>
    <row r="74" spans="1:10" ht="12" customHeight="1">
      <c r="A74" s="1024" t="s">
        <v>3343</v>
      </c>
      <c r="C74" s="957" t="s">
        <v>1837</v>
      </c>
      <c r="I74" s="957"/>
    </row>
    <row r="75" spans="1:10" ht="3" customHeight="1">
      <c r="C75" s="1090"/>
      <c r="G75" s="1092"/>
      <c r="H75" s="957"/>
      <c r="I75" s="957"/>
    </row>
    <row r="76" spans="1:10" ht="12" customHeight="1">
      <c r="A76" s="1024" t="s">
        <v>3344</v>
      </c>
      <c r="C76" s="1090" t="s">
        <v>3345</v>
      </c>
      <c r="D76" s="1093">
        <v>0</v>
      </c>
      <c r="J76" s="957"/>
    </row>
    <row r="77" spans="1:10" ht="12" customHeight="1">
      <c r="C77" s="1094" t="s">
        <v>3516</v>
      </c>
      <c r="D77" s="1095">
        <v>0.01</v>
      </c>
      <c r="J77" s="957"/>
    </row>
    <row r="78" spans="1:10" ht="3" customHeight="1">
      <c r="C78" s="1090"/>
      <c r="D78" s="1090"/>
      <c r="G78" s="957"/>
      <c r="H78" s="957"/>
      <c r="I78" s="957"/>
    </row>
    <row r="79" spans="1:10" ht="12" customHeight="1">
      <c r="A79" s="1024" t="s">
        <v>3346</v>
      </c>
      <c r="C79" s="1090" t="s">
        <v>3845</v>
      </c>
      <c r="D79" s="1096">
        <v>24</v>
      </c>
      <c r="I79" s="957"/>
    </row>
    <row r="80" spans="1:10" ht="3" customHeight="1">
      <c r="D80" s="1090"/>
      <c r="E80" s="957"/>
      <c r="F80" s="957"/>
      <c r="I80" s="957"/>
    </row>
    <row r="81" spans="1:9" ht="12" customHeight="1">
      <c r="A81" s="1024" t="s">
        <v>3347</v>
      </c>
      <c r="C81" s="1024" t="s">
        <v>2494</v>
      </c>
      <c r="D81" s="1097">
        <f>'Preview term'!F39</f>
        <v>180</v>
      </c>
      <c r="E81" s="957" t="s">
        <v>3794</v>
      </c>
      <c r="I81" s="957"/>
    </row>
    <row r="82" spans="1:9" ht="3" customHeight="1">
      <c r="D82" s="1090"/>
      <c r="G82" s="957"/>
      <c r="H82" s="957"/>
      <c r="I82" s="957"/>
    </row>
    <row r="83" spans="1:9" ht="12" customHeight="1">
      <c r="A83" s="1024" t="s">
        <v>3348</v>
      </c>
      <c r="D83" s="1098">
        <v>0</v>
      </c>
      <c r="E83" s="1099">
        <f>D83*12</f>
        <v>0</v>
      </c>
      <c r="F83" s="957" t="s">
        <v>3846</v>
      </c>
    </row>
    <row r="84" spans="1:9" ht="3" customHeight="1">
      <c r="D84" s="1072"/>
      <c r="E84" s="957"/>
      <c r="G84" s="957"/>
    </row>
    <row r="85" spans="1:9" ht="12" customHeight="1">
      <c r="A85" s="1024" t="s">
        <v>3349</v>
      </c>
      <c r="D85" s="1100" t="s">
        <v>3338</v>
      </c>
      <c r="E85" s="957" t="s">
        <v>3350</v>
      </c>
      <c r="G85" s="957"/>
    </row>
    <row r="86" spans="1:9" ht="3" customHeight="1">
      <c r="G86" s="957"/>
      <c r="H86" s="957"/>
      <c r="I86" s="957"/>
    </row>
    <row r="87" spans="1:9" ht="12" customHeight="1">
      <c r="A87" s="1024" t="s">
        <v>3351</v>
      </c>
      <c r="C87" s="1089">
        <f>'Part VII-Pro Forma'!$K$67</f>
        <v>2.033674821958283E-7</v>
      </c>
      <c r="D87" s="1101" t="s">
        <v>3790</v>
      </c>
      <c r="I87" s="957"/>
    </row>
    <row r="88" spans="1:9" ht="3" customHeight="1">
      <c r="C88" s="957" t="s">
        <v>1837</v>
      </c>
      <c r="D88" s="957"/>
      <c r="E88" s="957"/>
      <c r="I88" s="957"/>
    </row>
    <row r="89" spans="1:9" ht="12" customHeight="1">
      <c r="A89" s="1024" t="s">
        <v>3352</v>
      </c>
      <c r="B89" s="1102"/>
      <c r="C89" s="957" t="s">
        <v>3353</v>
      </c>
      <c r="I89" s="957"/>
    </row>
    <row r="90" spans="1:9" ht="3" customHeight="1">
      <c r="G90" s="957"/>
      <c r="H90" s="957"/>
      <c r="I90" s="957"/>
    </row>
    <row r="91" spans="1:9" ht="12" customHeight="1">
      <c r="A91" s="1024" t="s">
        <v>3354</v>
      </c>
      <c r="C91" s="1090" t="s">
        <v>3355</v>
      </c>
      <c r="D91" s="1072" t="s">
        <v>3281</v>
      </c>
      <c r="I91" s="957"/>
    </row>
    <row r="92" spans="1:9" ht="12" customHeight="1">
      <c r="C92" s="1090" t="s">
        <v>3356</v>
      </c>
      <c r="D92" s="1072" t="s">
        <v>3338</v>
      </c>
      <c r="I92" s="957"/>
    </row>
    <row r="93" spans="1:9" ht="3" customHeight="1">
      <c r="G93" s="957"/>
      <c r="H93" s="957"/>
      <c r="I93" s="957"/>
    </row>
    <row r="94" spans="1:9" ht="12" customHeight="1">
      <c r="A94" s="1024" t="s">
        <v>3357</v>
      </c>
      <c r="C94" s="1090" t="s">
        <v>3345</v>
      </c>
      <c r="D94" s="957" t="s">
        <v>3358</v>
      </c>
      <c r="E94" s="1090" t="str">
        <f>'Part III-Sources of Funds'!H19</f>
        <v>TBD - C&amp;S Bank</v>
      </c>
      <c r="I94" s="957"/>
    </row>
    <row r="95" spans="1:9" ht="12" customHeight="1">
      <c r="C95" s="1090"/>
      <c r="D95" s="957"/>
      <c r="E95" s="1090" t="s">
        <v>1863</v>
      </c>
      <c r="F95" s="1998"/>
      <c r="G95" s="1998"/>
      <c r="H95" s="1998"/>
      <c r="I95" s="957"/>
    </row>
    <row r="96" spans="1:9" ht="12" customHeight="1">
      <c r="C96" s="1090"/>
      <c r="D96" s="957"/>
      <c r="E96" s="1090" t="s">
        <v>2057</v>
      </c>
      <c r="F96" s="1997"/>
      <c r="G96" s="1997"/>
      <c r="H96" s="1997"/>
      <c r="I96" s="957"/>
    </row>
    <row r="97" spans="1:10" ht="12" customHeight="1">
      <c r="C97" s="1090"/>
      <c r="D97" s="957"/>
      <c r="E97" s="1090" t="s">
        <v>1866</v>
      </c>
      <c r="F97" s="1996"/>
      <c r="G97" s="1996"/>
      <c r="H97" s="1996"/>
      <c r="I97" s="957"/>
    </row>
    <row r="98" spans="1:10" ht="12" customHeight="1">
      <c r="B98" s="1075" t="s">
        <v>3359</v>
      </c>
      <c r="C98" s="1094" t="s">
        <v>3516</v>
      </c>
      <c r="D98" s="957" t="s">
        <v>3358</v>
      </c>
      <c r="E98" s="1090" t="str">
        <f>'Part III-Sources of Funds'!E37</f>
        <v>DCA HOME Loan</v>
      </c>
      <c r="I98" s="957"/>
    </row>
    <row r="99" spans="1:10" ht="12" customHeight="1">
      <c r="C99" s="1090"/>
      <c r="D99" s="957"/>
      <c r="E99" s="1090" t="s">
        <v>1863</v>
      </c>
      <c r="F99" s="1998"/>
      <c r="G99" s="1998"/>
      <c r="H99" s="1998"/>
      <c r="I99" s="957"/>
    </row>
    <row r="100" spans="1:10" ht="12" customHeight="1">
      <c r="C100" s="1090"/>
      <c r="D100" s="957"/>
      <c r="E100" s="1090" t="s">
        <v>2057</v>
      </c>
      <c r="F100" s="1997"/>
      <c r="G100" s="1997"/>
      <c r="H100" s="1997"/>
      <c r="I100" s="957"/>
    </row>
    <row r="101" spans="1:10" ht="12" customHeight="1">
      <c r="C101" s="1090"/>
      <c r="D101" s="957"/>
      <c r="E101" s="1090" t="s">
        <v>1866</v>
      </c>
      <c r="F101" s="1996"/>
      <c r="G101" s="1996"/>
      <c r="H101" s="1996"/>
      <c r="I101" s="957"/>
    </row>
    <row r="102" spans="1:10" ht="3" customHeight="1">
      <c r="D102" s="1103"/>
      <c r="G102" s="957"/>
      <c r="H102" s="957"/>
      <c r="I102" s="957"/>
    </row>
    <row r="103" spans="1:10" ht="12" customHeight="1">
      <c r="A103" s="1024" t="s">
        <v>3360</v>
      </c>
      <c r="D103" s="1104" t="str">
        <f>'Part IX A-Scoring Criteria'!O208</f>
        <v>Yes</v>
      </c>
      <c r="E103" s="957" t="s">
        <v>3338</v>
      </c>
      <c r="G103" s="1024">
        <f>'Part IX A-Scoring Criteria'!P207</f>
        <v>0</v>
      </c>
      <c r="H103" s="1024" t="s">
        <v>3791</v>
      </c>
      <c r="I103" s="957"/>
    </row>
    <row r="104" spans="1:10" ht="3" customHeight="1">
      <c r="E104" s="957"/>
      <c r="F104" s="957"/>
      <c r="I104" s="957"/>
    </row>
    <row r="105" spans="1:10" ht="12" customHeight="1">
      <c r="A105" s="957" t="s">
        <v>3517</v>
      </c>
      <c r="D105" s="1024" t="s">
        <v>3338</v>
      </c>
      <c r="E105" s="957"/>
      <c r="I105" s="957"/>
    </row>
    <row r="106" spans="1:10" ht="6" customHeight="1">
      <c r="G106" s="957"/>
      <c r="H106" s="957"/>
      <c r="I106" s="957"/>
    </row>
    <row r="107" spans="1:10" ht="12" customHeight="1">
      <c r="A107" s="1070" t="s">
        <v>3518</v>
      </c>
      <c r="I107" s="957"/>
    </row>
    <row r="108" spans="1:10" ht="12" customHeight="1">
      <c r="A108" s="1024" t="s">
        <v>3361</v>
      </c>
      <c r="C108" s="1072" t="s">
        <v>1837</v>
      </c>
      <c r="D108" s="1991"/>
      <c r="E108" s="1991"/>
      <c r="F108" s="1991"/>
      <c r="G108" s="1991"/>
      <c r="H108" s="1991"/>
      <c r="I108" s="1991"/>
      <c r="J108" s="1991"/>
    </row>
    <row r="109" spans="1:10" ht="3" customHeight="1">
      <c r="C109" s="1090"/>
      <c r="D109" s="957"/>
      <c r="I109" s="957"/>
    </row>
    <row r="110" spans="1:10" ht="12" customHeight="1">
      <c r="A110" s="1024" t="s">
        <v>3362</v>
      </c>
      <c r="C110" s="1072" t="s">
        <v>1837</v>
      </c>
    </row>
    <row r="111" spans="1:10" ht="3" customHeight="1">
      <c r="C111" s="1090"/>
      <c r="E111" s="957"/>
      <c r="F111" s="957"/>
      <c r="I111" s="957"/>
    </row>
    <row r="112" spans="1:10" ht="12" customHeight="1">
      <c r="A112" s="1024" t="s">
        <v>3363</v>
      </c>
      <c r="C112" s="1072" t="s">
        <v>1837</v>
      </c>
      <c r="I112" s="957"/>
    </row>
    <row r="113" spans="1:9" ht="3" customHeight="1">
      <c r="D113" s="1082"/>
      <c r="I113" s="957"/>
    </row>
    <row r="114" spans="1:9" ht="12" customHeight="1">
      <c r="A114" s="1024" t="s">
        <v>3364</v>
      </c>
      <c r="D114" s="1097">
        <v>24</v>
      </c>
      <c r="E114" s="957" t="s">
        <v>3365</v>
      </c>
      <c r="I114" s="957"/>
    </row>
    <row r="115" spans="1:9" ht="12" customHeight="1">
      <c r="C115" s="1072" t="s">
        <v>3793</v>
      </c>
      <c r="I115" s="957"/>
    </row>
    <row r="116" spans="1:9" ht="12" customHeight="1">
      <c r="C116" s="1072" t="s">
        <v>3792</v>
      </c>
      <c r="G116" s="957"/>
      <c r="I116" s="957"/>
    </row>
    <row r="117" spans="1:9" ht="3" customHeight="1">
      <c r="G117" s="957"/>
      <c r="H117" s="957"/>
      <c r="I117" s="957"/>
    </row>
    <row r="118" spans="1:9" ht="12" customHeight="1">
      <c r="A118" s="1024" t="s">
        <v>3366</v>
      </c>
      <c r="D118" s="1105">
        <v>0</v>
      </c>
      <c r="E118" s="1106" t="s">
        <v>3367</v>
      </c>
      <c r="I118" s="957"/>
    </row>
    <row r="119" spans="1:9" ht="3" customHeight="1">
      <c r="D119" s="1090"/>
      <c r="E119" s="957"/>
      <c r="F119" s="957"/>
      <c r="I119" s="957"/>
    </row>
    <row r="120" spans="1:9" ht="12" customHeight="1">
      <c r="A120" s="1024" t="s">
        <v>3368</v>
      </c>
      <c r="C120" s="957" t="s">
        <v>1837</v>
      </c>
      <c r="D120" s="1107"/>
      <c r="I120" s="957"/>
    </row>
    <row r="121" spans="1:9" ht="12" customHeight="1">
      <c r="C121" s="957" t="s">
        <v>3369</v>
      </c>
      <c r="D121" s="1104"/>
      <c r="I121" s="957"/>
    </row>
    <row r="122" spans="1:9" ht="12" customHeight="1">
      <c r="C122" s="957" t="s">
        <v>3370</v>
      </c>
      <c r="D122" s="1073"/>
      <c r="I122" s="957"/>
    </row>
    <row r="123" spans="1:9" ht="12" customHeight="1">
      <c r="C123" s="957" t="s">
        <v>3371</v>
      </c>
      <c r="D123" s="1073"/>
      <c r="I123" s="957"/>
    </row>
    <row r="124" spans="1:9" ht="3" customHeight="1">
      <c r="E124" s="957"/>
      <c r="F124" s="957"/>
      <c r="I124" s="957"/>
    </row>
    <row r="125" spans="1:9" ht="12" customHeight="1">
      <c r="A125" s="1024" t="s">
        <v>3372</v>
      </c>
      <c r="D125" s="1108" t="s">
        <v>3338</v>
      </c>
      <c r="I125" s="957"/>
    </row>
    <row r="126" spans="1:9" ht="3" customHeight="1">
      <c r="D126" s="957"/>
      <c r="I126" s="957"/>
    </row>
    <row r="127" spans="1:9" ht="12" customHeight="1">
      <c r="A127" s="1024" t="s">
        <v>3373</v>
      </c>
      <c r="D127" s="957" t="s">
        <v>3338</v>
      </c>
      <c r="I127" s="957"/>
    </row>
    <row r="128" spans="1:9" ht="3" customHeight="1">
      <c r="G128" s="957"/>
      <c r="H128" s="957"/>
      <c r="I128" s="957"/>
    </row>
    <row r="129" spans="1:10" ht="12" customHeight="1">
      <c r="A129" s="1024" t="s">
        <v>3374</v>
      </c>
      <c r="D129" s="957" t="s">
        <v>3375</v>
      </c>
      <c r="G129" s="957"/>
      <c r="I129" s="957"/>
    </row>
    <row r="130" spans="1:10" ht="7.5" customHeight="1">
      <c r="G130" s="957"/>
      <c r="H130" s="957"/>
      <c r="I130" s="957"/>
    </row>
    <row r="131" spans="1:10" ht="12" customHeight="1">
      <c r="A131" s="1070" t="s">
        <v>3376</v>
      </c>
      <c r="G131" s="957"/>
      <c r="H131" s="957"/>
      <c r="I131" s="957"/>
    </row>
    <row r="132" spans="1:10" ht="12" customHeight="1">
      <c r="A132" s="1024" t="s">
        <v>3377</v>
      </c>
      <c r="C132" s="1072" t="str">
        <f>Overview!H11</f>
        <v>Vantage Development, LLC</v>
      </c>
      <c r="G132" s="957"/>
      <c r="I132" s="957"/>
    </row>
    <row r="133" spans="1:10" ht="12" customHeight="1">
      <c r="C133" s="1072">
        <f>Overview!K11</f>
        <v>0</v>
      </c>
      <c r="G133" s="957"/>
      <c r="I133" s="957"/>
    </row>
    <row r="134" spans="1:10" ht="3" customHeight="1">
      <c r="C134" s="957"/>
      <c r="G134" s="957"/>
      <c r="I134" s="957"/>
    </row>
    <row r="135" spans="1:10" ht="12" customHeight="1">
      <c r="A135" s="1024" t="s">
        <v>3378</v>
      </c>
      <c r="C135" s="1109">
        <f>('Part IV-Uses of Funds'!G117-'Part III-Sources of Funds'!I42)/2</f>
        <v>687605</v>
      </c>
      <c r="G135" s="957"/>
      <c r="I135" s="957"/>
    </row>
    <row r="136" spans="1:10" ht="3" customHeight="1">
      <c r="C136" s="957"/>
      <c r="G136" s="957"/>
      <c r="I136" s="957"/>
    </row>
    <row r="137" spans="1:10" ht="12" customHeight="1">
      <c r="A137" s="1024" t="s">
        <v>3379</v>
      </c>
      <c r="C137" s="1100" t="s">
        <v>3380</v>
      </c>
      <c r="G137" s="957"/>
      <c r="I137" s="957"/>
    </row>
    <row r="138" spans="1:10" ht="3" customHeight="1">
      <c r="C138" s="1072"/>
      <c r="G138" s="957"/>
      <c r="I138" s="957"/>
    </row>
    <row r="139" spans="1:10" ht="12" customHeight="1">
      <c r="A139" s="1024" t="s">
        <v>3381</v>
      </c>
      <c r="C139" s="1072" t="str">
        <f>'Preview term'!E19</f>
        <v>Vantage Management, LLC</v>
      </c>
      <c r="G139" s="957"/>
      <c r="I139" s="957"/>
      <c r="J139" s="1110"/>
    </row>
    <row r="140" spans="1:10" ht="3" customHeight="1">
      <c r="C140" s="1072"/>
      <c r="G140" s="957"/>
      <c r="I140" s="957"/>
    </row>
    <row r="141" spans="1:10" ht="12" customHeight="1">
      <c r="A141" s="1024" t="s">
        <v>3382</v>
      </c>
      <c r="C141" s="1074" t="str">
        <f>C8</f>
        <v>The Preserve at Newport, LP</v>
      </c>
      <c r="G141" s="957"/>
      <c r="I141" s="1071"/>
      <c r="J141" s="1111"/>
    </row>
    <row r="142" spans="1:10" ht="3" customHeight="1">
      <c r="C142" s="1074"/>
      <c r="G142" s="957"/>
      <c r="I142" s="1071"/>
      <c r="J142" s="1111"/>
    </row>
    <row r="143" spans="1:10" ht="12" customHeight="1">
      <c r="A143" s="1024" t="s">
        <v>3383</v>
      </c>
      <c r="C143" s="1074" t="str">
        <f>C132</f>
        <v>Vantage Development, LLC</v>
      </c>
      <c r="G143" s="957"/>
      <c r="I143" s="1071"/>
      <c r="J143" s="1111"/>
    </row>
    <row r="144" spans="1:10">
      <c r="C144" s="1074" t="str">
        <f>'Part II-Development Team'!$H$55&amp;", "&amp;'Part II-Development Team'!$H$56&amp;", "&amp;'Part II-Development Team'!$H$57&amp;"  "&amp;'Part II-Development Team'!$J$57</f>
        <v xml:space="preserve">1544 S. Main Street, Fyffe, AL  </v>
      </c>
      <c r="G144" s="957"/>
      <c r="I144" s="1071"/>
      <c r="J144" s="1111"/>
    </row>
    <row r="145" spans="1:10" ht="3" customHeight="1">
      <c r="C145" s="1112"/>
      <c r="G145" s="957"/>
      <c r="I145" s="1071"/>
      <c r="J145" s="1111"/>
    </row>
    <row r="146" spans="1:10" ht="12" customHeight="1">
      <c r="A146" s="1024" t="s">
        <v>3384</v>
      </c>
      <c r="C146" s="1074" t="str">
        <f>Overview!H10</f>
        <v>To Be Determined - 42 Equity Partners</v>
      </c>
      <c r="G146" s="957"/>
      <c r="I146" s="1071"/>
      <c r="J146" s="1110"/>
    </row>
    <row r="147" spans="1:10" ht="3" customHeight="1">
      <c r="C147" s="1074"/>
      <c r="G147" s="957"/>
      <c r="I147" s="1071"/>
      <c r="J147" s="1111"/>
    </row>
    <row r="148" spans="1:10" ht="12" customHeight="1">
      <c r="A148" s="1024" t="s">
        <v>3385</v>
      </c>
      <c r="C148" s="1074" t="str">
        <f>Overview!K10</f>
        <v>To Be Determined - State Tax Credit Exchange, LLC</v>
      </c>
      <c r="G148" s="957"/>
      <c r="I148" s="1071"/>
      <c r="J148" s="1110"/>
    </row>
    <row r="149" spans="1:10" ht="3" customHeight="1">
      <c r="C149" s="1112"/>
      <c r="G149" s="957"/>
      <c r="I149" s="1071"/>
      <c r="J149" s="1111"/>
    </row>
    <row r="150" spans="1:10" ht="12" customHeight="1">
      <c r="A150" s="1024" t="s">
        <v>3386</v>
      </c>
      <c r="C150" s="1113" t="s">
        <v>3338</v>
      </c>
      <c r="G150" s="957"/>
      <c r="I150" s="957"/>
    </row>
    <row r="151" spans="1:10" ht="3" customHeight="1">
      <c r="C151" s="1113"/>
      <c r="G151" s="957"/>
      <c r="I151" s="957"/>
    </row>
    <row r="152" spans="1:10" ht="12" customHeight="1">
      <c r="A152" s="1024" t="s">
        <v>3387</v>
      </c>
      <c r="C152" s="1113" t="s">
        <v>3338</v>
      </c>
      <c r="G152" s="957"/>
      <c r="I152" s="957"/>
    </row>
    <row r="153" spans="1:10" ht="7.5" customHeight="1">
      <c r="G153" s="957"/>
      <c r="H153" s="957"/>
      <c r="I153" s="957"/>
    </row>
    <row r="154" spans="1:10" ht="12" customHeight="1">
      <c r="A154" s="1070" t="s">
        <v>3388</v>
      </c>
      <c r="G154" s="957"/>
      <c r="H154" s="957"/>
      <c r="I154" s="957"/>
    </row>
    <row r="155" spans="1:10" ht="3" customHeight="1">
      <c r="D155" s="957"/>
      <c r="E155" s="957"/>
      <c r="G155" s="957"/>
    </row>
    <row r="156" spans="1:10" ht="12" customHeight="1">
      <c r="A156" s="1024" t="s">
        <v>3389</v>
      </c>
      <c r="C156" s="957" t="s">
        <v>3795</v>
      </c>
      <c r="D156" s="957"/>
      <c r="G156" s="957"/>
      <c r="H156" s="957"/>
      <c r="I156" s="957"/>
    </row>
    <row r="157" spans="1:10" ht="3" customHeight="1">
      <c r="D157" s="957"/>
      <c r="E157" s="957"/>
      <c r="G157" s="957"/>
    </row>
    <row r="158" spans="1:10" ht="12" customHeight="1">
      <c r="A158" s="1024" t="s">
        <v>3390</v>
      </c>
      <c r="D158" s="1100">
        <v>20</v>
      </c>
      <c r="E158" s="957" t="s">
        <v>2494</v>
      </c>
    </row>
    <row r="159" spans="1:10" ht="3" customHeight="1">
      <c r="D159" s="957"/>
      <c r="E159" s="957"/>
      <c r="G159" s="957"/>
    </row>
    <row r="160" spans="1:10" ht="12" customHeight="1">
      <c r="A160" s="1024" t="s">
        <v>3391</v>
      </c>
      <c r="C160" s="957" t="s">
        <v>1837</v>
      </c>
      <c r="D160" s="957" t="s">
        <v>3847</v>
      </c>
      <c r="G160" s="957"/>
    </row>
    <row r="161" spans="1:13" ht="3" customHeight="1">
      <c r="G161" s="957"/>
      <c r="H161" s="957"/>
      <c r="I161" s="957"/>
    </row>
    <row r="162" spans="1:13" ht="12" customHeight="1">
      <c r="A162" s="1024" t="s">
        <v>3392</v>
      </c>
      <c r="G162" s="957"/>
      <c r="H162" s="957"/>
      <c r="I162" s="957"/>
    </row>
    <row r="163" spans="1:13" ht="7.5" customHeight="1">
      <c r="G163" s="957"/>
      <c r="H163" s="957"/>
      <c r="I163" s="957"/>
    </row>
    <row r="164" spans="1:13" ht="12" customHeight="1">
      <c r="A164" s="1070" t="s">
        <v>3393</v>
      </c>
      <c r="G164" s="957"/>
      <c r="H164" s="957"/>
      <c r="I164" s="957"/>
    </row>
    <row r="165" spans="1:13" ht="12" customHeight="1">
      <c r="A165" s="1024" t="s">
        <v>3508</v>
      </c>
      <c r="C165" s="1024" t="s">
        <v>3509</v>
      </c>
      <c r="E165" s="1100">
        <f>'Preview term'!F77</f>
        <v>0</v>
      </c>
      <c r="G165" s="957"/>
      <c r="I165" s="957"/>
    </row>
    <row r="166" spans="1:13" ht="12" customHeight="1">
      <c r="C166" s="1024" t="s">
        <v>3796</v>
      </c>
      <c r="I166" s="957"/>
    </row>
    <row r="167" spans="1:13" ht="3" customHeight="1">
      <c r="E167" s="957"/>
      <c r="G167" s="957"/>
      <c r="I167" s="957"/>
    </row>
    <row r="168" spans="1:13" ht="12" customHeight="1">
      <c r="A168" s="1024" t="s">
        <v>3394</v>
      </c>
      <c r="C168" s="1024" t="s">
        <v>3395</v>
      </c>
      <c r="E168" s="1114">
        <f>'Preview term'!F71</f>
        <v>189995</v>
      </c>
      <c r="G168" s="957"/>
      <c r="I168" s="957"/>
    </row>
    <row r="169" spans="1:13" ht="12" customHeight="1">
      <c r="C169" s="1024" t="s">
        <v>3796</v>
      </c>
      <c r="I169" s="957"/>
    </row>
    <row r="170" spans="1:13" ht="12" customHeight="1">
      <c r="C170" s="1024" t="s">
        <v>3396</v>
      </c>
      <c r="E170" s="1072" t="s">
        <v>2947</v>
      </c>
      <c r="G170" s="957"/>
      <c r="I170" s="957"/>
    </row>
    <row r="171" spans="1:13" ht="3" customHeight="1">
      <c r="E171" s="1072"/>
      <c r="G171" s="957"/>
      <c r="I171" s="957"/>
    </row>
    <row r="172" spans="1:13" ht="12" customHeight="1">
      <c r="A172" s="1024" t="s">
        <v>3510</v>
      </c>
      <c r="C172" s="1024" t="s">
        <v>3511</v>
      </c>
      <c r="E172" s="1114">
        <f>'Preview term'!F73</f>
        <v>0</v>
      </c>
      <c r="G172" s="957"/>
      <c r="I172" s="957"/>
    </row>
    <row r="173" spans="1:13" ht="12" customHeight="1">
      <c r="C173" s="1024" t="s">
        <v>3397</v>
      </c>
      <c r="E173" s="1114">
        <f>'Preview term'!F74</f>
        <v>0</v>
      </c>
      <c r="G173" s="957"/>
      <c r="I173" s="1071"/>
      <c r="J173" s="1111"/>
      <c r="K173" s="1111"/>
      <c r="L173" s="1111"/>
      <c r="M173" s="1111"/>
    </row>
    <row r="174" spans="1:13" ht="12" customHeight="1">
      <c r="C174" s="1024" t="s">
        <v>3398</v>
      </c>
      <c r="E174" s="1109" t="e">
        <f>#REF!</f>
        <v>#REF!</v>
      </c>
      <c r="F174" s="1071" t="s">
        <v>3399</v>
      </c>
      <c r="J174" s="1111"/>
      <c r="K174" s="1111"/>
      <c r="L174" s="1111"/>
      <c r="M174" s="1111"/>
    </row>
    <row r="175" spans="1:13">
      <c r="E175" s="1114" t="e">
        <f>E174/12</f>
        <v>#REF!</v>
      </c>
      <c r="F175" s="957" t="s">
        <v>3242</v>
      </c>
    </row>
    <row r="176" spans="1:13" ht="12" customHeight="1">
      <c r="C176" s="1024" t="s">
        <v>3797</v>
      </c>
      <c r="I176" s="957"/>
    </row>
    <row r="177" spans="1:10" ht="12" customHeight="1">
      <c r="C177" s="1024" t="s">
        <v>3400</v>
      </c>
      <c r="E177" s="957" t="s">
        <v>3153</v>
      </c>
      <c r="I177" s="957"/>
    </row>
    <row r="178" spans="1:10" ht="12" customHeight="1">
      <c r="C178" s="1024" t="s">
        <v>3401</v>
      </c>
      <c r="E178" s="957" t="s">
        <v>2947</v>
      </c>
      <c r="I178" s="957"/>
    </row>
    <row r="179" spans="1:10" ht="3" customHeight="1">
      <c r="E179" s="957"/>
      <c r="F179" s="957"/>
      <c r="I179" s="957"/>
    </row>
    <row r="180" spans="1:10" ht="12" customHeight="1">
      <c r="A180" s="1024" t="s">
        <v>3506</v>
      </c>
      <c r="C180" s="1024" t="s">
        <v>3507</v>
      </c>
      <c r="E180" s="1072" t="s">
        <v>1837</v>
      </c>
      <c r="F180" s="1115"/>
      <c r="I180" s="957"/>
    </row>
    <row r="181" spans="1:10" ht="12" customHeight="1">
      <c r="C181" s="1024" t="s">
        <v>3402</v>
      </c>
      <c r="E181" s="1072" t="s">
        <v>1837</v>
      </c>
      <c r="F181" s="2000"/>
      <c r="G181" s="2000"/>
      <c r="H181" s="2000"/>
      <c r="I181" s="2000"/>
      <c r="J181" s="2000"/>
    </row>
    <row r="182" spans="1:10" ht="12" customHeight="1">
      <c r="C182" s="1024" t="s">
        <v>3798</v>
      </c>
      <c r="E182" s="957" t="s">
        <v>3338</v>
      </c>
      <c r="I182" s="957"/>
    </row>
    <row r="183" spans="1:10" ht="12" customHeight="1">
      <c r="C183" s="1024" t="s">
        <v>3403</v>
      </c>
      <c r="E183" s="957" t="s">
        <v>2947</v>
      </c>
      <c r="I183" s="957"/>
    </row>
    <row r="184" spans="1:10" ht="3" customHeight="1">
      <c r="G184" s="957"/>
      <c r="H184" s="957"/>
      <c r="I184" s="957"/>
    </row>
    <row r="185" spans="1:10" ht="12" customHeight="1">
      <c r="A185" s="1024" t="s">
        <v>3512</v>
      </c>
      <c r="C185" s="1024" t="s">
        <v>3513</v>
      </c>
      <c r="E185" s="1114">
        <f>'Preview term'!F75</f>
        <v>72552</v>
      </c>
      <c r="G185" s="957"/>
      <c r="I185" s="957"/>
    </row>
    <row r="186" spans="1:10" ht="12" customHeight="1">
      <c r="C186" s="1024" t="s">
        <v>3796</v>
      </c>
      <c r="E186" s="1072">
        <f>E169</f>
        <v>0</v>
      </c>
      <c r="G186" s="957"/>
      <c r="I186" s="957"/>
    </row>
    <row r="187" spans="1:10" ht="12" customHeight="1">
      <c r="C187" s="1024" t="s">
        <v>3404</v>
      </c>
      <c r="E187" s="1072" t="s">
        <v>3338</v>
      </c>
      <c r="G187" s="957"/>
      <c r="I187" s="957"/>
    </row>
    <row r="188" spans="1:10" ht="3" customHeight="1">
      <c r="E188" s="1072"/>
      <c r="G188" s="957"/>
      <c r="I188" s="957"/>
    </row>
    <row r="189" spans="1:10" ht="12" customHeight="1">
      <c r="A189" s="1024" t="s">
        <v>3514</v>
      </c>
      <c r="C189" s="1024" t="s">
        <v>3515</v>
      </c>
      <c r="E189" s="1072" t="s">
        <v>3338</v>
      </c>
      <c r="G189" s="957"/>
      <c r="I189" s="957"/>
    </row>
    <row r="190" spans="1:10" ht="12" customHeight="1">
      <c r="C190" s="1024" t="s">
        <v>3395</v>
      </c>
      <c r="E190" s="1090"/>
      <c r="G190" s="957"/>
      <c r="H190" s="1099"/>
      <c r="I190" s="957"/>
    </row>
    <row r="191" spans="1:10" ht="12" customHeight="1">
      <c r="C191" s="1024" t="s">
        <v>3796</v>
      </c>
      <c r="E191" s="1090"/>
      <c r="I191" s="1072"/>
    </row>
    <row r="192" spans="1:10" ht="12" customHeight="1">
      <c r="C192" s="1024" t="s">
        <v>3396</v>
      </c>
      <c r="E192" s="1090"/>
      <c r="G192" s="957"/>
      <c r="H192" s="957"/>
      <c r="I192" s="957"/>
    </row>
    <row r="193" spans="1:10" ht="9" customHeight="1">
      <c r="G193" s="957"/>
      <c r="H193" s="957"/>
      <c r="I193" s="957"/>
    </row>
    <row r="194" spans="1:10" ht="12" customHeight="1">
      <c r="A194" s="1070" t="s">
        <v>3405</v>
      </c>
      <c r="C194" s="957" t="s">
        <v>3406</v>
      </c>
      <c r="E194" s="957"/>
      <c r="I194" s="957"/>
    </row>
    <row r="195" spans="1:10" ht="9" customHeight="1">
      <c r="E195" s="957"/>
      <c r="F195" s="957"/>
      <c r="I195" s="957"/>
    </row>
    <row r="196" spans="1:10" ht="12" customHeight="1">
      <c r="A196" s="1070" t="s">
        <v>3407</v>
      </c>
      <c r="E196" s="957"/>
      <c r="F196" s="957"/>
      <c r="I196" s="957"/>
    </row>
    <row r="197" spans="1:10" ht="12" customHeight="1">
      <c r="A197" s="1024" t="s">
        <v>3408</v>
      </c>
      <c r="C197" s="957" t="s">
        <v>1837</v>
      </c>
      <c r="E197" s="957"/>
      <c r="F197" s="957"/>
      <c r="I197" s="957"/>
    </row>
    <row r="198" spans="1:10" ht="3" customHeight="1">
      <c r="G198" s="957"/>
      <c r="H198" s="957"/>
      <c r="I198" s="957"/>
    </row>
    <row r="199" spans="1:10">
      <c r="A199" s="1083" t="s">
        <v>3800</v>
      </c>
      <c r="B199" s="1083"/>
      <c r="C199" s="1083"/>
      <c r="D199" s="1083"/>
      <c r="E199" s="1088" t="s">
        <v>3799</v>
      </c>
      <c r="F199" s="1995"/>
      <c r="G199" s="1995"/>
      <c r="H199" s="1995"/>
      <c r="I199" s="1995"/>
      <c r="J199" s="1995"/>
    </row>
    <row r="200" spans="1:10" ht="9" customHeight="1">
      <c r="G200" s="957"/>
      <c r="H200" s="957"/>
      <c r="I200" s="957"/>
    </row>
    <row r="201" spans="1:10" ht="12" customHeight="1">
      <c r="A201" s="1116" t="s">
        <v>3505</v>
      </c>
      <c r="G201" s="957"/>
      <c r="H201" s="957"/>
      <c r="I201" s="1099"/>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57"/>
      <c r="G203" s="957"/>
      <c r="H203" s="957"/>
      <c r="I203" s="957"/>
    </row>
    <row r="204" spans="1:10">
      <c r="A204" s="1070" t="s">
        <v>3409</v>
      </c>
      <c r="G204" s="957"/>
      <c r="H204" s="957"/>
      <c r="I204" s="957"/>
    </row>
    <row r="205" spans="1:10" ht="3" customHeight="1">
      <c r="G205" s="957"/>
      <c r="H205" s="957"/>
      <c r="I205" s="957"/>
    </row>
    <row r="206" spans="1:10" ht="76.5" customHeight="1">
      <c r="A206" s="1988" t="s">
        <v>3100</v>
      </c>
      <c r="B206" s="1988"/>
      <c r="C206" s="1988"/>
      <c r="D206" s="1988"/>
      <c r="E206" s="1988"/>
      <c r="F206" s="1988"/>
      <c r="G206" s="1988"/>
      <c r="H206" s="1988"/>
      <c r="I206" s="1988"/>
      <c r="J206" s="1988"/>
    </row>
    <row r="207" spans="1:10">
      <c r="A207" s="957" t="s">
        <v>3101</v>
      </c>
      <c r="G207" s="957"/>
      <c r="H207" s="957"/>
      <c r="I207" s="957"/>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2"/>
    </row>
    <row r="210" spans="1:4">
      <c r="A210" s="1072"/>
    </row>
    <row r="211" spans="1:4">
      <c r="A211" s="957"/>
    </row>
    <row r="215" spans="1:4">
      <c r="D215" s="102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3410</v>
      </c>
      <c r="H1" s="1075" t="str">
        <f>Overview!C8</f>
        <v>The Preserve at Newport</v>
      </c>
    </row>
    <row r="2" spans="1:11">
      <c r="A2" s="957" t="s">
        <v>3411</v>
      </c>
    </row>
    <row r="3" spans="1:11" ht="3" customHeight="1"/>
    <row r="4" spans="1:11" ht="51.75" customHeight="1">
      <c r="A4" s="1989" t="s">
        <v>3522</v>
      </c>
      <c r="B4" s="1989"/>
      <c r="C4" s="1989"/>
      <c r="D4" s="1989"/>
      <c r="E4" s="1989"/>
      <c r="F4" s="1989"/>
      <c r="G4" s="1989"/>
      <c r="H4" s="1989"/>
      <c r="J4" s="1117">
        <f>SUM('Part VII-Pro Forma'!B14:B16)/12</f>
        <v>36904.3344</v>
      </c>
      <c r="K4" s="1024" t="s">
        <v>3848</v>
      </c>
    </row>
    <row r="5" spans="1:11" ht="1.5" customHeight="1">
      <c r="C5" s="1118"/>
      <c r="D5" s="1118"/>
      <c r="E5" s="1118"/>
      <c r="F5" s="1118"/>
      <c r="G5" s="1118"/>
      <c r="H5" s="1118"/>
    </row>
    <row r="6" spans="1:11" ht="12.75" customHeight="1">
      <c r="B6" s="1119" t="s">
        <v>2520</v>
      </c>
      <c r="C6" s="1989" t="s">
        <v>3412</v>
      </c>
      <c r="D6" s="1989"/>
      <c r="E6" s="1989"/>
      <c r="F6" s="1989"/>
      <c r="G6" s="1989"/>
      <c r="H6" s="1989"/>
    </row>
    <row r="7" spans="1:11" ht="12.75" customHeight="1">
      <c r="B7" s="1119" t="s">
        <v>2521</v>
      </c>
      <c r="C7" s="1989" t="s">
        <v>3413</v>
      </c>
      <c r="D7" s="1989"/>
      <c r="E7" s="1989"/>
      <c r="F7" s="1989"/>
      <c r="G7" s="1989"/>
      <c r="H7" s="1989"/>
    </row>
    <row r="8" spans="1:11" ht="3" customHeight="1"/>
    <row r="9" spans="1:11">
      <c r="A9" s="1024" t="s">
        <v>3414</v>
      </c>
    </row>
    <row r="10" spans="1:11" ht="1.5" customHeight="1"/>
    <row r="11" spans="1:11" ht="26.25" customHeight="1">
      <c r="A11" s="1120" t="s">
        <v>2058</v>
      </c>
      <c r="B11" s="2008" t="s">
        <v>3519</v>
      </c>
      <c r="C11" s="2008"/>
      <c r="D11" s="2008"/>
      <c r="E11" s="2008"/>
      <c r="F11" s="2008"/>
      <c r="G11" s="2005">
        <f>'Part III-Sources of Funds'!I45+'Part III-Sources of Funds'!I46</f>
        <v>9847435.1686749998</v>
      </c>
      <c r="H11" s="2005"/>
    </row>
    <row r="12" spans="1:11" ht="1.5" customHeight="1">
      <c r="G12" s="1083"/>
      <c r="H12" s="1083"/>
    </row>
    <row r="13" spans="1:11" ht="26.25" customHeight="1">
      <c r="A13" s="1120" t="s">
        <v>2061</v>
      </c>
      <c r="B13" s="2008" t="s">
        <v>3520</v>
      </c>
      <c r="C13" s="2008"/>
      <c r="D13" s="2008"/>
      <c r="E13" s="2008"/>
      <c r="F13" s="2008"/>
      <c r="G13" s="2007" t="s">
        <v>3338</v>
      </c>
      <c r="H13" s="2007"/>
    </row>
    <row r="14" spans="1:11" ht="12" customHeight="1">
      <c r="A14" s="1120"/>
      <c r="B14" s="1990"/>
      <c r="C14" s="1990"/>
      <c r="D14" s="1990"/>
      <c r="E14" s="1990"/>
      <c r="F14" s="1990"/>
      <c r="G14" s="1990"/>
      <c r="H14" s="1990"/>
    </row>
    <row r="15" spans="1:11" ht="1.5" customHeight="1"/>
    <row r="16" spans="1:11" ht="12" customHeight="1">
      <c r="A16" s="1120" t="s">
        <v>779</v>
      </c>
      <c r="B16" s="1024" t="s">
        <v>3524</v>
      </c>
      <c r="F16" s="1111"/>
      <c r="G16" s="2006" t="s">
        <v>3156</v>
      </c>
      <c r="H16" s="2006"/>
    </row>
    <row r="17" spans="1:8" ht="1.5" customHeight="1">
      <c r="G17" s="1090"/>
    </row>
    <row r="18" spans="1:8" ht="12" customHeight="1">
      <c r="A18" s="1120" t="s">
        <v>2193</v>
      </c>
      <c r="B18" s="1083" t="s">
        <v>3521</v>
      </c>
      <c r="C18" s="1120"/>
      <c r="D18" s="1120"/>
      <c r="E18" s="1120"/>
      <c r="G18" s="1990" t="s">
        <v>2947</v>
      </c>
      <c r="H18" s="1990"/>
    </row>
    <row r="19" spans="1:8" ht="12" customHeight="1">
      <c r="B19" s="1990"/>
      <c r="C19" s="1990"/>
      <c r="D19" s="1990"/>
      <c r="E19" s="1990"/>
      <c r="F19" s="1990"/>
      <c r="G19" s="1990"/>
      <c r="H19" s="1990"/>
    </row>
    <row r="20" spans="1:8" ht="13.5" customHeight="1"/>
    <row r="21" spans="1:8" ht="12" customHeight="1">
      <c r="A21" s="957" t="s">
        <v>3415</v>
      </c>
    </row>
    <row r="22" spans="1:8" ht="3" customHeight="1"/>
    <row r="23" spans="1:8" ht="26.25" customHeight="1">
      <c r="A23" s="2003" t="s">
        <v>3523</v>
      </c>
      <c r="B23" s="2003"/>
      <c r="C23" s="2003"/>
      <c r="D23" s="2003"/>
      <c r="E23" s="2003"/>
      <c r="F23" s="2003"/>
      <c r="G23" s="2003"/>
      <c r="H23" s="2003"/>
    </row>
    <row r="24" spans="1:8" ht="26.25" customHeight="1">
      <c r="A24" s="2004" t="s">
        <v>3416</v>
      </c>
      <c r="B24" s="2004"/>
      <c r="C24" s="2004"/>
      <c r="D24" s="2004"/>
      <c r="E24" s="2004"/>
      <c r="F24" s="2004"/>
      <c r="G24" s="2004"/>
      <c r="H24" s="2004"/>
    </row>
    <row r="25" spans="1:8" ht="9" customHeight="1">
      <c r="A25" s="1050"/>
    </row>
    <row r="26" spans="1:8">
      <c r="A26" s="1090" t="s">
        <v>3525</v>
      </c>
      <c r="B26" s="1121"/>
      <c r="C26" s="1090" t="s">
        <v>3526</v>
      </c>
      <c r="D26" s="1122" t="s">
        <v>3807</v>
      </c>
    </row>
    <row r="27" spans="1:8" ht="6" customHeight="1"/>
    <row r="28" spans="1:8" ht="12.75" customHeight="1">
      <c r="C28" s="1083" t="s">
        <v>3417</v>
      </c>
      <c r="D28" s="1123" t="s">
        <v>2062</v>
      </c>
      <c r="E28" s="1124"/>
      <c r="F28" s="1989" t="s">
        <v>3418</v>
      </c>
      <c r="G28" s="1989"/>
      <c r="H28" s="1989"/>
    </row>
    <row r="29" spans="1:8" ht="12.75" customHeight="1">
      <c r="C29" s="1125" t="s">
        <v>1403</v>
      </c>
      <c r="D29" s="1123" t="s">
        <v>2064</v>
      </c>
      <c r="E29" s="1989" t="s">
        <v>3530</v>
      </c>
      <c r="F29" s="1989"/>
      <c r="G29" s="1989"/>
      <c r="H29" s="1989"/>
    </row>
    <row r="30" spans="1:8" ht="12.75" customHeight="1">
      <c r="E30" s="1989" t="s">
        <v>3803</v>
      </c>
      <c r="F30" s="1989"/>
      <c r="G30" s="1989"/>
      <c r="H30" s="1989"/>
    </row>
    <row r="31" spans="1:8" ht="12.75" customHeight="1">
      <c r="D31" s="1126" t="s">
        <v>3529</v>
      </c>
      <c r="E31" s="1989" t="s">
        <v>3804</v>
      </c>
      <c r="F31" s="1989"/>
      <c r="G31" s="1989"/>
      <c r="H31" s="1989"/>
    </row>
    <row r="32" spans="1:8" ht="3" customHeight="1">
      <c r="D32" s="1123"/>
      <c r="E32" s="1127"/>
      <c r="F32" s="1127"/>
      <c r="G32" s="1127"/>
      <c r="H32" s="1127"/>
    </row>
    <row r="33" spans="1:11">
      <c r="A33" s="1090" t="s">
        <v>3525</v>
      </c>
      <c r="B33" s="1121"/>
      <c r="C33" s="1090" t="s">
        <v>3527</v>
      </c>
      <c r="D33" s="1122" t="s">
        <v>3808</v>
      </c>
    </row>
    <row r="34" spans="1:11" ht="4.5" customHeight="1"/>
    <row r="35" spans="1:11" ht="12.75" customHeight="1">
      <c r="C35" s="1083" t="s">
        <v>3417</v>
      </c>
      <c r="D35" s="1123" t="s">
        <v>2062</v>
      </c>
      <c r="E35" s="1124"/>
      <c r="F35" s="1989" t="s">
        <v>3418</v>
      </c>
      <c r="G35" s="1989"/>
      <c r="H35" s="1989"/>
    </row>
    <row r="36" spans="1:11" ht="12.75" customHeight="1">
      <c r="C36" s="1125" t="s">
        <v>1403</v>
      </c>
      <c r="D36" s="1123" t="s">
        <v>2064</v>
      </c>
      <c r="E36" s="1989" t="s">
        <v>3531</v>
      </c>
      <c r="F36" s="1989"/>
      <c r="G36" s="1989"/>
      <c r="H36" s="1989"/>
    </row>
    <row r="37" spans="1:11" ht="12.75" customHeight="1">
      <c r="E37" s="1989" t="s">
        <v>3803</v>
      </c>
      <c r="F37" s="1989"/>
      <c r="G37" s="1989"/>
      <c r="H37" s="1989"/>
    </row>
    <row r="38" spans="1:11" ht="12.75" customHeight="1">
      <c r="D38" s="1126" t="s">
        <v>3529</v>
      </c>
      <c r="E38" s="1989" t="s">
        <v>3804</v>
      </c>
      <c r="F38" s="1989"/>
      <c r="G38" s="1989"/>
      <c r="H38" s="1989"/>
    </row>
    <row r="39" spans="1:11" ht="3" customHeight="1">
      <c r="D39" s="1123"/>
      <c r="E39" s="1127"/>
      <c r="F39" s="1127"/>
      <c r="G39" s="1127"/>
      <c r="H39" s="1127"/>
    </row>
    <row r="40" spans="1:11">
      <c r="A40" s="1090" t="s">
        <v>3525</v>
      </c>
      <c r="B40" s="1121"/>
      <c r="C40" s="1090" t="s">
        <v>3528</v>
      </c>
      <c r="D40" s="1122" t="s">
        <v>3809</v>
      </c>
    </row>
    <row r="41" spans="1:11" ht="4.5" customHeight="1"/>
    <row r="42" spans="1:11" ht="12.75" customHeight="1">
      <c r="C42" s="1083" t="s">
        <v>3417</v>
      </c>
      <c r="D42" s="1123" t="s">
        <v>2062</v>
      </c>
      <c r="E42" s="1124"/>
      <c r="F42" s="1989" t="s">
        <v>3418</v>
      </c>
      <c r="G42" s="1989"/>
      <c r="H42" s="1989"/>
      <c r="K42" s="1024" t="s">
        <v>254</v>
      </c>
    </row>
    <row r="43" spans="1:11" ht="12.75" customHeight="1">
      <c r="C43" s="1125" t="s">
        <v>1403</v>
      </c>
      <c r="D43" s="1123" t="s">
        <v>2064</v>
      </c>
      <c r="E43" s="1989" t="s">
        <v>3531</v>
      </c>
      <c r="F43" s="1989"/>
      <c r="G43" s="1989"/>
      <c r="H43" s="1989"/>
    </row>
    <row r="44" spans="1:11" ht="12.75" customHeight="1">
      <c r="E44" s="1989" t="s">
        <v>3803</v>
      </c>
      <c r="F44" s="1989"/>
      <c r="G44" s="1989"/>
      <c r="H44" s="1989"/>
    </row>
    <row r="45" spans="1:11" ht="12.75" customHeight="1">
      <c r="D45" s="1126" t="s">
        <v>3529</v>
      </c>
      <c r="E45" s="1989" t="s">
        <v>3804</v>
      </c>
      <c r="F45" s="1989"/>
      <c r="G45" s="1989"/>
      <c r="H45" s="1989"/>
    </row>
    <row r="46" spans="1:11" ht="9" customHeight="1"/>
    <row r="47" spans="1:11" ht="7.5" customHeight="1">
      <c r="E47" s="1989"/>
      <c r="F47" s="1989"/>
      <c r="G47" s="1989"/>
      <c r="H47" s="1989"/>
    </row>
    <row r="48" spans="1:11">
      <c r="A48" s="1050" t="s">
        <v>3419</v>
      </c>
      <c r="E48" s="1127"/>
      <c r="F48" s="1127"/>
      <c r="G48" s="1127"/>
      <c r="H48" s="1127"/>
    </row>
    <row r="49" spans="1:11" ht="9" customHeight="1"/>
    <row r="50" spans="1:11" ht="26.25" customHeight="1">
      <c r="A50" s="2003" t="s">
        <v>3805</v>
      </c>
      <c r="B50" s="2003"/>
      <c r="C50" s="2003"/>
      <c r="D50" s="2003"/>
      <c r="E50" s="2003"/>
      <c r="F50" s="2003"/>
      <c r="G50" s="2003"/>
      <c r="H50" s="2003"/>
    </row>
    <row r="51" spans="1:11" ht="9" customHeight="1">
      <c r="A51" s="1050"/>
    </row>
    <row r="52" spans="1:11">
      <c r="A52" s="1090" t="s">
        <v>3525</v>
      </c>
      <c r="B52" s="1121"/>
      <c r="C52" s="1090" t="s">
        <v>3526</v>
      </c>
      <c r="D52" s="1122" t="s">
        <v>3806</v>
      </c>
    </row>
    <row r="53" spans="1:11" ht="4.5" customHeight="1"/>
    <row r="54" spans="1:11" ht="12.75" customHeight="1">
      <c r="C54" s="1083" t="s">
        <v>3417</v>
      </c>
      <c r="D54" s="1123" t="s">
        <v>2062</v>
      </c>
      <c r="E54" s="1124"/>
      <c r="F54" s="1989" t="s">
        <v>3418</v>
      </c>
      <c r="G54" s="1989"/>
      <c r="H54" s="1989"/>
    </row>
    <row r="55" spans="1:11" ht="12.75" customHeight="1">
      <c r="C55" s="1125" t="s">
        <v>1403</v>
      </c>
      <c r="D55" s="1123" t="s">
        <v>2064</v>
      </c>
      <c r="E55" s="1989" t="s">
        <v>3812</v>
      </c>
      <c r="F55" s="1989"/>
      <c r="G55" s="1989"/>
      <c r="H55" s="1989"/>
    </row>
    <row r="56" spans="1:11" ht="3" customHeight="1">
      <c r="D56" s="1123"/>
      <c r="E56" s="1127"/>
      <c r="F56" s="1127"/>
      <c r="G56" s="1127"/>
      <c r="H56" s="1127"/>
    </row>
    <row r="57" spans="1:11">
      <c r="A57" s="1090" t="s">
        <v>3525</v>
      </c>
      <c r="B57" s="1121"/>
      <c r="C57" s="1090" t="s">
        <v>3527</v>
      </c>
      <c r="D57" s="1122" t="s">
        <v>3810</v>
      </c>
    </row>
    <row r="58" spans="1:11" ht="4.5" customHeight="1"/>
    <row r="59" spans="1:11">
      <c r="C59" s="1083" t="s">
        <v>3417</v>
      </c>
      <c r="D59" s="1123" t="s">
        <v>2062</v>
      </c>
      <c r="E59" s="1124"/>
      <c r="F59" s="1989" t="s">
        <v>3418</v>
      </c>
      <c r="G59" s="1989"/>
      <c r="H59" s="1989"/>
    </row>
    <row r="60" spans="1:11" ht="12.75" customHeight="1">
      <c r="C60" s="1125" t="s">
        <v>1403</v>
      </c>
      <c r="D60" s="1123" t="s">
        <v>2064</v>
      </c>
      <c r="E60" s="1989" t="s">
        <v>3812</v>
      </c>
      <c r="F60" s="1989"/>
      <c r="G60" s="1989"/>
      <c r="H60" s="1989"/>
    </row>
    <row r="61" spans="1:11" ht="3" customHeight="1">
      <c r="D61" s="1123"/>
      <c r="E61" s="1127"/>
      <c r="F61" s="1127"/>
      <c r="G61" s="1127"/>
      <c r="H61" s="1127"/>
    </row>
    <row r="62" spans="1:11">
      <c r="A62" s="1090" t="s">
        <v>3525</v>
      </c>
      <c r="B62" s="1121"/>
      <c r="C62" s="1090" t="s">
        <v>3528</v>
      </c>
      <c r="D62" s="1122" t="s">
        <v>3811</v>
      </c>
    </row>
    <row r="63" spans="1:11" ht="4.5" customHeight="1"/>
    <row r="64" spans="1:11">
      <c r="C64" s="1083" t="s">
        <v>3417</v>
      </c>
      <c r="D64" s="1123" t="s">
        <v>2062</v>
      </c>
      <c r="E64" s="1124"/>
      <c r="F64" s="1989" t="s">
        <v>3418</v>
      </c>
      <c r="G64" s="1989"/>
      <c r="H64" s="1989"/>
      <c r="K64" s="1024" t="s">
        <v>254</v>
      </c>
    </row>
    <row r="65" spans="3:8" ht="12.75" customHeight="1">
      <c r="C65" s="1125" t="s">
        <v>1403</v>
      </c>
      <c r="D65" s="1123" t="s">
        <v>2064</v>
      </c>
      <c r="E65" s="1989" t="s">
        <v>3812</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09" t="s">
        <v>3420</v>
      </c>
      <c r="C1" s="2010"/>
      <c r="D1" s="2010"/>
      <c r="E1" s="2010"/>
      <c r="F1" s="2010"/>
      <c r="G1" s="2010"/>
      <c r="H1" s="2010"/>
      <c r="I1" s="2011"/>
    </row>
    <row r="2" spans="2:13">
      <c r="B2" s="2012" t="s">
        <v>3421</v>
      </c>
      <c r="C2" s="2013"/>
      <c r="D2" s="2013"/>
      <c r="E2" s="2013" t="s">
        <v>3422</v>
      </c>
      <c r="F2" s="2013"/>
      <c r="G2" s="2013"/>
      <c r="H2" s="2013" t="s">
        <v>641</v>
      </c>
      <c r="I2" s="2014"/>
      <c r="J2" s="658" t="s">
        <v>3257</v>
      </c>
      <c r="K2" s="658"/>
      <c r="L2" s="659"/>
      <c r="M2" s="659"/>
    </row>
    <row r="3" spans="2:13">
      <c r="B3" s="2015" t="str">
        <f>'Closing term sheet'!C8</f>
        <v>The Preserve at Newport, LP</v>
      </c>
      <c r="C3" s="2016"/>
      <c r="D3" s="2017"/>
      <c r="E3" s="2018"/>
      <c r="F3" s="2019"/>
      <c r="G3" s="2020"/>
      <c r="H3" s="2021" t="str">
        <f>'Preview term'!E15</f>
        <v>The Preserve at Newport</v>
      </c>
      <c r="I3" s="2022"/>
      <c r="K3" s="656"/>
    </row>
    <row r="4" spans="2:13" ht="15" customHeight="1">
      <c r="D4" s="868"/>
      <c r="E4" s="868"/>
      <c r="F4" s="868"/>
      <c r="G4" s="868"/>
      <c r="H4" s="868"/>
      <c r="I4" s="868"/>
      <c r="K4" s="656"/>
    </row>
    <row r="5" spans="2:13">
      <c r="B5" s="2026" t="s">
        <v>3423</v>
      </c>
      <c r="C5" s="2027"/>
      <c r="D5" s="660"/>
      <c r="H5" s="2037">
        <f>'Preview term'!E9</f>
        <v>0</v>
      </c>
      <c r="I5" s="2038"/>
    </row>
    <row r="6" spans="2:13" ht="7.5" customHeight="1">
      <c r="B6" s="712"/>
      <c r="C6" s="660"/>
      <c r="D6" s="660"/>
      <c r="E6" s="660"/>
      <c r="F6" s="660"/>
      <c r="G6" s="660"/>
      <c r="H6" s="660"/>
      <c r="I6" s="713"/>
    </row>
    <row r="7" spans="2:13">
      <c r="B7" s="731" t="s">
        <v>3424</v>
      </c>
      <c r="C7" s="732"/>
      <c r="D7" s="660"/>
      <c r="E7" s="662" t="s">
        <v>3425</v>
      </c>
      <c r="F7" s="660"/>
      <c r="G7" s="660"/>
      <c r="H7" s="660"/>
      <c r="I7" s="734" t="str">
        <f>'Closing term sheet'!D12</f>
        <v>&lt;&lt;Select&gt;&gt;</v>
      </c>
    </row>
    <row r="8" spans="2:13" ht="7.5" customHeight="1">
      <c r="B8" s="712"/>
      <c r="C8" s="660"/>
      <c r="D8" s="660"/>
      <c r="E8" s="660"/>
      <c r="F8" s="660"/>
      <c r="G8" s="660"/>
      <c r="H8" s="660"/>
      <c r="I8" s="713"/>
    </row>
    <row r="9" spans="2:13">
      <c r="B9" s="714" t="s">
        <v>3426</v>
      </c>
      <c r="C9" s="660"/>
      <c r="D9" s="661"/>
      <c r="E9" s="660"/>
      <c r="F9" s="660"/>
      <c r="G9" s="660"/>
      <c r="H9" s="660"/>
      <c r="I9" s="713"/>
    </row>
    <row r="10" spans="2:13">
      <c r="B10" s="714" t="s">
        <v>3427</v>
      </c>
      <c r="C10" s="660"/>
      <c r="D10" s="660"/>
      <c r="E10" s="660"/>
      <c r="F10" s="660"/>
      <c r="G10" s="660"/>
      <c r="H10" s="660"/>
      <c r="I10" s="734" t="s">
        <v>3156</v>
      </c>
    </row>
    <row r="11" spans="2:13">
      <c r="B11" s="712"/>
      <c r="C11" s="733"/>
      <c r="D11" s="660"/>
      <c r="E11" s="662" t="s">
        <v>3428</v>
      </c>
      <c r="F11" s="660"/>
      <c r="G11" s="660"/>
      <c r="H11" s="660"/>
      <c r="I11" s="713"/>
    </row>
    <row r="12" spans="2:13" ht="7.5" customHeight="1">
      <c r="B12" s="714"/>
      <c r="C12" s="660"/>
      <c r="D12" s="660"/>
      <c r="E12" s="660"/>
      <c r="F12" s="661"/>
      <c r="G12" s="660"/>
      <c r="H12" s="660"/>
      <c r="I12" s="713"/>
    </row>
    <row r="13" spans="2:13">
      <c r="B13" s="714" t="s">
        <v>3534</v>
      </c>
      <c r="C13" s="660"/>
      <c r="D13" s="660"/>
      <c r="E13" s="660"/>
      <c r="F13" s="657"/>
      <c r="G13" s="660"/>
      <c r="H13" s="660"/>
      <c r="I13" s="735"/>
    </row>
    <row r="14" spans="2:13">
      <c r="B14" s="715" t="s">
        <v>3533</v>
      </c>
      <c r="C14" s="660"/>
      <c r="D14" s="660"/>
      <c r="E14" s="730" t="s">
        <v>3684</v>
      </c>
      <c r="F14" s="660"/>
      <c r="G14" s="660"/>
      <c r="H14" s="660"/>
      <c r="I14" s="735"/>
    </row>
    <row r="15" spans="2:13" ht="7.5" customHeight="1">
      <c r="B15" s="712"/>
      <c r="C15" s="660"/>
      <c r="D15" s="660"/>
      <c r="E15" s="660"/>
      <c r="F15" s="660"/>
      <c r="G15" s="660"/>
      <c r="H15" s="660"/>
      <c r="I15" s="713"/>
    </row>
    <row r="16" spans="2:13">
      <c r="B16" s="714" t="s">
        <v>3429</v>
      </c>
      <c r="C16" s="660"/>
      <c r="D16" s="660"/>
      <c r="E16" s="660"/>
      <c r="F16" s="660"/>
      <c r="G16" s="660"/>
      <c r="H16" s="660"/>
      <c r="I16" s="734" t="s">
        <v>3156</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3430</v>
      </c>
      <c r="C20" s="660"/>
      <c r="D20" s="704">
        <v>2</v>
      </c>
      <c r="F20" s="660"/>
      <c r="G20" s="657" t="s">
        <v>3431</v>
      </c>
      <c r="H20" s="660"/>
      <c r="I20" s="720">
        <v>2</v>
      </c>
    </row>
    <row r="21" spans="2:9">
      <c r="B21" s="712"/>
      <c r="C21" s="730" t="s">
        <v>3432</v>
      </c>
      <c r="D21" s="666"/>
      <c r="E21" s="666"/>
      <c r="F21" s="666"/>
      <c r="H21" s="666" t="s">
        <v>3433</v>
      </c>
      <c r="I21" s="713"/>
    </row>
    <row r="22" spans="2:9">
      <c r="B22" s="712"/>
      <c r="C22" s="730" t="s">
        <v>3434</v>
      </c>
      <c r="D22" s="666"/>
      <c r="E22" s="666"/>
      <c r="F22" s="666"/>
      <c r="H22" s="666" t="s">
        <v>3435</v>
      </c>
      <c r="I22" s="713"/>
    </row>
    <row r="23" spans="2:9">
      <c r="B23" s="712"/>
      <c r="C23" s="730" t="s">
        <v>3436</v>
      </c>
      <c r="D23" s="666"/>
      <c r="E23" s="666"/>
      <c r="F23" s="666"/>
      <c r="H23" s="666" t="s">
        <v>3437</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3532</v>
      </c>
      <c r="C27" s="660"/>
      <c r="D27" s="705"/>
      <c r="F27" s="737" t="s">
        <v>3438</v>
      </c>
      <c r="H27" s="660"/>
      <c r="I27" s="713"/>
    </row>
    <row r="28" spans="2:9">
      <c r="B28" s="729" t="s">
        <v>3439</v>
      </c>
      <c r="C28" s="666"/>
      <c r="D28" s="666" t="s">
        <v>3440</v>
      </c>
      <c r="E28" s="660"/>
      <c r="F28" s="2028" t="str">
        <f>'Closing term sheet'!C30</f>
        <v>Parcel# 107-017</v>
      </c>
      <c r="G28" s="2029"/>
      <c r="H28" s="2029"/>
      <c r="I28" s="2030"/>
    </row>
    <row r="29" spans="2:9">
      <c r="B29" s="729" t="s">
        <v>3441</v>
      </c>
      <c r="D29" s="666" t="s">
        <v>3442</v>
      </c>
      <c r="E29" s="660"/>
      <c r="F29" s="2028"/>
      <c r="G29" s="2029"/>
      <c r="H29" s="2029"/>
      <c r="I29" s="2030"/>
    </row>
    <row r="30" spans="2:9">
      <c r="B30" s="729" t="s">
        <v>3443</v>
      </c>
      <c r="D30" s="660"/>
      <c r="E30" s="660"/>
      <c r="F30" s="2028"/>
      <c r="G30" s="2029"/>
      <c r="H30" s="2029"/>
      <c r="I30" s="2030"/>
    </row>
    <row r="31" spans="2:9" ht="7.5" customHeight="1">
      <c r="B31" s="712"/>
      <c r="C31" s="660"/>
      <c r="D31" s="660"/>
      <c r="E31" s="660"/>
      <c r="F31" s="660"/>
      <c r="G31" s="660"/>
      <c r="H31" s="660"/>
      <c r="I31" s="713"/>
    </row>
    <row r="32" spans="2:9">
      <c r="B32" s="727" t="s">
        <v>642</v>
      </c>
      <c r="C32" s="2031" t="str">
        <f>'Part I-Project Information'!F28</f>
        <v>Kingsland</v>
      </c>
      <c r="D32" s="2032"/>
      <c r="E32" s="665" t="s">
        <v>1865</v>
      </c>
      <c r="F32" s="703" t="s">
        <v>880</v>
      </c>
      <c r="G32" s="665" t="s">
        <v>3444</v>
      </c>
      <c r="H32" s="707">
        <f>'Part I-Project Information'!J28</f>
        <v>315486507</v>
      </c>
      <c r="I32" s="713"/>
    </row>
    <row r="33" spans="2:9">
      <c r="B33" s="727" t="s">
        <v>643</v>
      </c>
      <c r="C33" s="2031" t="str">
        <f>'Part I-Project Information'!J29</f>
        <v>Camden</v>
      </c>
      <c r="D33" s="2032"/>
      <c r="E33" s="660"/>
      <c r="F33" s="660"/>
      <c r="G33" s="660"/>
      <c r="H33" s="660"/>
      <c r="I33" s="713"/>
    </row>
    <row r="34" spans="2:9">
      <c r="B34" s="728" t="s">
        <v>3445</v>
      </c>
      <c r="C34" s="2033" t="e">
        <f>'Subsidy Layering WS'!D12</f>
        <v>#REF!</v>
      </c>
      <c r="D34" s="2034"/>
      <c r="E34" s="660"/>
      <c r="F34" s="662" t="s">
        <v>3446</v>
      </c>
      <c r="G34" s="660"/>
      <c r="H34" s="660"/>
      <c r="I34" s="713"/>
    </row>
    <row r="35" spans="2:9">
      <c r="B35" s="728" t="s">
        <v>3801</v>
      </c>
      <c r="C35" s="2035">
        <f>'Closing term sheet'!D64</f>
        <v>5374000</v>
      </c>
      <c r="D35" s="2036"/>
      <c r="E35" s="660"/>
      <c r="F35" s="662" t="s">
        <v>3447</v>
      </c>
      <c r="G35" s="660"/>
      <c r="H35" s="660"/>
      <c r="I35" s="713"/>
    </row>
    <row r="36" spans="2:9">
      <c r="B36" s="721" t="s">
        <v>3448</v>
      </c>
      <c r="C36" s="664"/>
      <c r="D36" s="706"/>
      <c r="E36" s="660"/>
      <c r="F36" s="662" t="s">
        <v>3449</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3" t="s">
        <v>3450</v>
      </c>
      <c r="C40" s="2024"/>
      <c r="D40" s="2024"/>
      <c r="E40" s="2024"/>
      <c r="F40" s="2024"/>
      <c r="G40" s="2024"/>
      <c r="H40" s="2024"/>
      <c r="I40" s="2025"/>
    </row>
    <row r="41" spans="2:9" ht="7.5" customHeight="1">
      <c r="B41" s="2039"/>
      <c r="C41" s="2040"/>
      <c r="D41" s="2040"/>
      <c r="E41" s="660"/>
      <c r="F41" s="660"/>
      <c r="G41" s="722"/>
      <c r="H41" s="660"/>
      <c r="I41" s="713"/>
    </row>
    <row r="42" spans="2:9">
      <c r="B42" s="723" t="s">
        <v>3452</v>
      </c>
      <c r="C42" s="660"/>
      <c r="D42" s="708">
        <v>4</v>
      </c>
      <c r="F42" s="660"/>
      <c r="G42" s="2041" t="s">
        <v>3451</v>
      </c>
      <c r="H42" s="2041"/>
      <c r="I42" s="2042"/>
    </row>
    <row r="43" spans="2:9">
      <c r="B43" s="712"/>
      <c r="C43" s="666" t="s">
        <v>3455</v>
      </c>
      <c r="D43" s="666" t="s">
        <v>3456</v>
      </c>
      <c r="F43" s="660"/>
      <c r="G43" s="880" t="s">
        <v>3453</v>
      </c>
      <c r="H43" s="660"/>
      <c r="I43" s="724" t="e">
        <f>Overview!C13</f>
        <v>#REF!</v>
      </c>
    </row>
    <row r="44" spans="2:9">
      <c r="B44" s="712"/>
      <c r="C44" s="666" t="s">
        <v>3457</v>
      </c>
      <c r="D44" s="666" t="s">
        <v>3458</v>
      </c>
      <c r="F44" s="660"/>
      <c r="G44" s="725" t="s">
        <v>3454</v>
      </c>
      <c r="H44" s="660"/>
      <c r="I44" s="724" t="e">
        <f>C34</f>
        <v>#REF!</v>
      </c>
    </row>
    <row r="45" spans="2:9">
      <c r="B45" s="729"/>
      <c r="C45" s="666" t="s">
        <v>3459</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3460</v>
      </c>
      <c r="C49" s="660"/>
      <c r="D49" s="660"/>
      <c r="E49" s="660"/>
      <c r="F49" s="660"/>
      <c r="G49" s="660"/>
      <c r="H49" s="660"/>
      <c r="I49" s="713"/>
    </row>
    <row r="50" spans="2:9" ht="7.5" customHeight="1">
      <c r="B50" s="712"/>
      <c r="C50" s="660"/>
      <c r="D50" s="660"/>
      <c r="E50" s="660"/>
      <c r="F50" s="660"/>
      <c r="G50" s="660"/>
      <c r="H50" s="660"/>
      <c r="I50" s="713"/>
    </row>
    <row r="51" spans="2:9">
      <c r="B51" s="714" t="s">
        <v>3461</v>
      </c>
      <c r="D51" s="660"/>
      <c r="E51" s="660"/>
      <c r="F51" s="660"/>
      <c r="G51" s="660"/>
      <c r="H51" s="660"/>
      <c r="I51" s="705"/>
    </row>
    <row r="52" spans="2:9" ht="7.5" customHeight="1">
      <c r="B52" s="712"/>
      <c r="C52" s="660"/>
      <c r="D52" s="660"/>
      <c r="E52" s="660"/>
      <c r="F52" s="660"/>
      <c r="G52" s="660"/>
      <c r="H52" s="660"/>
      <c r="I52" s="713"/>
    </row>
    <row r="53" spans="2:9">
      <c r="B53" s="712" t="s">
        <v>3462</v>
      </c>
      <c r="D53" s="660"/>
      <c r="E53" s="660"/>
      <c r="F53" s="660" t="s">
        <v>3535</v>
      </c>
      <c r="G53" s="660"/>
      <c r="H53" s="660"/>
      <c r="I53" s="709"/>
    </row>
    <row r="54" spans="2:9">
      <c r="B54" s="712"/>
      <c r="E54" s="660"/>
      <c r="F54" s="660" t="s">
        <v>3536</v>
      </c>
      <c r="G54" s="660"/>
      <c r="H54" s="660"/>
      <c r="I54" s="709"/>
    </row>
    <row r="55" spans="2:9">
      <c r="B55" s="712"/>
      <c r="E55" s="660"/>
      <c r="F55" s="660" t="s">
        <v>3537</v>
      </c>
      <c r="G55" s="660"/>
      <c r="H55" s="660"/>
      <c r="I55" s="709"/>
    </row>
    <row r="56" spans="2:9">
      <c r="B56" s="712"/>
      <c r="E56" s="660"/>
      <c r="F56" s="657" t="s">
        <v>3538</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3" t="s">
        <v>3463</v>
      </c>
      <c r="C60" s="2024"/>
      <c r="D60" s="2024"/>
      <c r="E60" s="2024"/>
      <c r="F60" s="2024"/>
      <c r="G60" s="2024"/>
      <c r="H60" s="2024"/>
      <c r="I60" s="2025"/>
    </row>
    <row r="61" spans="2:9">
      <c r="B61" s="712"/>
      <c r="C61" s="660"/>
      <c r="D61" s="660"/>
      <c r="E61" s="660"/>
      <c r="F61" s="660"/>
      <c r="G61" s="660"/>
      <c r="H61" s="660"/>
      <c r="I61" s="713"/>
    </row>
    <row r="62" spans="2:9">
      <c r="B62" s="714" t="s">
        <v>3464</v>
      </c>
      <c r="C62" s="660"/>
      <c r="D62" s="660"/>
      <c r="E62" s="660"/>
      <c r="F62" s="660"/>
      <c r="G62" s="660"/>
      <c r="H62" s="660"/>
      <c r="I62" s="713"/>
    </row>
    <row r="63" spans="2:9">
      <c r="B63" s="712"/>
      <c r="C63" s="657" t="s">
        <v>3465</v>
      </c>
      <c r="D63" s="660"/>
      <c r="E63" s="660"/>
      <c r="F63" s="2043">
        <f>'Closing term sheet'!D64</f>
        <v>5374000</v>
      </c>
      <c r="G63" s="2043"/>
      <c r="H63" s="660"/>
      <c r="I63" s="713"/>
    </row>
    <row r="64" spans="2:9">
      <c r="B64" s="712"/>
      <c r="C64" s="657" t="s">
        <v>3466</v>
      </c>
      <c r="D64" s="660"/>
      <c r="E64" s="660"/>
      <c r="F64" s="2044">
        <f>'Part III-Sources of Funds'!I43+'Part III-Sources of Funds'!I44</f>
        <v>0</v>
      </c>
      <c r="G64" s="2044"/>
      <c r="H64" s="660"/>
      <c r="I64" s="713"/>
    </row>
    <row r="65" spans="2:9">
      <c r="B65" s="712"/>
      <c r="C65" s="657" t="s">
        <v>3467</v>
      </c>
      <c r="D65" s="660"/>
      <c r="E65" s="660"/>
      <c r="F65" s="2045"/>
      <c r="G65" s="2045"/>
      <c r="H65" s="660"/>
      <c r="I65" s="713"/>
    </row>
    <row r="66" spans="2:9">
      <c r="B66" s="712"/>
      <c r="C66" s="666" t="s">
        <v>3468</v>
      </c>
      <c r="D66" s="660"/>
      <c r="E66" s="660"/>
      <c r="F66" s="2044">
        <v>11000</v>
      </c>
      <c r="G66" s="2044"/>
      <c r="H66" s="660"/>
      <c r="I66" s="713"/>
    </row>
    <row r="67" spans="2:9">
      <c r="B67" s="712"/>
      <c r="C67" s="657" t="s">
        <v>3469</v>
      </c>
      <c r="D67" s="660"/>
      <c r="E67" s="660"/>
      <c r="F67" s="2046"/>
      <c r="G67" s="2046"/>
      <c r="H67" s="660"/>
      <c r="I67" s="713"/>
    </row>
    <row r="68" spans="2:9">
      <c r="B68" s="712"/>
      <c r="C68" s="662" t="s">
        <v>3470</v>
      </c>
      <c r="D68" s="660"/>
      <c r="E68" s="660"/>
      <c r="F68" s="2047">
        <f>SUM(F63:G67)</f>
        <v>5385000</v>
      </c>
      <c r="G68" s="2047"/>
      <c r="H68" s="660"/>
      <c r="I68" s="713"/>
    </row>
    <row r="69" spans="2:9">
      <c r="B69" s="712"/>
      <c r="C69" s="660"/>
      <c r="D69" s="660"/>
      <c r="E69" s="660"/>
      <c r="F69" s="2048"/>
      <c r="G69" s="2048"/>
      <c r="H69" s="660"/>
      <c r="I69" s="713"/>
    </row>
    <row r="70" spans="2:9">
      <c r="B70" s="714" t="s">
        <v>3471</v>
      </c>
      <c r="C70" s="660"/>
      <c r="D70" s="660"/>
      <c r="E70" s="660"/>
      <c r="F70" s="660"/>
      <c r="G70" s="660"/>
      <c r="H70" s="660"/>
      <c r="I70" s="713"/>
    </row>
    <row r="71" spans="2:9">
      <c r="B71" s="712"/>
      <c r="C71" s="657" t="s">
        <v>3472</v>
      </c>
      <c r="D71" s="660"/>
      <c r="E71" s="660"/>
      <c r="F71" s="2043"/>
      <c r="G71" s="2043"/>
      <c r="H71" s="660"/>
      <c r="I71" s="713"/>
    </row>
    <row r="72" spans="2:9">
      <c r="B72" s="712"/>
      <c r="C72" s="657" t="s">
        <v>3473</v>
      </c>
      <c r="D72" s="660"/>
      <c r="E72" s="660"/>
      <c r="F72" s="2050"/>
      <c r="G72" s="2050"/>
      <c r="H72" s="660"/>
      <c r="I72" s="713"/>
    </row>
    <row r="73" spans="2:9">
      <c r="B73" s="712"/>
      <c r="C73" s="657" t="s">
        <v>3474</v>
      </c>
      <c r="D73" s="660"/>
      <c r="E73" s="660"/>
      <c r="F73" s="2051" t="s">
        <v>3338</v>
      </c>
      <c r="G73" s="2049"/>
      <c r="H73" s="660"/>
      <c r="I73" s="713"/>
    </row>
    <row r="74" spans="2:9">
      <c r="B74" s="712"/>
      <c r="C74" s="662" t="s">
        <v>3475</v>
      </c>
      <c r="D74" s="660"/>
      <c r="E74" s="660"/>
      <c r="F74" s="2047">
        <f>+SUM(F71:G73)</f>
        <v>0</v>
      </c>
      <c r="G74" s="2047"/>
      <c r="H74" s="660"/>
      <c r="I74" s="713"/>
    </row>
    <row r="75" spans="2:9">
      <c r="B75" s="712"/>
      <c r="C75" s="660"/>
      <c r="D75" s="660"/>
      <c r="E75" s="660"/>
      <c r="F75" s="660"/>
      <c r="G75" s="660"/>
      <c r="H75" s="660"/>
      <c r="I75" s="713"/>
    </row>
    <row r="76" spans="2:9">
      <c r="B76" s="714" t="s">
        <v>3476</v>
      </c>
      <c r="C76" s="660"/>
      <c r="D76" s="660"/>
      <c r="E76" s="660"/>
      <c r="F76" s="660"/>
      <c r="G76" s="660"/>
      <c r="H76" s="660"/>
      <c r="I76" s="713"/>
    </row>
    <row r="77" spans="2:9">
      <c r="B77" s="712"/>
      <c r="C77" s="657" t="s">
        <v>3477</v>
      </c>
      <c r="D77" s="660"/>
      <c r="E77" s="660"/>
      <c r="F77" s="2043"/>
      <c r="G77" s="2043"/>
      <c r="H77" s="660"/>
      <c r="I77" s="713"/>
    </row>
    <row r="78" spans="2:9">
      <c r="B78" s="712"/>
      <c r="C78" s="657" t="s">
        <v>3478</v>
      </c>
      <c r="D78" s="660"/>
      <c r="E78" s="660"/>
      <c r="F78" s="2050"/>
      <c r="G78" s="2050"/>
      <c r="H78" s="660"/>
      <c r="I78" s="713"/>
    </row>
    <row r="79" spans="2:9">
      <c r="B79" s="712"/>
      <c r="C79" s="657" t="s">
        <v>3479</v>
      </c>
      <c r="D79" s="660"/>
      <c r="E79" s="660"/>
      <c r="F79" s="2046"/>
      <c r="G79" s="2046"/>
      <c r="H79" s="660"/>
      <c r="I79" s="713"/>
    </row>
    <row r="80" spans="2:9">
      <c r="B80" s="712"/>
      <c r="C80" s="662" t="s">
        <v>3480</v>
      </c>
      <c r="D80" s="660"/>
      <c r="E80" s="660"/>
      <c r="F80" s="2047">
        <f>+SUM(F77:G79)</f>
        <v>0</v>
      </c>
      <c r="G80" s="2047"/>
      <c r="H80" s="660"/>
      <c r="I80" s="713"/>
    </row>
    <row r="81" spans="2:9">
      <c r="B81" s="712"/>
      <c r="C81" s="660"/>
      <c r="D81" s="660"/>
      <c r="E81" s="660"/>
      <c r="F81" s="660"/>
      <c r="G81" s="660"/>
      <c r="H81" s="660"/>
      <c r="I81" s="713"/>
    </row>
    <row r="82" spans="2:9">
      <c r="B82" s="723" t="s">
        <v>3481</v>
      </c>
      <c r="C82" s="657"/>
      <c r="D82" s="660"/>
      <c r="E82" s="660"/>
      <c r="F82" s="2049">
        <f>'Part III-Sources of Funds'!I45+'Part III-Sources of Funds'!I46</f>
        <v>9847435.1686749998</v>
      </c>
      <c r="G82" s="2049"/>
      <c r="H82" s="660"/>
      <c r="I82" s="713"/>
    </row>
    <row r="83" spans="2:9">
      <c r="B83" s="712"/>
      <c r="C83" s="660"/>
      <c r="D83" s="660"/>
      <c r="E83" s="660"/>
      <c r="F83" s="660"/>
      <c r="G83" s="660"/>
      <c r="H83" s="660"/>
      <c r="I83" s="726" t="s">
        <v>3482</v>
      </c>
    </row>
    <row r="84" spans="2:9">
      <c r="B84" s="714" t="s">
        <v>3483</v>
      </c>
      <c r="C84" s="660"/>
      <c r="D84" s="660"/>
      <c r="E84" s="660"/>
      <c r="F84" s="2049">
        <f>+F82+F80+F74+F68</f>
        <v>15232435.168675</v>
      </c>
      <c r="G84" s="2049"/>
      <c r="H84" s="660"/>
      <c r="I84" s="713"/>
    </row>
    <row r="85" spans="2:9">
      <c r="B85" s="716"/>
      <c r="C85" s="717"/>
      <c r="D85" s="717"/>
      <c r="E85" s="717"/>
      <c r="F85" s="717"/>
      <c r="G85" s="717"/>
      <c r="H85" s="717"/>
      <c r="I85" s="718"/>
    </row>
    <row r="87" spans="2:9">
      <c r="C87" s="667" t="s">
        <v>3153</v>
      </c>
    </row>
    <row r="88" spans="2:9">
      <c r="C88" s="667"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154" zoomScaleNormal="154" workbookViewId="0">
      <selection sqref="A1:XFD1048576"/>
    </sheetView>
  </sheetViews>
  <sheetFormatPr defaultColWidth="8.85546875" defaultRowHeight="15.75"/>
  <cols>
    <col min="1" max="1" width="2.28515625" style="3346" customWidth="1"/>
    <col min="2" max="13" width="7.140625" style="3346" customWidth="1"/>
    <col min="14" max="15" width="5.85546875" style="3346" customWidth="1"/>
    <col min="16" max="16384" width="8.85546875" style="3346"/>
  </cols>
  <sheetData>
    <row r="1" spans="1:26" ht="19.5">
      <c r="N1" s="3347" t="s">
        <v>1555</v>
      </c>
      <c r="O1" s="3347"/>
      <c r="P1" s="3347"/>
      <c r="Q1" s="3347"/>
      <c r="R1" s="3347"/>
      <c r="S1" s="3347"/>
      <c r="T1" s="3347"/>
      <c r="U1" s="3347"/>
      <c r="V1" s="3347"/>
      <c r="W1" s="3347"/>
      <c r="X1" s="3347"/>
      <c r="Y1" s="3347"/>
      <c r="Z1" s="3347"/>
    </row>
    <row r="3" spans="1:26">
      <c r="N3" s="3348" t="s">
        <v>1556</v>
      </c>
      <c r="O3" s="3348"/>
      <c r="P3" s="3348"/>
      <c r="Q3" s="3348"/>
      <c r="R3" s="3348"/>
      <c r="S3" s="3348"/>
      <c r="T3" s="3348"/>
      <c r="U3" s="3348"/>
      <c r="V3" s="3348"/>
      <c r="W3" s="3348"/>
      <c r="X3" s="3348"/>
      <c r="Y3" s="3348"/>
      <c r="Z3" s="3348"/>
    </row>
    <row r="4" spans="1:26">
      <c r="N4" s="3349" t="s">
        <v>1557</v>
      </c>
      <c r="O4" s="3349"/>
      <c r="P4" s="3349"/>
      <c r="Q4" s="3349"/>
      <c r="R4" s="3349"/>
      <c r="S4" s="3349"/>
      <c r="T4" s="3349"/>
      <c r="U4" s="3349"/>
      <c r="V4" s="3349"/>
      <c r="W4" s="3349"/>
      <c r="X4" s="3349"/>
      <c r="Y4" s="3349"/>
      <c r="Z4" s="3349"/>
    </row>
    <row r="5" spans="1:26">
      <c r="B5" s="3350"/>
      <c r="C5" s="3350"/>
      <c r="D5" s="3350"/>
      <c r="E5" s="3350"/>
      <c r="F5" s="3350"/>
      <c r="G5" s="3350"/>
      <c r="H5" s="3350"/>
      <c r="I5" s="3350"/>
      <c r="J5" s="3350"/>
      <c r="K5" s="3350"/>
      <c r="L5" s="3350"/>
      <c r="M5" s="3350"/>
      <c r="N5" s="3351" t="s">
        <v>730</v>
      </c>
    </row>
    <row r="6" spans="1:26" ht="57" customHeight="1">
      <c r="A6" s="3352" t="s">
        <v>2865</v>
      </c>
      <c r="B6" s="3352"/>
      <c r="C6" s="3352"/>
      <c r="D6" s="3352"/>
      <c r="E6" s="3352"/>
      <c r="F6" s="3352"/>
      <c r="G6" s="3352"/>
      <c r="H6" s="3352"/>
      <c r="I6" s="3352"/>
      <c r="J6" s="3352"/>
      <c r="K6" s="3352"/>
      <c r="L6" s="3352"/>
      <c r="M6" s="3352"/>
    </row>
    <row r="7" spans="1:26" ht="11.45" customHeight="1">
      <c r="A7" s="3350"/>
      <c r="B7" s="3350"/>
      <c r="C7" s="3350"/>
      <c r="D7" s="3350"/>
      <c r="E7" s="3350"/>
      <c r="F7" s="3350"/>
      <c r="G7" s="3350"/>
      <c r="H7" s="3350"/>
      <c r="I7" s="3350"/>
      <c r="J7" s="3350"/>
      <c r="K7" s="3350"/>
      <c r="L7" s="3350"/>
      <c r="M7" s="3350"/>
    </row>
    <row r="8" spans="1:26">
      <c r="A8" s="3350" t="s">
        <v>735</v>
      </c>
      <c r="B8" s="3350"/>
      <c r="C8" s="3350"/>
      <c r="D8" s="3350"/>
      <c r="E8" s="3350"/>
      <c r="F8" s="3350"/>
      <c r="G8" s="3350"/>
      <c r="H8" s="3350"/>
      <c r="I8" s="3350"/>
      <c r="J8" s="3350"/>
      <c r="K8" s="3350"/>
      <c r="L8" s="3350"/>
      <c r="M8" s="3350"/>
    </row>
    <row r="9" spans="1:26" ht="11.45" customHeight="1">
      <c r="A9" s="3350"/>
      <c r="B9" s="3350"/>
      <c r="C9" s="3350"/>
      <c r="D9" s="3350"/>
      <c r="E9" s="3350"/>
      <c r="F9" s="3350"/>
      <c r="G9" s="3350"/>
      <c r="H9" s="3350"/>
      <c r="I9" s="3350"/>
      <c r="J9" s="3350"/>
      <c r="K9" s="3350"/>
      <c r="L9" s="3350"/>
      <c r="M9" s="3350"/>
    </row>
    <row r="10" spans="1:26">
      <c r="A10" s="3353" t="s">
        <v>1980</v>
      </c>
      <c r="B10" s="3353"/>
      <c r="C10" s="3353"/>
      <c r="D10" s="3353"/>
      <c r="E10" s="3353"/>
      <c r="F10" s="3353"/>
      <c r="G10" s="3353"/>
      <c r="H10" s="3353"/>
      <c r="I10" s="3353"/>
      <c r="J10" s="3353"/>
      <c r="K10" s="3353"/>
      <c r="L10" s="3353"/>
      <c r="M10" s="3353"/>
    </row>
    <row r="11" spans="1:26" ht="6.75" customHeight="1">
      <c r="A11" s="3353"/>
      <c r="B11" s="3353"/>
      <c r="C11" s="3353"/>
      <c r="D11" s="3353"/>
      <c r="E11" s="3353"/>
      <c r="F11" s="3353"/>
      <c r="G11" s="3353"/>
      <c r="H11" s="3353"/>
      <c r="I11" s="3353"/>
      <c r="J11" s="3353"/>
      <c r="K11" s="3353"/>
      <c r="L11" s="3353"/>
      <c r="M11" s="3353"/>
    </row>
    <row r="12" spans="1:26" ht="44.25" customHeight="1">
      <c r="A12" s="3354" t="s">
        <v>4120</v>
      </c>
      <c r="B12" s="3354"/>
      <c r="C12" s="3354"/>
      <c r="D12" s="3354"/>
      <c r="E12" s="3354"/>
      <c r="F12" s="3354"/>
      <c r="G12" s="3354"/>
      <c r="H12" s="3354"/>
      <c r="I12" s="3354"/>
      <c r="J12" s="3354"/>
      <c r="K12" s="3354"/>
      <c r="L12" s="3354"/>
      <c r="M12" s="3354"/>
    </row>
    <row r="13" spans="1:26" ht="3" customHeight="1">
      <c r="A13" s="3353"/>
      <c r="B13" s="3353"/>
      <c r="C13" s="3353"/>
      <c r="D13" s="3353"/>
      <c r="E13" s="3353"/>
      <c r="F13" s="3353"/>
      <c r="G13" s="3353"/>
      <c r="H13" s="3353"/>
      <c r="I13" s="3353"/>
      <c r="J13" s="3353"/>
      <c r="K13" s="3353"/>
      <c r="L13" s="3353"/>
      <c r="M13" s="3353"/>
    </row>
    <row r="14" spans="1:26" ht="104.25" customHeight="1">
      <c r="A14" s="3355" t="s">
        <v>1803</v>
      </c>
      <c r="B14" s="3356" t="s">
        <v>4121</v>
      </c>
      <c r="C14" s="3356"/>
      <c r="D14" s="3356"/>
      <c r="E14" s="3356"/>
      <c r="F14" s="3356"/>
      <c r="G14" s="3356"/>
      <c r="H14" s="3356"/>
      <c r="I14" s="3356"/>
      <c r="J14" s="3356"/>
      <c r="K14" s="3356"/>
      <c r="L14" s="3356"/>
      <c r="M14" s="3356"/>
    </row>
    <row r="15" spans="1:26" ht="57.75" customHeight="1">
      <c r="A15" s="3355" t="s">
        <v>1804</v>
      </c>
      <c r="B15" s="3356" t="s">
        <v>4122</v>
      </c>
      <c r="C15" s="3356"/>
      <c r="D15" s="3356"/>
      <c r="E15" s="3356"/>
      <c r="F15" s="3356"/>
      <c r="G15" s="3356"/>
      <c r="H15" s="3356"/>
      <c r="I15" s="3356"/>
      <c r="J15" s="3356"/>
      <c r="K15" s="3356"/>
      <c r="L15" s="3356"/>
      <c r="M15" s="3356"/>
    </row>
    <row r="16" spans="1:26" ht="119.25" customHeight="1">
      <c r="A16" s="3355" t="s">
        <v>1805</v>
      </c>
      <c r="B16" s="3356" t="s">
        <v>4123</v>
      </c>
      <c r="C16" s="3356"/>
      <c r="D16" s="3356"/>
      <c r="E16" s="3356"/>
      <c r="F16" s="3356"/>
      <c r="G16" s="3356"/>
      <c r="H16" s="3356"/>
      <c r="I16" s="3356"/>
      <c r="J16" s="3356"/>
      <c r="K16" s="3356"/>
      <c r="L16" s="3356"/>
      <c r="M16" s="3356"/>
    </row>
    <row r="17" spans="1:13" ht="159.75" customHeight="1">
      <c r="A17" s="3355" t="s">
        <v>2448</v>
      </c>
      <c r="B17" s="3356" t="s">
        <v>3707</v>
      </c>
      <c r="C17" s="3356"/>
      <c r="D17" s="3356"/>
      <c r="E17" s="3356"/>
      <c r="F17" s="3356"/>
      <c r="G17" s="3356"/>
      <c r="H17" s="3356"/>
      <c r="I17" s="3356"/>
      <c r="J17" s="3356"/>
      <c r="K17" s="3356"/>
      <c r="L17" s="3356"/>
      <c r="M17" s="3356"/>
    </row>
    <row r="18" spans="1:13" ht="45" customHeight="1">
      <c r="A18" s="3355" t="s">
        <v>1606</v>
      </c>
      <c r="B18" s="3356" t="s">
        <v>709</v>
      </c>
      <c r="C18" s="3356"/>
      <c r="D18" s="3356"/>
      <c r="E18" s="3356"/>
      <c r="F18" s="3356"/>
      <c r="G18" s="3356"/>
      <c r="H18" s="3356"/>
      <c r="I18" s="3356"/>
      <c r="J18" s="3356"/>
      <c r="K18" s="3356"/>
      <c r="L18" s="3356"/>
      <c r="M18" s="3356"/>
    </row>
    <row r="19" spans="1:13" ht="177.75" customHeight="1">
      <c r="A19" s="3355" t="s">
        <v>1607</v>
      </c>
      <c r="B19" s="3356" t="s">
        <v>3706</v>
      </c>
      <c r="C19" s="3356"/>
      <c r="D19" s="3356"/>
      <c r="E19" s="3356"/>
      <c r="F19" s="3356"/>
      <c r="G19" s="3356"/>
      <c r="H19" s="3356"/>
      <c r="I19" s="3356"/>
      <c r="J19" s="3356"/>
      <c r="K19" s="3356"/>
      <c r="L19" s="3356"/>
      <c r="M19" s="3356"/>
    </row>
    <row r="20" spans="1:13" ht="57" customHeight="1">
      <c r="A20" s="3355" t="s">
        <v>100</v>
      </c>
      <c r="B20" s="3357" t="s">
        <v>4124</v>
      </c>
      <c r="C20" s="3357"/>
      <c r="D20" s="3357"/>
      <c r="E20" s="3357"/>
      <c r="F20" s="3357"/>
      <c r="G20" s="3357"/>
      <c r="H20" s="3357"/>
      <c r="I20" s="3357"/>
      <c r="J20" s="3357"/>
      <c r="K20" s="3357"/>
      <c r="L20" s="3357"/>
      <c r="M20" s="3357"/>
    </row>
    <row r="21" spans="1:13" ht="57.75" customHeight="1">
      <c r="A21" s="3355" t="s">
        <v>530</v>
      </c>
      <c r="B21" s="3356" t="s">
        <v>3709</v>
      </c>
      <c r="C21" s="3356"/>
      <c r="D21" s="3356"/>
      <c r="E21" s="3356"/>
      <c r="F21" s="3356"/>
      <c r="G21" s="3356"/>
      <c r="H21" s="3356"/>
      <c r="I21" s="3356"/>
      <c r="J21" s="3356"/>
      <c r="K21" s="3356"/>
      <c r="L21" s="3356"/>
      <c r="M21" s="3356"/>
    </row>
    <row r="22" spans="1:13" ht="28.5" customHeight="1">
      <c r="A22" s="3355" t="s">
        <v>531</v>
      </c>
      <c r="B22" s="3356" t="s">
        <v>3762</v>
      </c>
      <c r="C22" s="3356"/>
      <c r="D22" s="3356"/>
      <c r="E22" s="3356"/>
      <c r="F22" s="3356"/>
      <c r="G22" s="3356"/>
      <c r="H22" s="3356"/>
      <c r="I22" s="3356"/>
      <c r="J22" s="3356"/>
      <c r="K22" s="3356"/>
      <c r="L22" s="3356"/>
      <c r="M22" s="3356"/>
    </row>
    <row r="23" spans="1:13" ht="1.5" customHeight="1">
      <c r="A23" s="3353"/>
      <c r="B23" s="3353"/>
      <c r="C23" s="3353"/>
      <c r="D23" s="3353"/>
      <c r="E23" s="3353"/>
      <c r="F23" s="3353"/>
      <c r="G23" s="3353"/>
      <c r="H23" s="3353"/>
      <c r="I23" s="3353"/>
      <c r="J23" s="3353"/>
      <c r="K23" s="3353"/>
      <c r="L23" s="3353"/>
      <c r="M23" s="3353"/>
    </row>
    <row r="24" spans="1:13" ht="3" customHeight="1">
      <c r="A24" s="3353"/>
      <c r="B24" s="3353"/>
      <c r="C24" s="3353"/>
      <c r="D24" s="3353"/>
      <c r="E24" s="3353"/>
      <c r="F24" s="3353"/>
      <c r="G24" s="3353"/>
      <c r="H24" s="3353"/>
      <c r="I24" s="3353"/>
      <c r="J24" s="3353"/>
      <c r="K24" s="3353"/>
      <c r="L24" s="3353"/>
      <c r="M24" s="3353"/>
    </row>
    <row r="25" spans="1:13" ht="13.5" customHeight="1">
      <c r="A25" s="3353" t="s">
        <v>1521</v>
      </c>
      <c r="B25" s="3353"/>
      <c r="C25" s="3353"/>
      <c r="D25" s="3353"/>
      <c r="E25" s="3353"/>
      <c r="F25" s="3353"/>
      <c r="G25" s="3353"/>
      <c r="H25" s="3353"/>
      <c r="I25" s="3353"/>
      <c r="J25" s="3353"/>
      <c r="K25" s="3353"/>
      <c r="L25" s="3353"/>
      <c r="M25" s="3353"/>
    </row>
    <row r="26" spans="1:13" ht="28.5" customHeight="1">
      <c r="A26" s="910" t="s">
        <v>1522</v>
      </c>
      <c r="B26" s="3356" t="s">
        <v>3763</v>
      </c>
      <c r="C26" s="3356"/>
      <c r="D26" s="3356"/>
      <c r="E26" s="3356"/>
      <c r="F26" s="3356"/>
      <c r="G26" s="3356"/>
      <c r="H26" s="3356"/>
      <c r="I26" s="3356"/>
      <c r="J26" s="3356"/>
      <c r="K26" s="3356"/>
      <c r="L26" s="3356"/>
      <c r="M26" s="3356"/>
    </row>
    <row r="27" spans="1:13" ht="28.5" customHeight="1">
      <c r="A27" s="910" t="s">
        <v>1522</v>
      </c>
      <c r="B27" s="3356" t="s">
        <v>3764</v>
      </c>
      <c r="C27" s="3356"/>
      <c r="D27" s="3356"/>
      <c r="E27" s="3356"/>
      <c r="F27" s="3356"/>
      <c r="G27" s="3356"/>
      <c r="H27" s="3356"/>
      <c r="I27" s="3356"/>
      <c r="J27" s="3356"/>
      <c r="K27" s="3356"/>
      <c r="L27" s="3356"/>
      <c r="M27" s="3356"/>
    </row>
    <row r="28" spans="1:13" ht="71.25" customHeight="1">
      <c r="A28" s="910" t="s">
        <v>1522</v>
      </c>
      <c r="B28" s="3356" t="s">
        <v>2866</v>
      </c>
      <c r="C28" s="3356"/>
      <c r="D28" s="3356"/>
      <c r="E28" s="3356"/>
      <c r="F28" s="3356"/>
      <c r="G28" s="3356"/>
      <c r="H28" s="3356"/>
      <c r="I28" s="3356"/>
      <c r="J28" s="3356"/>
      <c r="K28" s="3356"/>
      <c r="L28" s="3356"/>
      <c r="M28" s="3356"/>
    </row>
    <row r="29" spans="1:13" ht="3" customHeight="1">
      <c r="A29" s="3353"/>
      <c r="B29" s="3353"/>
      <c r="C29" s="3353"/>
      <c r="D29" s="3353"/>
      <c r="E29" s="3353"/>
      <c r="F29" s="3353"/>
      <c r="G29" s="3353"/>
      <c r="H29" s="3353"/>
      <c r="I29" s="3353"/>
      <c r="J29" s="3353"/>
      <c r="K29" s="3353"/>
      <c r="L29" s="3353"/>
      <c r="M29" s="3353"/>
    </row>
    <row r="30" spans="1:13" ht="43.5" customHeight="1">
      <c r="A30" s="3356" t="s">
        <v>979</v>
      </c>
      <c r="B30" s="3356"/>
      <c r="C30" s="3356"/>
      <c r="D30" s="3356"/>
      <c r="E30" s="3356"/>
      <c r="F30" s="3356"/>
      <c r="G30" s="3356"/>
      <c r="H30" s="3356"/>
      <c r="I30" s="3356"/>
      <c r="J30" s="3356"/>
      <c r="K30" s="3356"/>
      <c r="L30" s="3356"/>
      <c r="M30" s="3356"/>
    </row>
    <row r="31" spans="1:13" ht="3" customHeight="1">
      <c r="A31" s="3353"/>
      <c r="B31" s="3353"/>
      <c r="C31" s="3353"/>
      <c r="D31" s="3353"/>
      <c r="E31" s="3353"/>
      <c r="F31" s="3353"/>
      <c r="G31" s="3353"/>
      <c r="H31" s="3353"/>
      <c r="I31" s="3353"/>
      <c r="J31" s="3353"/>
      <c r="K31" s="3353"/>
      <c r="L31" s="3353"/>
      <c r="M31" s="3353"/>
    </row>
    <row r="32" spans="1:13" ht="28.5" customHeight="1">
      <c r="A32" s="3356" t="s">
        <v>2867</v>
      </c>
      <c r="B32" s="3356"/>
      <c r="C32" s="3356"/>
      <c r="D32" s="3356"/>
      <c r="E32" s="3356"/>
      <c r="F32" s="3356"/>
      <c r="G32" s="3356"/>
      <c r="H32" s="3356"/>
      <c r="I32" s="3356"/>
      <c r="J32" s="3356"/>
      <c r="K32" s="3356"/>
      <c r="L32" s="3356"/>
      <c r="M32" s="3356"/>
    </row>
    <row r="33" spans="1:13" ht="4.5" customHeight="1">
      <c r="A33" s="3353"/>
      <c r="B33" s="3353"/>
      <c r="C33" s="3353"/>
      <c r="D33" s="3353"/>
      <c r="E33" s="3353"/>
      <c r="F33" s="3353"/>
      <c r="G33" s="3353"/>
      <c r="H33" s="3353"/>
      <c r="I33" s="3353"/>
      <c r="J33" s="3353"/>
      <c r="K33" s="3353"/>
      <c r="L33" s="3353"/>
      <c r="M33" s="3353"/>
    </row>
    <row r="34" spans="1:13">
      <c r="A34" s="3353" t="s">
        <v>955</v>
      </c>
      <c r="B34" s="3353"/>
      <c r="C34" s="3353"/>
      <c r="D34" s="3353"/>
      <c r="E34" s="3353"/>
      <c r="F34" s="3353"/>
      <c r="G34" s="3353"/>
      <c r="H34" s="3353"/>
      <c r="I34" s="3353"/>
      <c r="J34" s="3353"/>
      <c r="K34" s="3353"/>
      <c r="L34" s="3353"/>
      <c r="M34" s="3353"/>
    </row>
    <row r="35" spans="1:13" ht="6" customHeight="1">
      <c r="A35" s="3358"/>
      <c r="B35" s="3358"/>
      <c r="C35" s="3358"/>
      <c r="D35" s="3358"/>
      <c r="E35" s="3358"/>
      <c r="F35" s="3358"/>
      <c r="G35" s="3358"/>
      <c r="H35" s="3358"/>
      <c r="I35" s="3358"/>
      <c r="J35" s="3358"/>
      <c r="K35" s="3358"/>
      <c r="L35" s="3358"/>
      <c r="M35" s="3358"/>
    </row>
    <row r="36" spans="1:13">
      <c r="A36" s="3359"/>
      <c r="B36" s="3359"/>
      <c r="C36" s="3359"/>
      <c r="D36" s="3359"/>
      <c r="E36" s="3359"/>
      <c r="F36" s="3359"/>
      <c r="G36" s="3360"/>
      <c r="H36" s="3359"/>
      <c r="I36" s="3359"/>
      <c r="J36" s="3359"/>
      <c r="K36" s="3359"/>
      <c r="L36" s="3359"/>
      <c r="M36" s="3359"/>
    </row>
    <row r="37" spans="1:13" ht="12" customHeight="1">
      <c r="A37" s="3361" t="s">
        <v>956</v>
      </c>
      <c r="B37" s="3361"/>
      <c r="C37" s="3361"/>
      <c r="D37" s="3361"/>
      <c r="E37" s="3361"/>
      <c r="F37" s="3361"/>
      <c r="G37" s="3360"/>
      <c r="H37" s="3361" t="s">
        <v>2055</v>
      </c>
      <c r="I37" s="3361"/>
      <c r="J37" s="3361"/>
      <c r="K37" s="3361"/>
      <c r="L37" s="3361"/>
      <c r="M37" s="3361"/>
    </row>
    <row r="38" spans="1:13" ht="6" customHeight="1">
      <c r="A38" s="3360"/>
      <c r="B38" s="3360"/>
      <c r="C38" s="3360"/>
      <c r="D38" s="3360"/>
      <c r="E38" s="3360"/>
      <c r="F38" s="3360"/>
      <c r="G38" s="3360"/>
      <c r="H38" s="3360"/>
      <c r="I38" s="3360"/>
      <c r="J38" s="3360"/>
      <c r="K38" s="3360"/>
      <c r="L38" s="3360"/>
      <c r="M38" s="3360"/>
    </row>
    <row r="39" spans="1:13">
      <c r="A39" s="3359"/>
      <c r="B39" s="3359"/>
      <c r="C39" s="3359"/>
      <c r="D39" s="3359"/>
      <c r="E39" s="3359"/>
      <c r="F39" s="3359"/>
      <c r="G39" s="3360"/>
      <c r="H39" s="3362"/>
      <c r="I39" s="3362"/>
      <c r="J39" s="3362"/>
      <c r="K39" s="3362"/>
      <c r="L39" s="3362"/>
      <c r="M39" s="3362"/>
    </row>
    <row r="40" spans="1:13" ht="12" customHeight="1">
      <c r="A40" s="3361" t="s">
        <v>957</v>
      </c>
      <c r="B40" s="3361"/>
      <c r="C40" s="3361"/>
      <c r="D40" s="3361"/>
      <c r="E40" s="3361"/>
      <c r="F40" s="3361"/>
      <c r="G40" s="3360"/>
      <c r="H40" s="3361" t="s">
        <v>958</v>
      </c>
      <c r="I40" s="3361"/>
      <c r="J40" s="3361"/>
      <c r="K40" s="3361"/>
      <c r="L40" s="3361"/>
      <c r="M40" s="3361"/>
    </row>
    <row r="41" spans="1:13" ht="3" customHeight="1">
      <c r="A41" s="3363"/>
      <c r="B41" s="3363"/>
      <c r="C41" s="3363"/>
      <c r="D41" s="3363"/>
      <c r="E41" s="3363"/>
      <c r="F41" s="3363"/>
      <c r="G41" s="3360"/>
      <c r="H41" s="3363"/>
      <c r="I41" s="3363"/>
      <c r="J41" s="3363"/>
      <c r="K41" s="3363"/>
      <c r="L41" s="3363"/>
      <c r="M41" s="3363"/>
    </row>
    <row r="42" spans="1:13" ht="11.45" customHeight="1">
      <c r="A42" s="3350"/>
      <c r="B42" s="3350"/>
      <c r="C42" s="3350"/>
      <c r="D42" s="3350"/>
      <c r="E42" s="3350"/>
      <c r="F42" s="3350"/>
      <c r="G42" s="3350"/>
      <c r="H42" s="3364" t="s">
        <v>959</v>
      </c>
      <c r="I42" s="3364"/>
      <c r="J42" s="3364"/>
      <c r="K42" s="3364"/>
      <c r="L42" s="3364"/>
      <c r="M42" s="3364"/>
    </row>
    <row r="43" spans="1:13" ht="11.45" customHeight="1">
      <c r="A43" s="3350"/>
      <c r="B43" s="3350"/>
      <c r="C43" s="3350"/>
      <c r="D43" s="3350"/>
      <c r="E43" s="3350"/>
      <c r="F43" s="3350"/>
      <c r="G43" s="3350"/>
    </row>
    <row r="44" spans="1:13" ht="11.45" customHeight="1">
      <c r="A44" s="3350"/>
      <c r="B44" s="3350"/>
      <c r="C44" s="3350"/>
      <c r="D44" s="3350"/>
      <c r="E44" s="3350"/>
      <c r="F44" s="3350"/>
      <c r="G44" s="3350"/>
      <c r="H44" s="3350"/>
      <c r="I44" s="3350"/>
      <c r="J44" s="3350"/>
      <c r="K44" s="3350"/>
      <c r="L44" s="3350"/>
      <c r="M44" s="3350"/>
    </row>
    <row r="45" spans="1:13" ht="11.45" customHeight="1">
      <c r="A45" s="3350"/>
      <c r="B45" s="3350"/>
      <c r="C45" s="3350"/>
      <c r="D45" s="3350"/>
      <c r="E45" s="3350"/>
      <c r="F45" s="3350"/>
      <c r="G45" s="3350"/>
      <c r="H45" s="3350"/>
      <c r="I45" s="3350"/>
      <c r="J45" s="3350"/>
      <c r="K45" s="3350"/>
      <c r="L45" s="3350"/>
      <c r="M45" s="3350"/>
    </row>
    <row r="46" spans="1:13" ht="11.45" customHeight="1"/>
    <row r="47" spans="1:13" ht="11.45" customHeight="1"/>
    <row r="48" spans="1:13" ht="11.45" customHeight="1"/>
    <row r="49" ht="11.45" customHeight="1"/>
    <row r="50" ht="11.45" customHeight="1"/>
  </sheetData>
  <sheetProtection algorithmName="SHA-512" hashValue="dpFBkwVz7LhLOXhtl7N5Gw8bTduGzFtpm2aV7+ipyFyEq6LO7fIfpxi9cw8ANbslTcwg/WMye5noL1WLnOtRHA==" saltValue="akOt2hbPHdUCSmUD8mCd7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42" t="s">
        <v>1799</v>
      </c>
      <c r="R6" s="1442">
        <v>1000000</v>
      </c>
      <c r="S6" s="183"/>
      <c r="U6" s="183"/>
      <c r="V6" s="1336"/>
      <c r="W6" s="1336"/>
      <c r="X6" s="186"/>
      <c r="AA6" s="587"/>
      <c r="AB6" s="587"/>
    </row>
    <row r="7" spans="1:28" s="299" customFormat="1" ht="11.45" customHeight="1">
      <c r="A7" s="304"/>
      <c r="B7" s="185"/>
      <c r="C7" s="185"/>
      <c r="D7" s="183"/>
      <c r="E7" s="183"/>
      <c r="F7" s="185"/>
      <c r="G7" s="185"/>
      <c r="H7" s="183"/>
      <c r="I7" s="183"/>
      <c r="J7" s="185" t="s">
        <v>1798</v>
      </c>
      <c r="L7" s="185" t="s">
        <v>2985</v>
      </c>
      <c r="M7" s="185"/>
      <c r="N7" s="185"/>
      <c r="O7" s="185"/>
      <c r="P7" s="183"/>
      <c r="Q7" s="1442" t="s">
        <v>1799</v>
      </c>
      <c r="R7" s="1442">
        <v>1200000</v>
      </c>
      <c r="S7" s="183"/>
      <c r="T7" s="183"/>
      <c r="U7" s="183"/>
      <c r="V7" s="1336"/>
      <c r="W7" s="1336"/>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42" t="s">
        <v>1799</v>
      </c>
      <c r="R8" s="1442">
        <v>1800000</v>
      </c>
      <c r="S8" s="183"/>
      <c r="T8" s="183"/>
      <c r="U8" s="183"/>
      <c r="V8" s="1336"/>
      <c r="W8" s="1336"/>
      <c r="X8" s="186"/>
      <c r="AA8" s="587"/>
      <c r="AB8" s="587"/>
    </row>
    <row r="9" spans="1:28" s="299" customFormat="1" ht="11.45" customHeight="1">
      <c r="A9" s="185"/>
      <c r="B9" s="185"/>
      <c r="C9" s="185"/>
      <c r="D9" s="183"/>
      <c r="E9" s="183"/>
      <c r="F9" s="185" t="s">
        <v>2494</v>
      </c>
      <c r="G9" s="185"/>
      <c r="H9" s="183"/>
      <c r="I9" s="183"/>
      <c r="J9" s="185" t="s">
        <v>1829</v>
      </c>
      <c r="K9" s="185"/>
      <c r="L9" s="185"/>
      <c r="M9" s="185"/>
      <c r="N9" s="185"/>
      <c r="O9" s="185"/>
      <c r="P9" s="183"/>
      <c r="Q9" s="1442">
        <v>1000000</v>
      </c>
      <c r="R9" s="1442">
        <v>2000000</v>
      </c>
      <c r="S9" s="305"/>
      <c r="T9" s="305"/>
      <c r="U9" s="183"/>
      <c r="V9" s="1437"/>
      <c r="W9" s="1437"/>
      <c r="X9" s="1437"/>
      <c r="AA9" s="587"/>
      <c r="AB9" s="587"/>
    </row>
    <row r="10" spans="1:28" s="299" customFormat="1" ht="11.45" customHeight="1">
      <c r="A10" s="304"/>
      <c r="B10" s="185"/>
      <c r="C10" s="185"/>
      <c r="D10" s="183"/>
      <c r="E10" s="183"/>
      <c r="F10" s="185"/>
      <c r="G10" s="185"/>
      <c r="H10" s="183"/>
      <c r="I10" s="183"/>
      <c r="J10" s="185" t="s">
        <v>2469</v>
      </c>
      <c r="K10" s="185"/>
      <c r="L10" s="185"/>
      <c r="M10" s="185"/>
      <c r="N10" s="185"/>
      <c r="O10" s="185"/>
      <c r="P10" s="183"/>
      <c r="Q10" s="1442" t="s">
        <v>1799</v>
      </c>
      <c r="R10" s="1441">
        <v>0.25</v>
      </c>
      <c r="S10" s="183"/>
      <c r="T10" s="183"/>
      <c r="U10" s="183"/>
      <c r="V10" s="1336"/>
      <c r="W10" s="1336"/>
      <c r="X10" s="186"/>
      <c r="AA10" s="587"/>
      <c r="AB10" s="587"/>
    </row>
    <row r="11" spans="1:28" s="299" customFormat="1" ht="11.45" customHeight="1">
      <c r="A11" s="185"/>
      <c r="B11" s="185"/>
      <c r="C11" s="185"/>
      <c r="D11" s="183"/>
      <c r="E11" s="183"/>
      <c r="F11" s="185" t="s">
        <v>4036</v>
      </c>
      <c r="G11" s="185"/>
      <c r="H11" s="183"/>
      <c r="I11" s="183"/>
      <c r="J11" s="741" t="s">
        <v>4037</v>
      </c>
      <c r="K11" s="309"/>
      <c r="M11" s="309"/>
      <c r="N11" s="309"/>
      <c r="O11" s="185"/>
      <c r="Q11" s="307"/>
      <c r="R11" s="307"/>
      <c r="S11" s="321"/>
      <c r="T11" s="183"/>
      <c r="U11" s="183"/>
      <c r="V11" s="1437"/>
      <c r="W11" s="1437"/>
      <c r="X11" s="1437"/>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7"/>
      <c r="W12" s="1437"/>
      <c r="X12" s="1437"/>
      <c r="AA12" s="587"/>
      <c r="AB12" s="587"/>
    </row>
    <row r="13" spans="1:28" s="299" customFormat="1" ht="11.45" customHeight="1">
      <c r="A13" s="185"/>
      <c r="B13" s="185"/>
      <c r="C13" s="185"/>
      <c r="D13" s="183"/>
      <c r="E13" s="183"/>
      <c r="F13" s="2054" t="s">
        <v>3546</v>
      </c>
      <c r="G13" s="2055"/>
      <c r="H13" s="2055"/>
      <c r="I13" s="2055"/>
      <c r="J13" s="2056"/>
      <c r="K13" s="309"/>
      <c r="L13" s="743" t="s">
        <v>3883</v>
      </c>
      <c r="M13" s="309"/>
      <c r="N13" s="2054" t="s">
        <v>3546</v>
      </c>
      <c r="O13" s="2055"/>
      <c r="P13" s="2055"/>
      <c r="Q13" s="2055"/>
      <c r="R13" s="2056"/>
      <c r="S13" s="321"/>
      <c r="T13" s="183"/>
      <c r="U13" s="183"/>
      <c r="V13" s="1437"/>
      <c r="W13" s="1437"/>
      <c r="X13" s="1437"/>
      <c r="AA13" s="587"/>
      <c r="AB13" s="587"/>
    </row>
    <row r="14" spans="1:28" s="299" customFormat="1" ht="11.45" customHeight="1">
      <c r="A14" s="185"/>
      <c r="D14" s="744" t="s">
        <v>2701</v>
      </c>
      <c r="E14" s="744" t="s">
        <v>1345</v>
      </c>
      <c r="F14" s="745">
        <v>0</v>
      </c>
      <c r="G14" s="746">
        <v>1</v>
      </c>
      <c r="H14" s="747">
        <v>2</v>
      </c>
      <c r="I14" s="747">
        <v>3</v>
      </c>
      <c r="J14" s="748" t="s">
        <v>3543</v>
      </c>
      <c r="L14" s="744" t="s">
        <v>2701</v>
      </c>
      <c r="M14" s="744" t="s">
        <v>1345</v>
      </c>
      <c r="N14" s="745">
        <v>0</v>
      </c>
      <c r="O14" s="746">
        <v>1</v>
      </c>
      <c r="P14" s="747">
        <v>2</v>
      </c>
      <c r="Q14" s="747">
        <v>3</v>
      </c>
      <c r="R14" s="748" t="s">
        <v>3543</v>
      </c>
      <c r="S14" s="321"/>
      <c r="T14" s="183"/>
      <c r="U14" s="183"/>
      <c r="V14" s="1437"/>
      <c r="W14" s="1437"/>
      <c r="X14" s="1437"/>
      <c r="AA14" s="587"/>
      <c r="AB14" s="587"/>
    </row>
    <row r="15" spans="1:28" s="299" customFormat="1" ht="11.45" customHeight="1">
      <c r="A15" s="185"/>
      <c r="C15" s="344"/>
      <c r="D15" s="321" t="s">
        <v>1848</v>
      </c>
      <c r="E15" s="321" t="s">
        <v>3545</v>
      </c>
      <c r="F15" s="742">
        <v>118024</v>
      </c>
      <c r="G15" s="742">
        <v>155590</v>
      </c>
      <c r="H15" s="742">
        <v>186567</v>
      </c>
      <c r="I15" s="742">
        <v>224896</v>
      </c>
      <c r="J15" s="742">
        <v>265234</v>
      </c>
      <c r="L15" s="321" t="s">
        <v>1848</v>
      </c>
      <c r="M15" s="321" t="s">
        <v>3545</v>
      </c>
      <c r="N15" s="740">
        <f t="shared" ref="N15:R22" si="0">ROUNDDOWN(F15*1.1,0)</f>
        <v>129826</v>
      </c>
      <c r="O15" s="740">
        <f t="shared" si="0"/>
        <v>171149</v>
      </c>
      <c r="P15" s="740">
        <f t="shared" si="0"/>
        <v>205223</v>
      </c>
      <c r="Q15" s="740">
        <f t="shared" si="0"/>
        <v>247385</v>
      </c>
      <c r="R15" s="740">
        <f t="shared" si="0"/>
        <v>291757</v>
      </c>
      <c r="S15" s="321"/>
      <c r="T15" s="183"/>
      <c r="U15" s="183"/>
      <c r="V15" s="1437"/>
      <c r="W15" s="1437"/>
      <c r="X15" s="1437"/>
      <c r="AA15" s="587"/>
      <c r="AB15" s="587"/>
    </row>
    <row r="16" spans="1:28" s="299" customFormat="1" ht="11.45" customHeight="1">
      <c r="A16" s="185"/>
      <c r="C16" s="344"/>
      <c r="D16" s="321" t="s">
        <v>1848</v>
      </c>
      <c r="E16" s="321" t="s">
        <v>3542</v>
      </c>
      <c r="F16" s="742">
        <v>97116</v>
      </c>
      <c r="G16" s="742">
        <v>135962</v>
      </c>
      <c r="H16" s="742">
        <v>174808</v>
      </c>
      <c r="I16" s="742">
        <v>233078</v>
      </c>
      <c r="J16" s="742">
        <v>291347</v>
      </c>
      <c r="L16" s="321" t="s">
        <v>1848</v>
      </c>
      <c r="M16" s="321" t="s">
        <v>3542</v>
      </c>
      <c r="N16" s="740">
        <f t="shared" si="0"/>
        <v>106827</v>
      </c>
      <c r="O16" s="740">
        <f t="shared" si="0"/>
        <v>149558</v>
      </c>
      <c r="P16" s="740">
        <f t="shared" si="0"/>
        <v>192288</v>
      </c>
      <c r="Q16" s="740">
        <f t="shared" si="0"/>
        <v>256385</v>
      </c>
      <c r="R16" s="740">
        <f t="shared" si="0"/>
        <v>320481</v>
      </c>
      <c r="S16" s="321"/>
      <c r="T16" s="183"/>
      <c r="U16" s="183"/>
      <c r="V16" s="1437"/>
      <c r="W16" s="1437"/>
      <c r="X16" s="1437"/>
      <c r="AA16" s="587"/>
      <c r="AB16" s="587"/>
    </row>
    <row r="17" spans="1:28" s="299" customFormat="1" ht="11.45" customHeight="1">
      <c r="A17" s="185"/>
      <c r="C17" s="344"/>
      <c r="D17" s="321" t="s">
        <v>1848</v>
      </c>
      <c r="E17" s="321" t="s">
        <v>3540</v>
      </c>
      <c r="F17" s="742">
        <v>112014</v>
      </c>
      <c r="G17" s="742">
        <v>148067</v>
      </c>
      <c r="H17" s="742">
        <v>178048</v>
      </c>
      <c r="I17" s="742">
        <v>215837</v>
      </c>
      <c r="J17" s="742">
        <v>257008</v>
      </c>
      <c r="L17" s="321" t="s">
        <v>1848</v>
      </c>
      <c r="M17" s="321" t="s">
        <v>3540</v>
      </c>
      <c r="N17" s="740">
        <f t="shared" si="0"/>
        <v>123215</v>
      </c>
      <c r="O17" s="740">
        <f t="shared" si="0"/>
        <v>162873</v>
      </c>
      <c r="P17" s="740">
        <f t="shared" si="0"/>
        <v>195852</v>
      </c>
      <c r="Q17" s="740">
        <f t="shared" si="0"/>
        <v>237420</v>
      </c>
      <c r="R17" s="740">
        <f t="shared" si="0"/>
        <v>282708</v>
      </c>
      <c r="S17" s="321"/>
      <c r="T17" s="183"/>
      <c r="U17" s="183"/>
      <c r="V17" s="1437"/>
      <c r="W17" s="1437"/>
      <c r="X17" s="1437"/>
      <c r="AA17" s="587"/>
      <c r="AB17" s="587"/>
    </row>
    <row r="18" spans="1:28" s="299" customFormat="1" ht="11.45" customHeight="1">
      <c r="A18" s="185"/>
      <c r="C18" s="344"/>
      <c r="D18" s="321" t="s">
        <v>1848</v>
      </c>
      <c r="E18" s="321" t="s">
        <v>3541</v>
      </c>
      <c r="F18" s="742">
        <v>91285</v>
      </c>
      <c r="G18" s="742">
        <v>126011</v>
      </c>
      <c r="H18" s="742">
        <v>159708</v>
      </c>
      <c r="I18" s="742">
        <v>208340</v>
      </c>
      <c r="J18" s="742">
        <v>259672</v>
      </c>
      <c r="L18" s="321" t="s">
        <v>1848</v>
      </c>
      <c r="M18" s="321" t="s">
        <v>3541</v>
      </c>
      <c r="N18" s="740">
        <f t="shared" si="0"/>
        <v>100413</v>
      </c>
      <c r="O18" s="740">
        <f t="shared" si="0"/>
        <v>138612</v>
      </c>
      <c r="P18" s="740">
        <f t="shared" si="0"/>
        <v>175678</v>
      </c>
      <c r="Q18" s="740">
        <f t="shared" si="0"/>
        <v>229174</v>
      </c>
      <c r="R18" s="740">
        <f t="shared" si="0"/>
        <v>285639</v>
      </c>
      <c r="S18" s="321"/>
      <c r="T18" s="183"/>
      <c r="U18" s="183"/>
      <c r="V18" s="1437"/>
      <c r="W18" s="1437"/>
      <c r="X18" s="1437"/>
      <c r="AA18" s="587"/>
      <c r="AB18" s="587"/>
    </row>
    <row r="19" spans="1:28" s="299" customFormat="1" ht="11.45" customHeight="1">
      <c r="A19" s="185"/>
      <c r="C19" s="344"/>
      <c r="D19" s="321" t="s">
        <v>1251</v>
      </c>
      <c r="E19" s="321" t="s">
        <v>3545</v>
      </c>
      <c r="F19" s="742">
        <v>135361</v>
      </c>
      <c r="G19" s="742">
        <v>178380</v>
      </c>
      <c r="H19" s="742">
        <v>213793</v>
      </c>
      <c r="I19" s="742">
        <v>257538</v>
      </c>
      <c r="J19" s="742">
        <v>303696</v>
      </c>
      <c r="L19" s="741" t="s">
        <v>1251</v>
      </c>
      <c r="M19" s="741" t="s">
        <v>3545</v>
      </c>
      <c r="N19" s="740">
        <f t="shared" si="0"/>
        <v>148897</v>
      </c>
      <c r="O19" s="740">
        <f t="shared" si="0"/>
        <v>196218</v>
      </c>
      <c r="P19" s="740">
        <f t="shared" si="0"/>
        <v>235172</v>
      </c>
      <c r="Q19" s="740">
        <f t="shared" si="0"/>
        <v>283291</v>
      </c>
      <c r="R19" s="740">
        <f t="shared" si="0"/>
        <v>334065</v>
      </c>
      <c r="S19" s="321"/>
      <c r="T19" s="183"/>
      <c r="U19" s="183"/>
      <c r="V19" s="1437"/>
      <c r="W19" s="1437"/>
      <c r="X19" s="1437"/>
      <c r="AA19" s="587"/>
      <c r="AB19" s="587"/>
    </row>
    <row r="20" spans="1:28" s="299" customFormat="1" ht="11.45" customHeight="1">
      <c r="A20" s="185"/>
      <c r="C20" s="344"/>
      <c r="D20" s="321" t="s">
        <v>1251</v>
      </c>
      <c r="E20" s="321" t="s">
        <v>3542</v>
      </c>
      <c r="F20" s="742">
        <v>111281</v>
      </c>
      <c r="G20" s="742">
        <v>155793</v>
      </c>
      <c r="H20" s="742">
        <v>200306</v>
      </c>
      <c r="I20" s="742">
        <v>267074</v>
      </c>
      <c r="J20" s="742">
        <v>333843</v>
      </c>
      <c r="L20" s="741" t="s">
        <v>1251</v>
      </c>
      <c r="M20" s="741" t="s">
        <v>3542</v>
      </c>
      <c r="N20" s="740">
        <f t="shared" si="0"/>
        <v>122409</v>
      </c>
      <c r="O20" s="740">
        <f t="shared" si="0"/>
        <v>171372</v>
      </c>
      <c r="P20" s="740">
        <f t="shared" si="0"/>
        <v>220336</v>
      </c>
      <c r="Q20" s="740">
        <f t="shared" si="0"/>
        <v>293781</v>
      </c>
      <c r="R20" s="740">
        <f t="shared" si="0"/>
        <v>367227</v>
      </c>
      <c r="S20" s="321"/>
      <c r="T20" s="183"/>
      <c r="U20" s="183"/>
      <c r="V20" s="1437"/>
      <c r="W20" s="1437"/>
      <c r="X20" s="1437"/>
      <c r="AA20" s="587"/>
      <c r="AB20" s="587"/>
    </row>
    <row r="21" spans="1:28" s="299" customFormat="1" ht="11.45" customHeight="1">
      <c r="A21" s="185"/>
      <c r="C21" s="344"/>
      <c r="D21" s="321" t="s">
        <v>1251</v>
      </c>
      <c r="E21" s="321" t="s">
        <v>3540</v>
      </c>
      <c r="F21" s="742">
        <v>128554</v>
      </c>
      <c r="G21" s="742">
        <v>169860</v>
      </c>
      <c r="H21" s="742">
        <v>204145</v>
      </c>
      <c r="I21" s="742">
        <v>247279</v>
      </c>
      <c r="J21" s="742">
        <v>294379</v>
      </c>
      <c r="L21" s="741" t="s">
        <v>1251</v>
      </c>
      <c r="M21" s="741" t="s">
        <v>3540</v>
      </c>
      <c r="N21" s="740">
        <f t="shared" si="0"/>
        <v>141409</v>
      </c>
      <c r="O21" s="740">
        <f t="shared" si="0"/>
        <v>186846</v>
      </c>
      <c r="P21" s="740">
        <f t="shared" si="0"/>
        <v>224559</v>
      </c>
      <c r="Q21" s="740">
        <f t="shared" si="0"/>
        <v>272006</v>
      </c>
      <c r="R21" s="740">
        <f t="shared" si="0"/>
        <v>323816</v>
      </c>
      <c r="S21" s="321"/>
      <c r="T21" s="183"/>
      <c r="U21" s="183"/>
      <c r="V21" s="1437"/>
      <c r="W21" s="1437"/>
      <c r="X21" s="1437"/>
      <c r="AA21" s="587"/>
      <c r="AB21" s="587"/>
    </row>
    <row r="22" spans="1:28" s="299" customFormat="1" ht="11.45" customHeight="1">
      <c r="A22" s="185"/>
      <c r="C22" s="344"/>
      <c r="D22" s="321" t="s">
        <v>1251</v>
      </c>
      <c r="E22" s="321" t="s">
        <v>3541</v>
      </c>
      <c r="F22" s="742">
        <v>104901</v>
      </c>
      <c r="G22" s="742">
        <v>144835</v>
      </c>
      <c r="H22" s="742">
        <v>183605</v>
      </c>
      <c r="I22" s="742">
        <v>239593</v>
      </c>
      <c r="J22" s="742">
        <v>298638</v>
      </c>
      <c r="L22" s="741" t="s">
        <v>1251</v>
      </c>
      <c r="M22" s="741" t="s">
        <v>3541</v>
      </c>
      <c r="N22" s="740">
        <f t="shared" si="0"/>
        <v>115391</v>
      </c>
      <c r="O22" s="740">
        <f t="shared" si="0"/>
        <v>159318</v>
      </c>
      <c r="P22" s="740">
        <f t="shared" si="0"/>
        <v>201965</v>
      </c>
      <c r="Q22" s="740">
        <f t="shared" si="0"/>
        <v>263552</v>
      </c>
      <c r="R22" s="740">
        <f t="shared" si="0"/>
        <v>328501</v>
      </c>
      <c r="S22" s="321"/>
      <c r="T22" s="183"/>
      <c r="U22" s="183"/>
      <c r="V22" s="1437"/>
      <c r="W22" s="1437"/>
      <c r="X22" s="1437"/>
      <c r="AA22" s="587"/>
      <c r="AB22" s="587"/>
    </row>
    <row r="23" spans="1:28" s="299" customFormat="1" ht="11.45" customHeight="1">
      <c r="A23" s="185"/>
      <c r="C23" s="344"/>
      <c r="D23" s="321" t="s">
        <v>1379</v>
      </c>
      <c r="E23" s="321" t="s">
        <v>3545</v>
      </c>
      <c r="F23" s="742">
        <v>122960</v>
      </c>
      <c r="G23" s="742">
        <v>161910</v>
      </c>
      <c r="H23" s="742">
        <v>193847</v>
      </c>
      <c r="I23" s="742">
        <v>233158</v>
      </c>
      <c r="J23" s="742">
        <v>274874</v>
      </c>
      <c r="L23" s="741" t="s">
        <v>1379</v>
      </c>
      <c r="M23" s="741" t="s">
        <v>3545</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7"/>
      <c r="W23" s="1437"/>
      <c r="X23" s="1437"/>
      <c r="AA23" s="587"/>
      <c r="AB23" s="587"/>
    </row>
    <row r="24" spans="1:28" s="299" customFormat="1" ht="11.45" customHeight="1">
      <c r="A24" s="185"/>
      <c r="C24" s="344"/>
      <c r="D24" s="321" t="s">
        <v>1379</v>
      </c>
      <c r="E24" s="321" t="s">
        <v>3542</v>
      </c>
      <c r="F24" s="742">
        <v>100885</v>
      </c>
      <c r="G24" s="742">
        <v>141240</v>
      </c>
      <c r="H24" s="742">
        <v>181594</v>
      </c>
      <c r="I24" s="742">
        <v>242125</v>
      </c>
      <c r="J24" s="742">
        <v>302656</v>
      </c>
      <c r="L24" s="741" t="s">
        <v>1379</v>
      </c>
      <c r="M24" s="741" t="s">
        <v>3542</v>
      </c>
      <c r="N24" s="740">
        <f t="shared" si="1"/>
        <v>110973</v>
      </c>
      <c r="O24" s="740">
        <f t="shared" si="2"/>
        <v>155364</v>
      </c>
      <c r="P24" s="740">
        <f t="shared" si="3"/>
        <v>199753</v>
      </c>
      <c r="Q24" s="740">
        <f t="shared" si="4"/>
        <v>266337</v>
      </c>
      <c r="R24" s="740">
        <f t="shared" si="5"/>
        <v>332921</v>
      </c>
      <c r="S24" s="321"/>
      <c r="T24" s="183"/>
      <c r="U24" s="183"/>
      <c r="V24" s="1437"/>
      <c r="W24" s="1437"/>
      <c r="X24" s="1437"/>
      <c r="AA24" s="587"/>
      <c r="AB24" s="587"/>
    </row>
    <row r="25" spans="1:28" s="299" customFormat="1" ht="11.45" customHeight="1">
      <c r="A25" s="185"/>
      <c r="C25" s="344"/>
      <c r="D25" s="321" t="s">
        <v>1379</v>
      </c>
      <c r="E25" s="321" t="s">
        <v>3540</v>
      </c>
      <c r="F25" s="742">
        <v>116950</v>
      </c>
      <c r="G25" s="742">
        <v>154387</v>
      </c>
      <c r="H25" s="742">
        <v>185328</v>
      </c>
      <c r="I25" s="742">
        <v>224100</v>
      </c>
      <c r="J25" s="742">
        <v>266647</v>
      </c>
      <c r="L25" s="741" t="s">
        <v>1379</v>
      </c>
      <c r="M25" s="741" t="s">
        <v>3540</v>
      </c>
      <c r="N25" s="740">
        <f t="shared" si="1"/>
        <v>128645</v>
      </c>
      <c r="O25" s="740">
        <f t="shared" si="2"/>
        <v>169825</v>
      </c>
      <c r="P25" s="740">
        <f t="shared" si="3"/>
        <v>203860</v>
      </c>
      <c r="Q25" s="740">
        <f t="shared" si="4"/>
        <v>246510</v>
      </c>
      <c r="R25" s="740">
        <f t="shared" si="5"/>
        <v>293311</v>
      </c>
      <c r="S25" s="321"/>
      <c r="T25" s="183"/>
      <c r="U25" s="183"/>
      <c r="V25" s="1437"/>
      <c r="W25" s="1437"/>
      <c r="X25" s="1437"/>
      <c r="AA25" s="587"/>
      <c r="AB25" s="587"/>
    </row>
    <row r="26" spans="1:28" s="299" customFormat="1" ht="11.45" customHeight="1">
      <c r="A26" s="185"/>
      <c r="C26" s="344"/>
      <c r="D26" s="321" t="s">
        <v>1379</v>
      </c>
      <c r="E26" s="321" t="s">
        <v>3541</v>
      </c>
      <c r="F26" s="742">
        <v>95704</v>
      </c>
      <c r="G26" s="742">
        <v>132198</v>
      </c>
      <c r="H26" s="742">
        <v>167662</v>
      </c>
      <c r="I26" s="742">
        <v>218946</v>
      </c>
      <c r="J26" s="742">
        <v>272929</v>
      </c>
      <c r="L26" s="741" t="s">
        <v>1379</v>
      </c>
      <c r="M26" s="741" t="s">
        <v>3541</v>
      </c>
      <c r="N26" s="740">
        <f t="shared" si="1"/>
        <v>105274</v>
      </c>
      <c r="O26" s="740">
        <f t="shared" si="2"/>
        <v>145417</v>
      </c>
      <c r="P26" s="740">
        <f t="shared" si="3"/>
        <v>184428</v>
      </c>
      <c r="Q26" s="740">
        <f t="shared" si="4"/>
        <v>240840</v>
      </c>
      <c r="R26" s="740">
        <f t="shared" si="5"/>
        <v>300221</v>
      </c>
      <c r="S26" s="321"/>
      <c r="T26" s="183"/>
      <c r="U26" s="183"/>
      <c r="V26" s="1437"/>
      <c r="W26" s="1437"/>
      <c r="X26" s="1437"/>
      <c r="AA26" s="587"/>
      <c r="AB26" s="587"/>
    </row>
    <row r="27" spans="1:28" s="299" customFormat="1" ht="11.45" customHeight="1">
      <c r="A27" s="185"/>
      <c r="C27" s="344"/>
      <c r="D27" s="321" t="s">
        <v>12</v>
      </c>
      <c r="E27" s="321" t="s">
        <v>3545</v>
      </c>
      <c r="F27" s="742">
        <v>123063</v>
      </c>
      <c r="G27" s="742">
        <v>162311</v>
      </c>
      <c r="H27" s="742">
        <v>194751</v>
      </c>
      <c r="I27" s="742">
        <v>234976</v>
      </c>
      <c r="J27" s="742">
        <v>277167</v>
      </c>
      <c r="L27" s="741" t="s">
        <v>12</v>
      </c>
      <c r="M27" s="741" t="s">
        <v>3545</v>
      </c>
      <c r="N27" s="740">
        <f t="shared" si="1"/>
        <v>135369</v>
      </c>
      <c r="O27" s="740">
        <f t="shared" si="2"/>
        <v>178542</v>
      </c>
      <c r="P27" s="740">
        <f t="shared" si="3"/>
        <v>214226</v>
      </c>
      <c r="Q27" s="740">
        <f t="shared" si="4"/>
        <v>258473</v>
      </c>
      <c r="R27" s="740">
        <f t="shared" si="5"/>
        <v>304883</v>
      </c>
      <c r="S27" s="321"/>
      <c r="T27" s="183"/>
      <c r="U27" s="183"/>
      <c r="V27" s="1437"/>
      <c r="W27" s="1437"/>
      <c r="X27" s="1437"/>
      <c r="AA27" s="587"/>
      <c r="AB27" s="587"/>
    </row>
    <row r="28" spans="1:28" s="299" customFormat="1" ht="11.45" customHeight="1">
      <c r="A28" s="185"/>
      <c r="C28" s="344"/>
      <c r="D28" s="321" t="s">
        <v>12</v>
      </c>
      <c r="E28" s="321" t="s">
        <v>3542</v>
      </c>
      <c r="F28" s="742">
        <v>101384</v>
      </c>
      <c r="G28" s="742">
        <v>141938</v>
      </c>
      <c r="H28" s="742">
        <v>182491</v>
      </c>
      <c r="I28" s="742">
        <v>243321</v>
      </c>
      <c r="J28" s="742">
        <v>304152</v>
      </c>
      <c r="L28" s="741" t="s">
        <v>12</v>
      </c>
      <c r="M28" s="741" t="s">
        <v>3542</v>
      </c>
      <c r="N28" s="740">
        <f t="shared" si="1"/>
        <v>111522</v>
      </c>
      <c r="O28" s="740">
        <f t="shared" si="2"/>
        <v>156131</v>
      </c>
      <c r="P28" s="740">
        <f t="shared" si="3"/>
        <v>200740</v>
      </c>
      <c r="Q28" s="740">
        <f t="shared" si="4"/>
        <v>267653</v>
      </c>
      <c r="R28" s="740">
        <f t="shared" si="5"/>
        <v>334567</v>
      </c>
      <c r="S28" s="321"/>
      <c r="T28" s="183"/>
      <c r="U28" s="183"/>
      <c r="V28" s="1437"/>
      <c r="W28" s="1437"/>
      <c r="X28" s="1437"/>
      <c r="AA28" s="587"/>
      <c r="AB28" s="587"/>
    </row>
    <row r="29" spans="1:28" s="299" customFormat="1" ht="11.45" customHeight="1">
      <c r="A29" s="185"/>
      <c r="C29" s="344"/>
      <c r="D29" s="321" t="s">
        <v>12</v>
      </c>
      <c r="E29" s="321" t="s">
        <v>3540</v>
      </c>
      <c r="F29" s="742">
        <v>116690</v>
      </c>
      <c r="G29" s="742">
        <v>154334</v>
      </c>
      <c r="H29" s="742">
        <v>185719</v>
      </c>
      <c r="I29" s="742">
        <v>225372</v>
      </c>
      <c r="J29" s="742">
        <v>268445</v>
      </c>
      <c r="L29" s="741" t="s">
        <v>12</v>
      </c>
      <c r="M29" s="741" t="s">
        <v>3540</v>
      </c>
      <c r="N29" s="740">
        <f t="shared" si="1"/>
        <v>128359</v>
      </c>
      <c r="O29" s="740">
        <f t="shared" si="2"/>
        <v>169767</v>
      </c>
      <c r="P29" s="740">
        <f t="shared" si="3"/>
        <v>204290</v>
      </c>
      <c r="Q29" s="740">
        <f t="shared" si="4"/>
        <v>247909</v>
      </c>
      <c r="R29" s="740">
        <f t="shared" si="5"/>
        <v>295289</v>
      </c>
      <c r="S29" s="321"/>
      <c r="T29" s="183"/>
      <c r="U29" s="183"/>
      <c r="V29" s="1437"/>
      <c r="W29" s="1437"/>
      <c r="X29" s="1437"/>
      <c r="AA29" s="587"/>
      <c r="AB29" s="587"/>
    </row>
    <row r="30" spans="1:28" s="299" customFormat="1" ht="11.45" customHeight="1">
      <c r="A30" s="185"/>
      <c r="C30" s="344"/>
      <c r="D30" s="321" t="s">
        <v>12</v>
      </c>
      <c r="E30" s="321" t="s">
        <v>3541</v>
      </c>
      <c r="F30" s="742">
        <v>94930</v>
      </c>
      <c r="G30" s="742">
        <v>131005</v>
      </c>
      <c r="H30" s="742">
        <v>165990</v>
      </c>
      <c r="I30" s="742">
        <v>216440</v>
      </c>
      <c r="J30" s="742">
        <v>269751</v>
      </c>
      <c r="L30" s="741" t="s">
        <v>12</v>
      </c>
      <c r="M30" s="741" t="s">
        <v>3541</v>
      </c>
      <c r="N30" s="740">
        <f t="shared" si="1"/>
        <v>104423</v>
      </c>
      <c r="O30" s="740">
        <f t="shared" si="2"/>
        <v>144105</v>
      </c>
      <c r="P30" s="740">
        <f t="shared" si="3"/>
        <v>182589</v>
      </c>
      <c r="Q30" s="740">
        <f t="shared" si="4"/>
        <v>238084</v>
      </c>
      <c r="R30" s="740">
        <f t="shared" si="5"/>
        <v>296726</v>
      </c>
      <c r="S30" s="321"/>
      <c r="T30" s="183"/>
      <c r="U30" s="183"/>
      <c r="V30" s="1437"/>
      <c r="W30" s="1437"/>
      <c r="X30" s="1437"/>
      <c r="AA30" s="587"/>
      <c r="AB30" s="587"/>
    </row>
    <row r="31" spans="1:28" s="299" customFormat="1" ht="11.45" customHeight="1">
      <c r="A31" s="185"/>
      <c r="C31" s="344"/>
      <c r="D31" s="321" t="s">
        <v>166</v>
      </c>
      <c r="E31" s="321" t="s">
        <v>3545</v>
      </c>
      <c r="F31" s="742">
        <v>120492</v>
      </c>
      <c r="G31" s="742">
        <v>158750</v>
      </c>
      <c r="H31" s="742">
        <v>190207</v>
      </c>
      <c r="I31" s="742">
        <v>229027</v>
      </c>
      <c r="J31" s="742">
        <v>270054</v>
      </c>
      <c r="L31" s="321" t="s">
        <v>166</v>
      </c>
      <c r="M31" s="321" t="s">
        <v>3545</v>
      </c>
      <c r="N31" s="740">
        <f t="shared" ref="N31:R34" si="6">ROUNDDOWN(F31*1.1,0)</f>
        <v>132541</v>
      </c>
      <c r="O31" s="740">
        <f t="shared" si="6"/>
        <v>174625</v>
      </c>
      <c r="P31" s="740">
        <f t="shared" si="6"/>
        <v>209227</v>
      </c>
      <c r="Q31" s="740">
        <f t="shared" si="6"/>
        <v>251929</v>
      </c>
      <c r="R31" s="740">
        <f t="shared" si="6"/>
        <v>297059</v>
      </c>
      <c r="S31" s="321"/>
      <c r="T31" s="183"/>
      <c r="U31" s="183"/>
      <c r="V31" s="1437"/>
      <c r="W31" s="1437"/>
      <c r="X31" s="1437"/>
      <c r="AA31" s="587"/>
      <c r="AB31" s="587"/>
    </row>
    <row r="32" spans="1:28" s="299" customFormat="1" ht="11.45" customHeight="1">
      <c r="A32" s="185"/>
      <c r="C32" s="344"/>
      <c r="D32" s="321" t="s">
        <v>166</v>
      </c>
      <c r="E32" s="321" t="s">
        <v>3542</v>
      </c>
      <c r="F32" s="742">
        <v>99001</v>
      </c>
      <c r="G32" s="742">
        <v>138601</v>
      </c>
      <c r="H32" s="742">
        <v>178201</v>
      </c>
      <c r="I32" s="742">
        <v>237601</v>
      </c>
      <c r="J32" s="742">
        <v>297002</v>
      </c>
      <c r="L32" s="321" t="s">
        <v>166</v>
      </c>
      <c r="M32" s="321" t="s">
        <v>3542</v>
      </c>
      <c r="N32" s="740">
        <f t="shared" si="6"/>
        <v>108901</v>
      </c>
      <c r="O32" s="740">
        <f t="shared" si="6"/>
        <v>152461</v>
      </c>
      <c r="P32" s="740">
        <f t="shared" si="6"/>
        <v>196021</v>
      </c>
      <c r="Q32" s="740">
        <f t="shared" si="6"/>
        <v>261361</v>
      </c>
      <c r="R32" s="740">
        <f t="shared" si="6"/>
        <v>326702</v>
      </c>
      <c r="S32" s="321"/>
      <c r="T32" s="183"/>
      <c r="U32" s="183"/>
      <c r="V32" s="1437"/>
      <c r="W32" s="1437"/>
      <c r="X32" s="1437"/>
      <c r="AA32" s="587"/>
      <c r="AB32" s="587"/>
    </row>
    <row r="33" spans="1:28" s="299" customFormat="1" ht="11.45" customHeight="1">
      <c r="A33" s="185"/>
      <c r="C33" s="344"/>
      <c r="D33" s="321" t="s">
        <v>166</v>
      </c>
      <c r="E33" s="321" t="s">
        <v>3540</v>
      </c>
      <c r="F33" s="742">
        <v>114482</v>
      </c>
      <c r="G33" s="742">
        <v>151227</v>
      </c>
      <c r="H33" s="742">
        <v>181688</v>
      </c>
      <c r="I33" s="742">
        <v>219969</v>
      </c>
      <c r="J33" s="742">
        <v>261827</v>
      </c>
      <c r="L33" s="321" t="s">
        <v>166</v>
      </c>
      <c r="M33" s="321" t="s">
        <v>3540</v>
      </c>
      <c r="N33" s="740">
        <f t="shared" si="6"/>
        <v>125930</v>
      </c>
      <c r="O33" s="740">
        <f t="shared" si="6"/>
        <v>166349</v>
      </c>
      <c r="P33" s="740">
        <f t="shared" si="6"/>
        <v>199856</v>
      </c>
      <c r="Q33" s="740">
        <f t="shared" si="6"/>
        <v>241965</v>
      </c>
      <c r="R33" s="740">
        <f t="shared" si="6"/>
        <v>288009</v>
      </c>
      <c r="S33" s="321"/>
      <c r="T33" s="183"/>
      <c r="U33" s="183"/>
      <c r="V33" s="1437"/>
      <c r="W33" s="1437"/>
      <c r="X33" s="1437"/>
      <c r="AA33" s="587"/>
      <c r="AB33" s="587"/>
    </row>
    <row r="34" spans="1:28" s="299" customFormat="1" ht="11.45" customHeight="1">
      <c r="A34" s="185"/>
      <c r="C34" s="344"/>
      <c r="D34" s="321" t="s">
        <v>166</v>
      </c>
      <c r="E34" s="321" t="s">
        <v>3541</v>
      </c>
      <c r="F34" s="742">
        <v>93495</v>
      </c>
      <c r="G34" s="742">
        <v>129104</v>
      </c>
      <c r="H34" s="742">
        <v>163685</v>
      </c>
      <c r="I34" s="742">
        <v>213643</v>
      </c>
      <c r="J34" s="742">
        <v>266301</v>
      </c>
      <c r="L34" s="321" t="s">
        <v>166</v>
      </c>
      <c r="M34" s="321" t="s">
        <v>3541</v>
      </c>
      <c r="N34" s="740">
        <f t="shared" si="6"/>
        <v>102844</v>
      </c>
      <c r="O34" s="740">
        <f t="shared" si="6"/>
        <v>142014</v>
      </c>
      <c r="P34" s="740">
        <f t="shared" si="6"/>
        <v>180053</v>
      </c>
      <c r="Q34" s="740">
        <f t="shared" si="6"/>
        <v>235007</v>
      </c>
      <c r="R34" s="740">
        <f t="shared" si="6"/>
        <v>292931</v>
      </c>
      <c r="S34" s="321"/>
      <c r="T34" s="183"/>
      <c r="U34" s="183"/>
      <c r="V34" s="1437"/>
      <c r="W34" s="1437"/>
      <c r="X34" s="1437"/>
      <c r="AA34" s="587"/>
      <c r="AB34" s="587"/>
    </row>
    <row r="35" spans="1:28" s="299" customFormat="1" ht="11.45" customHeight="1">
      <c r="A35" s="185"/>
      <c r="C35" s="344"/>
      <c r="D35" s="321" t="s">
        <v>1369</v>
      </c>
      <c r="E35" s="321" t="s">
        <v>3545</v>
      </c>
      <c r="F35" s="742">
        <v>121705</v>
      </c>
      <c r="G35" s="742">
        <v>160465</v>
      </c>
      <c r="H35" s="742">
        <v>192448</v>
      </c>
      <c r="I35" s="742">
        <v>232045</v>
      </c>
      <c r="J35" s="742">
        <v>273679</v>
      </c>
      <c r="L35" s="741" t="s">
        <v>1369</v>
      </c>
      <c r="M35" s="741" t="s">
        <v>3545</v>
      </c>
      <c r="N35" s="740">
        <f t="shared" si="1"/>
        <v>133875</v>
      </c>
      <c r="O35" s="740">
        <f t="shared" si="2"/>
        <v>176511</v>
      </c>
      <c r="P35" s="740">
        <f t="shared" si="3"/>
        <v>211692</v>
      </c>
      <c r="Q35" s="740">
        <f t="shared" si="4"/>
        <v>255249</v>
      </c>
      <c r="R35" s="740">
        <f t="shared" si="5"/>
        <v>301046</v>
      </c>
      <c r="S35" s="321"/>
      <c r="T35" s="183"/>
      <c r="U35" s="183"/>
      <c r="V35" s="1437"/>
      <c r="W35" s="1437"/>
      <c r="X35" s="1437"/>
      <c r="AA35" s="587"/>
      <c r="AB35" s="587"/>
    </row>
    <row r="36" spans="1:28" s="299" customFormat="1" ht="11.45" customHeight="1">
      <c r="A36" s="185"/>
      <c r="C36" s="344"/>
      <c r="D36" s="321" t="s">
        <v>1369</v>
      </c>
      <c r="E36" s="321" t="s">
        <v>3542</v>
      </c>
      <c r="F36" s="742">
        <v>100179</v>
      </c>
      <c r="G36" s="742">
        <v>140251</v>
      </c>
      <c r="H36" s="742">
        <v>180323</v>
      </c>
      <c r="I36" s="742">
        <v>240430</v>
      </c>
      <c r="J36" s="742">
        <v>300538</v>
      </c>
      <c r="L36" s="741" t="s">
        <v>1369</v>
      </c>
      <c r="M36" s="741" t="s">
        <v>3542</v>
      </c>
      <c r="N36" s="740">
        <f t="shared" si="1"/>
        <v>110196</v>
      </c>
      <c r="O36" s="740">
        <f t="shared" si="2"/>
        <v>154276</v>
      </c>
      <c r="P36" s="740">
        <f t="shared" si="3"/>
        <v>198355</v>
      </c>
      <c r="Q36" s="740">
        <f t="shared" si="4"/>
        <v>264473</v>
      </c>
      <c r="R36" s="740">
        <f t="shared" si="5"/>
        <v>330591</v>
      </c>
      <c r="S36" s="321"/>
      <c r="T36" s="183"/>
      <c r="U36" s="183"/>
      <c r="V36" s="1437"/>
      <c r="W36" s="1437"/>
      <c r="X36" s="1437"/>
      <c r="AA36" s="587"/>
      <c r="AB36" s="587"/>
    </row>
    <row r="37" spans="1:28" s="299" customFormat="1" ht="11.45" customHeight="1">
      <c r="A37" s="185"/>
      <c r="C37" s="344"/>
      <c r="D37" s="321" t="s">
        <v>1369</v>
      </c>
      <c r="E37" s="321" t="s">
        <v>3540</v>
      </c>
      <c r="F37" s="742">
        <v>115478</v>
      </c>
      <c r="G37" s="742">
        <v>152670</v>
      </c>
      <c r="H37" s="742">
        <v>183621</v>
      </c>
      <c r="I37" s="742">
        <v>222660</v>
      </c>
      <c r="J37" s="742">
        <v>265155</v>
      </c>
      <c r="L37" s="741" t="s">
        <v>1369</v>
      </c>
      <c r="M37" s="741" t="s">
        <v>3540</v>
      </c>
      <c r="N37" s="740">
        <f t="shared" si="1"/>
        <v>127025</v>
      </c>
      <c r="O37" s="740">
        <f t="shared" si="2"/>
        <v>167937</v>
      </c>
      <c r="P37" s="740">
        <f t="shared" si="3"/>
        <v>201983</v>
      </c>
      <c r="Q37" s="740">
        <f t="shared" si="4"/>
        <v>244926</v>
      </c>
      <c r="R37" s="740">
        <f t="shared" si="5"/>
        <v>291670</v>
      </c>
      <c r="S37" s="321"/>
      <c r="T37" s="183"/>
      <c r="U37" s="183"/>
      <c r="V37" s="1437"/>
      <c r="W37" s="1437"/>
      <c r="X37" s="1437"/>
      <c r="AA37" s="587"/>
      <c r="AB37" s="587"/>
    </row>
    <row r="38" spans="1:28" s="299" customFormat="1" ht="11.45" customHeight="1">
      <c r="A38" s="185"/>
      <c r="C38" s="344"/>
      <c r="D38" s="321" t="s">
        <v>1369</v>
      </c>
      <c r="E38" s="321" t="s">
        <v>3541</v>
      </c>
      <c r="F38" s="742">
        <v>94061</v>
      </c>
      <c r="G38" s="742">
        <v>129832</v>
      </c>
      <c r="H38" s="742">
        <v>164538</v>
      </c>
      <c r="I38" s="742">
        <v>214614</v>
      </c>
      <c r="J38" s="742">
        <v>267487</v>
      </c>
      <c r="L38" s="741" t="s">
        <v>1369</v>
      </c>
      <c r="M38" s="741" t="s">
        <v>3541</v>
      </c>
      <c r="N38" s="740">
        <f t="shared" si="1"/>
        <v>103467</v>
      </c>
      <c r="O38" s="740">
        <f t="shared" si="2"/>
        <v>142815</v>
      </c>
      <c r="P38" s="740">
        <f t="shared" si="3"/>
        <v>180991</v>
      </c>
      <c r="Q38" s="740">
        <f t="shared" si="4"/>
        <v>236075</v>
      </c>
      <c r="R38" s="740">
        <f t="shared" si="5"/>
        <v>294235</v>
      </c>
      <c r="S38" s="321"/>
      <c r="T38" s="183"/>
      <c r="U38" s="183"/>
      <c r="V38" s="1437"/>
      <c r="W38" s="1437"/>
      <c r="X38" s="1437"/>
      <c r="AA38" s="587"/>
      <c r="AB38" s="587"/>
    </row>
    <row r="39" spans="1:28" s="299" customFormat="1" ht="11.45" customHeight="1">
      <c r="A39" s="185"/>
      <c r="C39" s="344"/>
      <c r="D39" s="321" t="s">
        <v>2348</v>
      </c>
      <c r="E39" s="321" t="s">
        <v>3545</v>
      </c>
      <c r="F39" s="742">
        <v>131289</v>
      </c>
      <c r="G39" s="742">
        <v>172843</v>
      </c>
      <c r="H39" s="742">
        <v>206884</v>
      </c>
      <c r="I39" s="742">
        <v>248747</v>
      </c>
      <c r="J39" s="742">
        <v>293233</v>
      </c>
      <c r="L39" s="741" t="s">
        <v>2348</v>
      </c>
      <c r="M39" s="741" t="s">
        <v>3545</v>
      </c>
      <c r="N39" s="740">
        <f t="shared" si="1"/>
        <v>144417</v>
      </c>
      <c r="O39" s="740">
        <f t="shared" si="2"/>
        <v>190127</v>
      </c>
      <c r="P39" s="740">
        <f t="shared" si="3"/>
        <v>227572</v>
      </c>
      <c r="Q39" s="740">
        <f t="shared" si="4"/>
        <v>273621</v>
      </c>
      <c r="R39" s="740">
        <f t="shared" si="5"/>
        <v>322556</v>
      </c>
      <c r="S39" s="321"/>
      <c r="T39" s="183"/>
      <c r="U39" s="183"/>
      <c r="V39" s="1437"/>
      <c r="W39" s="1437"/>
      <c r="X39" s="1437"/>
      <c r="AA39" s="587"/>
      <c r="AB39" s="587"/>
    </row>
    <row r="40" spans="1:28" s="299" customFormat="1" ht="11.45" customHeight="1">
      <c r="A40" s="185"/>
      <c r="C40" s="344"/>
      <c r="D40" s="321" t="s">
        <v>2348</v>
      </c>
      <c r="E40" s="321" t="s">
        <v>3542</v>
      </c>
      <c r="F40" s="742">
        <v>107667</v>
      </c>
      <c r="G40" s="742">
        <v>150734</v>
      </c>
      <c r="H40" s="742">
        <v>193800</v>
      </c>
      <c r="I40" s="742">
        <v>258401</v>
      </c>
      <c r="J40" s="742">
        <v>323001</v>
      </c>
      <c r="L40" s="741" t="s">
        <v>2348</v>
      </c>
      <c r="M40" s="741" t="s">
        <v>3542</v>
      </c>
      <c r="N40" s="740">
        <f t="shared" si="1"/>
        <v>118433</v>
      </c>
      <c r="O40" s="740">
        <f t="shared" si="2"/>
        <v>165807</v>
      </c>
      <c r="P40" s="740">
        <f t="shared" si="3"/>
        <v>213180</v>
      </c>
      <c r="Q40" s="740">
        <f t="shared" si="4"/>
        <v>284241</v>
      </c>
      <c r="R40" s="740">
        <f t="shared" si="5"/>
        <v>355301</v>
      </c>
      <c r="S40" s="321"/>
      <c r="T40" s="183"/>
      <c r="U40" s="183"/>
      <c r="V40" s="1437"/>
      <c r="W40" s="1437"/>
      <c r="X40" s="1437"/>
      <c r="AA40" s="587"/>
      <c r="AB40" s="587"/>
    </row>
    <row r="41" spans="1:28" s="299" customFormat="1" ht="11.45" customHeight="1">
      <c r="A41" s="185"/>
      <c r="C41" s="344"/>
      <c r="D41" s="321" t="s">
        <v>2348</v>
      </c>
      <c r="E41" s="321" t="s">
        <v>3540</v>
      </c>
      <c r="F41" s="742">
        <v>124917</v>
      </c>
      <c r="G41" s="742">
        <v>164867</v>
      </c>
      <c r="H41" s="742">
        <v>197852</v>
      </c>
      <c r="I41" s="742">
        <v>239143</v>
      </c>
      <c r="J41" s="742">
        <v>284510</v>
      </c>
      <c r="L41" s="741" t="s">
        <v>2348</v>
      </c>
      <c r="M41" s="741" t="s">
        <v>3540</v>
      </c>
      <c r="N41" s="740">
        <f t="shared" si="1"/>
        <v>137408</v>
      </c>
      <c r="O41" s="740">
        <f t="shared" si="2"/>
        <v>181353</v>
      </c>
      <c r="P41" s="740">
        <f t="shared" si="3"/>
        <v>217637</v>
      </c>
      <c r="Q41" s="740">
        <f t="shared" si="4"/>
        <v>263057</v>
      </c>
      <c r="R41" s="740">
        <f t="shared" si="5"/>
        <v>312961</v>
      </c>
      <c r="S41" s="321"/>
      <c r="T41" s="183"/>
      <c r="U41" s="183"/>
      <c r="V41" s="1437"/>
      <c r="W41" s="1437"/>
      <c r="X41" s="1437"/>
      <c r="AA41" s="587"/>
      <c r="AB41" s="587"/>
    </row>
    <row r="42" spans="1:28" s="299" customFormat="1" ht="11.45" customHeight="1">
      <c r="A42" s="185"/>
      <c r="C42" s="344"/>
      <c r="D42" s="321" t="s">
        <v>2348</v>
      </c>
      <c r="E42" s="321" t="s">
        <v>3541</v>
      </c>
      <c r="F42" s="742">
        <v>102295</v>
      </c>
      <c r="G42" s="742">
        <v>141317</v>
      </c>
      <c r="H42" s="742">
        <v>179248</v>
      </c>
      <c r="I42" s="742">
        <v>234116</v>
      </c>
      <c r="J42" s="742">
        <v>291847</v>
      </c>
      <c r="L42" s="741" t="s">
        <v>2348</v>
      </c>
      <c r="M42" s="741" t="s">
        <v>3541</v>
      </c>
      <c r="N42" s="740">
        <f t="shared" si="1"/>
        <v>112524</v>
      </c>
      <c r="O42" s="740">
        <f t="shared" si="2"/>
        <v>155448</v>
      </c>
      <c r="P42" s="740">
        <f t="shared" si="3"/>
        <v>197172</v>
      </c>
      <c r="Q42" s="740">
        <f t="shared" si="4"/>
        <v>257527</v>
      </c>
      <c r="R42" s="740">
        <f t="shared" si="5"/>
        <v>321031</v>
      </c>
      <c r="S42" s="321"/>
      <c r="T42" s="183"/>
      <c r="U42" s="183"/>
      <c r="V42" s="1437"/>
      <c r="W42" s="1437"/>
      <c r="X42" s="1437"/>
      <c r="AA42" s="587"/>
      <c r="AB42" s="587"/>
    </row>
    <row r="43" spans="1:28" s="299" customFormat="1" ht="11.45" customHeight="1">
      <c r="A43" s="185"/>
      <c r="C43" s="344"/>
      <c r="D43" s="321" t="s">
        <v>1375</v>
      </c>
      <c r="E43" s="321" t="s">
        <v>3545</v>
      </c>
      <c r="F43" s="742">
        <v>123885</v>
      </c>
      <c r="G43" s="742">
        <v>163364</v>
      </c>
      <c r="H43" s="742">
        <v>195965</v>
      </c>
      <c r="I43" s="742">
        <v>236353</v>
      </c>
      <c r="J43" s="742">
        <v>278774</v>
      </c>
      <c r="L43" s="741" t="s">
        <v>1375</v>
      </c>
      <c r="M43" s="741" t="s">
        <v>3545</v>
      </c>
      <c r="N43" s="740">
        <f t="shared" si="1"/>
        <v>136273</v>
      </c>
      <c r="O43" s="740">
        <f t="shared" si="2"/>
        <v>179700</v>
      </c>
      <c r="P43" s="740">
        <f t="shared" si="3"/>
        <v>215561</v>
      </c>
      <c r="Q43" s="740">
        <f t="shared" si="4"/>
        <v>259988</v>
      </c>
      <c r="R43" s="740">
        <f t="shared" si="5"/>
        <v>306651</v>
      </c>
      <c r="S43" s="321"/>
      <c r="T43" s="183"/>
      <c r="U43" s="183"/>
      <c r="V43" s="1437"/>
      <c r="W43" s="1437"/>
      <c r="X43" s="1437"/>
      <c r="AA43" s="587"/>
      <c r="AB43" s="587"/>
    </row>
    <row r="44" spans="1:28" s="299" customFormat="1" ht="11.45" customHeight="1">
      <c r="A44" s="185"/>
      <c r="C44" s="344"/>
      <c r="D44" s="321" t="s">
        <v>1375</v>
      </c>
      <c r="E44" s="321" t="s">
        <v>3542</v>
      </c>
      <c r="F44" s="742">
        <v>102012</v>
      </c>
      <c r="G44" s="742">
        <v>142817</v>
      </c>
      <c r="H44" s="742">
        <v>183622</v>
      </c>
      <c r="I44" s="742">
        <v>244829</v>
      </c>
      <c r="J44" s="742">
        <v>306037</v>
      </c>
      <c r="L44" s="741" t="s">
        <v>1375</v>
      </c>
      <c r="M44" s="741" t="s">
        <v>3542</v>
      </c>
      <c r="N44" s="740">
        <f t="shared" si="1"/>
        <v>112213</v>
      </c>
      <c r="O44" s="740">
        <f t="shared" si="2"/>
        <v>157098</v>
      </c>
      <c r="P44" s="740">
        <f t="shared" si="3"/>
        <v>201984</v>
      </c>
      <c r="Q44" s="740">
        <f t="shared" si="4"/>
        <v>269311</v>
      </c>
      <c r="R44" s="740">
        <f t="shared" si="5"/>
        <v>336640</v>
      </c>
      <c r="S44" s="321"/>
      <c r="T44" s="183"/>
      <c r="U44" s="183"/>
      <c r="V44" s="1437"/>
      <c r="W44" s="1437"/>
      <c r="X44" s="1437"/>
      <c r="AA44" s="587"/>
      <c r="AB44" s="587"/>
    </row>
    <row r="45" spans="1:28" s="299" customFormat="1" ht="11.45" customHeight="1">
      <c r="A45" s="185"/>
      <c r="C45" s="344"/>
      <c r="D45" s="321" t="s">
        <v>1375</v>
      </c>
      <c r="E45" s="321" t="s">
        <v>3540</v>
      </c>
      <c r="F45" s="742">
        <v>117513</v>
      </c>
      <c r="G45" s="742">
        <v>155388</v>
      </c>
      <c r="H45" s="742">
        <v>186932</v>
      </c>
      <c r="I45" s="742">
        <v>226749</v>
      </c>
      <c r="J45" s="742">
        <v>270051</v>
      </c>
      <c r="L45" s="741" t="s">
        <v>1375</v>
      </c>
      <c r="M45" s="741" t="s">
        <v>3540</v>
      </c>
      <c r="N45" s="740">
        <f t="shared" si="1"/>
        <v>129264</v>
      </c>
      <c r="O45" s="740">
        <f t="shared" si="2"/>
        <v>170926</v>
      </c>
      <c r="P45" s="740">
        <f t="shared" si="3"/>
        <v>205625</v>
      </c>
      <c r="Q45" s="740">
        <f t="shared" si="4"/>
        <v>249423</v>
      </c>
      <c r="R45" s="740">
        <f t="shared" si="5"/>
        <v>297056</v>
      </c>
      <c r="S45" s="321"/>
      <c r="T45" s="183"/>
      <c r="U45" s="183"/>
      <c r="V45" s="1437"/>
      <c r="W45" s="1437"/>
      <c r="X45" s="1437"/>
      <c r="AA45" s="587"/>
      <c r="AB45" s="587"/>
    </row>
    <row r="46" spans="1:28" s="299" customFormat="1" ht="11.45" customHeight="1">
      <c r="A46" s="185"/>
      <c r="C46" s="344"/>
      <c r="D46" s="321" t="s">
        <v>1375</v>
      </c>
      <c r="E46" s="321" t="s">
        <v>3541</v>
      </c>
      <c r="F46" s="742">
        <v>95666</v>
      </c>
      <c r="G46" s="742">
        <v>132036</v>
      </c>
      <c r="H46" s="742">
        <v>167316</v>
      </c>
      <c r="I46" s="742">
        <v>218207</v>
      </c>
      <c r="J46" s="742">
        <v>271960</v>
      </c>
      <c r="L46" s="741" t="s">
        <v>1375</v>
      </c>
      <c r="M46" s="741" t="s">
        <v>3541</v>
      </c>
      <c r="N46" s="740">
        <f t="shared" si="1"/>
        <v>105232</v>
      </c>
      <c r="O46" s="740">
        <f t="shared" si="2"/>
        <v>145239</v>
      </c>
      <c r="P46" s="740">
        <f t="shared" si="3"/>
        <v>184047</v>
      </c>
      <c r="Q46" s="740">
        <f t="shared" si="4"/>
        <v>240027</v>
      </c>
      <c r="R46" s="740">
        <f t="shared" si="5"/>
        <v>299156</v>
      </c>
      <c r="S46" s="321"/>
      <c r="T46" s="183"/>
      <c r="U46" s="183"/>
      <c r="V46" s="1437"/>
      <c r="W46" s="1437"/>
      <c r="X46" s="1437"/>
      <c r="AA46" s="587"/>
      <c r="AB46" s="587"/>
    </row>
    <row r="47" spans="1:28" s="299" customFormat="1" ht="11.45" customHeight="1">
      <c r="A47" s="185"/>
      <c r="C47" s="344"/>
      <c r="D47" s="321" t="s">
        <v>1760</v>
      </c>
      <c r="E47" s="321" t="s">
        <v>3545</v>
      </c>
      <c r="F47" s="742">
        <v>116379</v>
      </c>
      <c r="G47" s="742">
        <v>153483</v>
      </c>
      <c r="H47" s="742">
        <v>184141</v>
      </c>
      <c r="I47" s="742">
        <v>222141</v>
      </c>
      <c r="J47" s="742">
        <v>262021</v>
      </c>
      <c r="L47" s="741" t="s">
        <v>1760</v>
      </c>
      <c r="M47" s="741" t="s">
        <v>3545</v>
      </c>
      <c r="N47" s="740">
        <f t="shared" si="1"/>
        <v>128016</v>
      </c>
      <c r="O47" s="740">
        <f t="shared" si="2"/>
        <v>168831</v>
      </c>
      <c r="P47" s="740">
        <f t="shared" si="3"/>
        <v>202555</v>
      </c>
      <c r="Q47" s="740">
        <f t="shared" si="4"/>
        <v>244355</v>
      </c>
      <c r="R47" s="740">
        <f t="shared" si="5"/>
        <v>288223</v>
      </c>
      <c r="S47" s="321"/>
      <c r="T47" s="183"/>
      <c r="U47" s="183"/>
      <c r="V47" s="1437"/>
      <c r="W47" s="1437"/>
      <c r="X47" s="1437"/>
      <c r="AA47" s="587"/>
      <c r="AB47" s="587"/>
    </row>
    <row r="48" spans="1:28" s="299" customFormat="1" ht="11.45" customHeight="1">
      <c r="A48" s="185"/>
      <c r="C48" s="344"/>
      <c r="D48" s="321" t="s">
        <v>1760</v>
      </c>
      <c r="E48" s="321" t="s">
        <v>3542</v>
      </c>
      <c r="F48" s="742">
        <v>95859</v>
      </c>
      <c r="G48" s="742">
        <v>134203</v>
      </c>
      <c r="H48" s="742">
        <v>172546</v>
      </c>
      <c r="I48" s="742">
        <v>230062</v>
      </c>
      <c r="J48" s="742">
        <v>287577</v>
      </c>
      <c r="L48" s="741" t="s">
        <v>1760</v>
      </c>
      <c r="M48" s="741" t="s">
        <v>3542</v>
      </c>
      <c r="N48" s="740">
        <f t="shared" si="1"/>
        <v>105444</v>
      </c>
      <c r="O48" s="740">
        <f t="shared" si="2"/>
        <v>147623</v>
      </c>
      <c r="P48" s="740">
        <f t="shared" si="3"/>
        <v>189800</v>
      </c>
      <c r="Q48" s="740">
        <f t="shared" si="4"/>
        <v>253068</v>
      </c>
      <c r="R48" s="740">
        <f t="shared" si="5"/>
        <v>316334</v>
      </c>
      <c r="S48" s="321"/>
      <c r="T48" s="183"/>
      <c r="U48" s="183"/>
      <c r="V48" s="1437"/>
      <c r="W48" s="1437"/>
      <c r="X48" s="1437"/>
      <c r="AA48" s="587"/>
      <c r="AB48" s="587"/>
    </row>
    <row r="49" spans="1:28" s="299" customFormat="1" ht="11.45" customHeight="1">
      <c r="A49" s="185"/>
      <c r="C49" s="344"/>
      <c r="D49" s="321" t="s">
        <v>1760</v>
      </c>
      <c r="E49" s="321" t="s">
        <v>3540</v>
      </c>
      <c r="F49" s="742">
        <v>110368</v>
      </c>
      <c r="G49" s="742">
        <v>145960</v>
      </c>
      <c r="H49" s="742">
        <v>175622</v>
      </c>
      <c r="I49" s="742">
        <v>213083</v>
      </c>
      <c r="J49" s="742">
        <v>253794</v>
      </c>
      <c r="L49" s="741" t="s">
        <v>1760</v>
      </c>
      <c r="M49" s="741" t="s">
        <v>3540</v>
      </c>
      <c r="N49" s="740">
        <f t="shared" si="1"/>
        <v>121404</v>
      </c>
      <c r="O49" s="740">
        <f t="shared" si="2"/>
        <v>160556</v>
      </c>
      <c r="P49" s="740">
        <f t="shared" si="3"/>
        <v>193184</v>
      </c>
      <c r="Q49" s="740">
        <f t="shared" si="4"/>
        <v>234391</v>
      </c>
      <c r="R49" s="740">
        <f t="shared" si="5"/>
        <v>279173</v>
      </c>
      <c r="S49" s="321"/>
      <c r="T49" s="183"/>
      <c r="U49" s="183"/>
      <c r="V49" s="1437"/>
      <c r="W49" s="1437"/>
      <c r="X49" s="1437"/>
      <c r="AA49" s="587"/>
      <c r="AB49" s="587"/>
    </row>
    <row r="50" spans="1:28" s="299" customFormat="1" ht="11.45" customHeight="1">
      <c r="A50" s="185"/>
      <c r="C50" s="344"/>
      <c r="D50" s="321" t="s">
        <v>1760</v>
      </c>
      <c r="E50" s="321" t="s">
        <v>3541</v>
      </c>
      <c r="F50" s="742">
        <v>89812</v>
      </c>
      <c r="G50" s="742">
        <v>123948</v>
      </c>
      <c r="H50" s="742">
        <v>157056</v>
      </c>
      <c r="I50" s="742">
        <v>204805</v>
      </c>
      <c r="J50" s="742">
        <v>255253</v>
      </c>
      <c r="L50" s="741" t="s">
        <v>1760</v>
      </c>
      <c r="M50" s="741" t="s">
        <v>3541</v>
      </c>
      <c r="N50" s="740">
        <f t="shared" si="1"/>
        <v>98793</v>
      </c>
      <c r="O50" s="740">
        <f t="shared" si="2"/>
        <v>136342</v>
      </c>
      <c r="P50" s="740">
        <f t="shared" si="3"/>
        <v>172761</v>
      </c>
      <c r="Q50" s="740">
        <f t="shared" si="4"/>
        <v>225285</v>
      </c>
      <c r="R50" s="740">
        <f t="shared" si="5"/>
        <v>280778</v>
      </c>
      <c r="S50" s="321"/>
      <c r="T50" s="183"/>
      <c r="U50" s="183"/>
      <c r="V50" s="1437"/>
      <c r="W50" s="1437"/>
      <c r="X50" s="1437"/>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3841</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37"/>
      <c r="W53" s="1437"/>
      <c r="X53" s="1437"/>
      <c r="AA53" s="587"/>
      <c r="AB53" s="587"/>
    </row>
    <row r="54" spans="1:28" s="299" customFormat="1" ht="11.45" customHeight="1">
      <c r="A54" s="185"/>
      <c r="B54" s="185"/>
      <c r="C54" s="185"/>
      <c r="D54" s="183"/>
      <c r="E54" s="183"/>
      <c r="F54" s="185" t="s">
        <v>3827</v>
      </c>
      <c r="G54" s="185"/>
      <c r="H54" s="183"/>
      <c r="I54" s="183"/>
      <c r="J54" s="871">
        <v>110481</v>
      </c>
      <c r="K54" s="871">
        <v>126647</v>
      </c>
      <c r="L54" s="871">
        <v>154003</v>
      </c>
      <c r="M54" s="871">
        <v>199229</v>
      </c>
      <c r="N54" s="871">
        <v>199229</v>
      </c>
      <c r="O54" s="185"/>
      <c r="Q54" s="872">
        <v>1000</v>
      </c>
      <c r="R54" s="872">
        <v>0</v>
      </c>
      <c r="S54" s="321" t="s">
        <v>3826</v>
      </c>
      <c r="T54" s="305"/>
      <c r="U54" s="183"/>
      <c r="V54" s="1437"/>
      <c r="W54" s="1437"/>
      <c r="X54" s="1437"/>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4095</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4094</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1"/>
      <c r="T69" s="311"/>
      <c r="U69" s="311"/>
      <c r="AA69" s="587"/>
      <c r="AB69" s="587"/>
    </row>
    <row r="70" spans="1:28" s="299" customFormat="1" ht="11.45" customHeight="1">
      <c r="A70" s="185"/>
      <c r="B70" s="185"/>
      <c r="C70" s="185"/>
      <c r="D70" s="185"/>
      <c r="E70" s="183"/>
      <c r="F70" s="188" t="s">
        <v>3680</v>
      </c>
      <c r="G70" s="185"/>
      <c r="H70" s="183"/>
      <c r="I70" s="183"/>
      <c r="J70" s="185"/>
      <c r="K70" s="185"/>
      <c r="L70" s="185"/>
      <c r="M70" s="185"/>
      <c r="N70" s="185"/>
      <c r="O70" s="185"/>
      <c r="P70" s="183"/>
      <c r="Q70" s="2052">
        <v>5000</v>
      </c>
      <c r="R70" s="2053"/>
      <c r="S70" s="311"/>
      <c r="T70" s="311"/>
      <c r="U70" s="311"/>
      <c r="AA70" s="587"/>
      <c r="AB70" s="587"/>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2">
        <v>1000</v>
      </c>
      <c r="R71" s="2053"/>
      <c r="S71" s="311"/>
      <c r="T71" s="311"/>
      <c r="U71" s="311"/>
      <c r="AA71" s="587"/>
      <c r="AB71" s="587"/>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2">
        <v>500</v>
      </c>
      <c r="R72" s="2053"/>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1"/>
      <c r="T74" s="311"/>
      <c r="U74" s="311"/>
      <c r="AA74" s="587"/>
      <c r="AB74" s="587"/>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1442">
        <v>25000</v>
      </c>
      <c r="R75" s="310" t="s">
        <v>525</v>
      </c>
      <c r="S75" s="311"/>
      <c r="T75" s="311"/>
      <c r="U75" s="311"/>
      <c r="AA75" s="587"/>
      <c r="AB75" s="587"/>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41" t="s">
        <v>1006</v>
      </c>
      <c r="R76" s="1441">
        <v>0.05</v>
      </c>
      <c r="S76" s="311"/>
      <c r="T76" s="311"/>
      <c r="U76" s="311"/>
      <c r="AA76" s="587"/>
      <c r="AB76" s="587"/>
    </row>
    <row r="77" spans="1:28" s="299" customFormat="1" ht="11.45" customHeight="1">
      <c r="A77" s="185"/>
      <c r="B77" s="185"/>
      <c r="C77" s="185"/>
      <c r="D77" s="183"/>
      <c r="E77" s="183"/>
      <c r="F77" s="185"/>
      <c r="G77" s="185"/>
      <c r="H77" s="183"/>
      <c r="I77" s="183"/>
      <c r="J77" s="185" t="s">
        <v>2108</v>
      </c>
      <c r="K77" s="185"/>
      <c r="L77" s="185"/>
      <c r="M77" s="185"/>
      <c r="N77" s="185"/>
      <c r="O77" s="185"/>
      <c r="P77" s="183"/>
      <c r="Q77" s="1441" t="s">
        <v>1006</v>
      </c>
      <c r="R77" s="1442">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41" t="s">
        <v>1006</v>
      </c>
      <c r="R78" s="1441">
        <v>7.0000000000000007E-2</v>
      </c>
      <c r="S78" s="311"/>
      <c r="T78" s="311"/>
      <c r="U78" s="311"/>
      <c r="AA78" s="587"/>
      <c r="AB78" s="587"/>
    </row>
    <row r="79" spans="1:28" s="299" customFormat="1" ht="11.45" customHeight="1">
      <c r="A79" s="185"/>
      <c r="B79" s="185"/>
      <c r="C79" s="185"/>
      <c r="D79" s="183"/>
      <c r="E79" s="183"/>
      <c r="F79" s="185"/>
      <c r="G79" s="185"/>
      <c r="H79" s="183"/>
      <c r="I79" s="183"/>
      <c r="J79" s="185" t="s">
        <v>2108</v>
      </c>
      <c r="K79" s="185"/>
      <c r="L79" s="185"/>
      <c r="M79" s="185"/>
      <c r="N79" s="185"/>
      <c r="O79" s="185"/>
      <c r="P79" s="183"/>
      <c r="Q79" s="1441" t="s">
        <v>1006</v>
      </c>
      <c r="R79" s="1442">
        <v>500000</v>
      </c>
      <c r="S79" s="311"/>
      <c r="T79" s="311"/>
      <c r="U79" s="311"/>
      <c r="AA79" s="587"/>
      <c r="AB79" s="587"/>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41">
        <v>0.06</v>
      </c>
      <c r="S80" s="311"/>
      <c r="T80" s="311"/>
      <c r="U80" s="311"/>
      <c r="AA80" s="587"/>
      <c r="AB80" s="587"/>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41">
        <v>0.02</v>
      </c>
      <c r="S81" s="311"/>
      <c r="T81" s="311"/>
      <c r="U81" s="311"/>
      <c r="AA81" s="587"/>
      <c r="AB81" s="587"/>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0" t="s">
        <v>1799</v>
      </c>
      <c r="R82" s="1441">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1"/>
      <c r="T84" s="311"/>
      <c r="U84" s="311"/>
      <c r="AA84" s="587"/>
      <c r="AB84" s="587"/>
    </row>
    <row r="85" spans="1:28" s="299" customFormat="1" ht="11.45" customHeight="1">
      <c r="A85" s="185"/>
      <c r="B85" s="188" t="s">
        <v>3749</v>
      </c>
      <c r="C85" s="185"/>
      <c r="D85" s="183"/>
      <c r="E85" s="183"/>
      <c r="F85" s="185"/>
      <c r="G85" s="185"/>
      <c r="H85" s="183"/>
      <c r="I85" s="183"/>
      <c r="J85" s="185"/>
      <c r="K85" s="185"/>
      <c r="L85" s="185"/>
      <c r="M85" s="185"/>
      <c r="N85" s="185"/>
      <c r="O85" s="185"/>
      <c r="P85" s="183"/>
      <c r="Q85" s="2052">
        <v>2700</v>
      </c>
      <c r="R85" s="2053"/>
      <c r="S85" s="311"/>
      <c r="T85" s="311"/>
      <c r="U85" s="311"/>
      <c r="AA85" s="587"/>
      <c r="AB85" s="587"/>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2">
        <v>75</v>
      </c>
      <c r="R91" s="2053"/>
      <c r="S91" s="311"/>
      <c r="T91" s="311"/>
      <c r="U91" s="311"/>
      <c r="AA91" s="587"/>
      <c r="AB91" s="587"/>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1"/>
      <c r="T92" s="311"/>
      <c r="U92" s="311"/>
      <c r="AA92" s="587"/>
      <c r="AB92" s="587"/>
    </row>
    <row r="93" spans="1:28" s="299" customFormat="1" ht="11.45" customHeight="1">
      <c r="A93" s="185"/>
      <c r="B93" s="185"/>
      <c r="C93" s="185"/>
      <c r="D93" s="183"/>
      <c r="E93" s="183"/>
      <c r="F93" s="185"/>
      <c r="G93" s="185"/>
      <c r="H93" s="185"/>
      <c r="I93" s="183"/>
      <c r="J93" s="185" t="s">
        <v>3657</v>
      </c>
      <c r="K93" s="185"/>
      <c r="L93" s="185"/>
      <c r="M93" s="185"/>
      <c r="N93" s="185"/>
      <c r="O93" s="185"/>
      <c r="P93" s="183"/>
      <c r="Q93" s="2052">
        <v>2500000</v>
      </c>
      <c r="R93" s="2053"/>
      <c r="S93" s="311"/>
      <c r="T93" s="311"/>
      <c r="U93" s="311"/>
      <c r="AA93" s="587"/>
      <c r="AB93" s="587"/>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3">
        <v>0.15</v>
      </c>
      <c r="R94" s="2063"/>
      <c r="S94" s="311"/>
      <c r="T94" s="311"/>
      <c r="U94" s="311"/>
      <c r="AA94" s="587"/>
      <c r="AB94" s="587"/>
    </row>
    <row r="95" spans="1:28" s="299" customFormat="1" ht="11.45" customHeight="1">
      <c r="A95" s="185"/>
      <c r="B95" s="421"/>
      <c r="C95" s="185"/>
      <c r="D95" s="183"/>
      <c r="E95" s="183"/>
      <c r="F95" s="185"/>
      <c r="G95" s="185"/>
      <c r="H95" s="185" t="s">
        <v>4042</v>
      </c>
      <c r="I95" s="185" t="s">
        <v>1008</v>
      </c>
      <c r="J95" s="185" t="s">
        <v>1010</v>
      </c>
      <c r="K95" s="185"/>
      <c r="L95" s="185"/>
      <c r="M95" s="185"/>
      <c r="N95" s="185"/>
      <c r="O95" s="185"/>
      <c r="P95" s="183"/>
      <c r="Q95" s="2063">
        <v>0.15</v>
      </c>
      <c r="R95" s="2063"/>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63">
        <v>0.15</v>
      </c>
      <c r="R96" s="2063"/>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63">
        <v>0.15</v>
      </c>
      <c r="R97" s="2063"/>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63">
        <v>0.15</v>
      </c>
      <c r="R98" s="2063"/>
      <c r="S98" s="311"/>
      <c r="T98" s="311"/>
      <c r="U98" s="311"/>
      <c r="AA98" s="587"/>
      <c r="AB98" s="587"/>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63">
        <v>0.15</v>
      </c>
      <c r="R99" s="2063"/>
      <c r="S99" s="311"/>
      <c r="T99" s="311"/>
      <c r="U99" s="311"/>
      <c r="AA99" s="587"/>
      <c r="AB99" s="587"/>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63" t="s">
        <v>2458</v>
      </c>
      <c r="R100" s="2063"/>
      <c r="S100" s="311"/>
      <c r="T100" s="311"/>
      <c r="U100" s="311"/>
      <c r="AA100" s="587"/>
      <c r="AB100" s="587"/>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41">
        <v>0</v>
      </c>
      <c r="R102" s="1441">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2">
        <v>3000</v>
      </c>
      <c r="R106" s="2053"/>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1336"/>
      <c r="W118" s="1336"/>
      <c r="X118" s="186"/>
      <c r="AA118" s="587"/>
      <c r="AB118" s="587"/>
    </row>
    <row r="119" spans="1:28" s="299" customFormat="1" ht="11.45" customHeight="1">
      <c r="A119" s="185"/>
      <c r="B119" s="185"/>
      <c r="C119" s="185"/>
      <c r="D119" s="183"/>
      <c r="E119" s="183"/>
      <c r="F119" s="185" t="s">
        <v>2773</v>
      </c>
      <c r="G119" s="185"/>
      <c r="H119" s="183"/>
      <c r="I119" s="183"/>
      <c r="J119" s="185" t="s">
        <v>4041</v>
      </c>
      <c r="K119" s="185"/>
      <c r="L119" s="185"/>
      <c r="M119" s="185"/>
      <c r="N119" s="185"/>
      <c r="O119" s="185"/>
      <c r="P119" s="183"/>
      <c r="Q119" s="2064">
        <v>4000000</v>
      </c>
      <c r="R119" s="2064"/>
      <c r="S119" s="305"/>
      <c r="T119" s="305"/>
      <c r="U119" s="183"/>
      <c r="V119" s="1437"/>
      <c r="W119" s="1437"/>
      <c r="X119" s="1437"/>
      <c r="AA119" s="587"/>
      <c r="AB119" s="587"/>
    </row>
    <row r="120" spans="1:28" ht="4.5" customHeight="1"/>
    <row r="121" spans="1:28">
      <c r="A121" s="304" t="s">
        <v>2941</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3" t="s">
        <v>2943</v>
      </c>
      <c r="R122" s="2063"/>
      <c r="S122" s="183"/>
      <c r="T122" s="183"/>
      <c r="U122" s="183"/>
      <c r="V122" s="1336"/>
      <c r="W122" s="1336"/>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7"/>
      <c r="AB123" s="587"/>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63">
        <v>0.05</v>
      </c>
      <c r="R124" s="2063"/>
      <c r="S124" s="183"/>
      <c r="T124" s="183"/>
      <c r="U124" s="183"/>
      <c r="V124" s="1336"/>
      <c r="W124" s="1336"/>
      <c r="X124" s="186"/>
      <c r="AA124" s="587"/>
      <c r="AB124" s="587"/>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63">
        <v>0.4</v>
      </c>
      <c r="R125" s="2063"/>
      <c r="S125" s="183"/>
      <c r="T125" s="183"/>
      <c r="U125" s="183"/>
      <c r="V125" s="1336"/>
      <c r="W125" s="1336"/>
      <c r="X125" s="186"/>
      <c r="AA125" s="587"/>
      <c r="AB125" s="587"/>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63">
        <v>0.02</v>
      </c>
      <c r="R126" s="2063"/>
      <c r="S126" s="183"/>
      <c r="T126" s="183"/>
      <c r="U126" s="183"/>
      <c r="V126" s="1336"/>
      <c r="W126" s="1336"/>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2883</v>
      </c>
      <c r="N140" s="668" t="s">
        <v>2487</v>
      </c>
      <c r="O140" s="668"/>
      <c r="P140" s="185"/>
      <c r="Q140" s="429"/>
      <c r="R140" s="671" t="s">
        <v>642</v>
      </c>
      <c r="S140" s="672" t="s">
        <v>643</v>
      </c>
      <c r="U140" s="765" t="s">
        <v>3592</v>
      </c>
      <c r="X140" s="480"/>
      <c r="Y140" s="480"/>
    </row>
    <row r="141" spans="3:27" ht="10.5" customHeight="1">
      <c r="C141" s="415" t="s">
        <v>1848</v>
      </c>
      <c r="D141" s="495">
        <v>45900</v>
      </c>
      <c r="E141" s="311"/>
      <c r="F141" s="311" t="s">
        <v>870</v>
      </c>
      <c r="G141" s="429" t="s">
        <v>1256</v>
      </c>
      <c r="H141" s="429" t="s">
        <v>1257</v>
      </c>
      <c r="I141" s="673" t="s">
        <v>1258</v>
      </c>
      <c r="J141" s="673" t="s">
        <v>2700</v>
      </c>
      <c r="K141" s="681" t="s">
        <v>1200</v>
      </c>
      <c r="L141" s="682" t="s">
        <v>437</v>
      </c>
      <c r="M141" s="683" t="s">
        <v>2687</v>
      </c>
      <c r="N141" s="674" t="s">
        <v>1579</v>
      </c>
      <c r="O141" s="321"/>
      <c r="P141" s="185"/>
      <c r="Q141" s="429"/>
      <c r="R141" s="575" t="s">
        <v>2488</v>
      </c>
      <c r="S141" s="575" t="s">
        <v>2025</v>
      </c>
      <c r="U141" s="480" t="s">
        <v>2488</v>
      </c>
      <c r="V141" s="480" t="s">
        <v>3593</v>
      </c>
      <c r="X141" s="480"/>
      <c r="Y141" s="480"/>
      <c r="AA141" s="1331"/>
    </row>
    <row r="142" spans="3:27" ht="10.5" customHeight="1">
      <c r="C142" s="415" t="s">
        <v>1258</v>
      </c>
      <c r="D142" s="495">
        <v>44400</v>
      </c>
      <c r="E142" s="311"/>
      <c r="F142" s="311" t="s">
        <v>871</v>
      </c>
      <c r="G142" s="429" t="s">
        <v>1843</v>
      </c>
      <c r="H142" s="429" t="s">
        <v>1257</v>
      </c>
      <c r="I142" s="673" t="s">
        <v>1844</v>
      </c>
      <c r="J142" s="673" t="s">
        <v>2700</v>
      </c>
      <c r="K142" s="681" t="s">
        <v>1201</v>
      </c>
      <c r="L142" s="682" t="s">
        <v>437</v>
      </c>
      <c r="M142" s="683" t="s">
        <v>2687</v>
      </c>
      <c r="N142" s="674" t="s">
        <v>1581</v>
      </c>
      <c r="O142" s="321"/>
      <c r="P142" s="185"/>
      <c r="Q142" s="429"/>
      <c r="R142" s="575" t="s">
        <v>1580</v>
      </c>
      <c r="S142" s="575" t="s">
        <v>2572</v>
      </c>
      <c r="U142" s="480" t="s">
        <v>1580</v>
      </c>
      <c r="V142" s="480" t="s">
        <v>3593</v>
      </c>
      <c r="X142" s="480"/>
      <c r="Y142" s="480"/>
      <c r="AA142" s="1331"/>
    </row>
    <row r="143" spans="3:27" ht="10.5" customHeight="1">
      <c r="C143" s="415" t="s">
        <v>1073</v>
      </c>
      <c r="D143" s="495">
        <v>56600</v>
      </c>
      <c r="E143" s="311"/>
      <c r="F143" s="311" t="s">
        <v>872</v>
      </c>
      <c r="G143" s="429" t="s">
        <v>1845</v>
      </c>
      <c r="H143" s="429" t="s">
        <v>1257</v>
      </c>
      <c r="I143" s="673" t="s">
        <v>1846</v>
      </c>
      <c r="J143" s="673" t="s">
        <v>2700</v>
      </c>
      <c r="K143" s="681" t="s">
        <v>1202</v>
      </c>
      <c r="L143" s="682" t="s">
        <v>437</v>
      </c>
      <c r="M143" s="683" t="s">
        <v>2687</v>
      </c>
      <c r="N143" s="674" t="s">
        <v>479</v>
      </c>
      <c r="O143" s="321"/>
      <c r="P143" s="185"/>
      <c r="Q143" s="429"/>
      <c r="R143" s="575" t="s">
        <v>978</v>
      </c>
      <c r="S143" s="575" t="s">
        <v>1363</v>
      </c>
      <c r="U143" s="480" t="s">
        <v>978</v>
      </c>
      <c r="V143" s="480" t="s">
        <v>3593</v>
      </c>
      <c r="X143" s="480"/>
      <c r="Y143" s="480"/>
      <c r="AA143" s="1331"/>
    </row>
    <row r="144" spans="3:27" ht="10.5" customHeight="1">
      <c r="C144" s="415" t="s">
        <v>1844</v>
      </c>
      <c r="D144" s="495">
        <v>36800</v>
      </c>
      <c r="E144" s="311"/>
      <c r="F144" s="311" t="s">
        <v>873</v>
      </c>
      <c r="G144" s="429" t="s">
        <v>1847</v>
      </c>
      <c r="H144" s="429" t="s">
        <v>1257</v>
      </c>
      <c r="I144" s="675" t="s">
        <v>1848</v>
      </c>
      <c r="J144" s="675" t="s">
        <v>2701</v>
      </c>
      <c r="K144" s="681" t="s">
        <v>1203</v>
      </c>
      <c r="L144" s="682" t="s">
        <v>438</v>
      </c>
      <c r="M144" s="683" t="s">
        <v>1239</v>
      </c>
      <c r="N144" s="674" t="s">
        <v>2158</v>
      </c>
      <c r="O144" s="321"/>
      <c r="P144" s="185"/>
      <c r="Q144" s="429"/>
      <c r="R144" s="575" t="s">
        <v>480</v>
      </c>
      <c r="S144" s="575" t="s">
        <v>2617</v>
      </c>
      <c r="U144" s="480" t="s">
        <v>2159</v>
      </c>
      <c r="V144" s="480" t="s">
        <v>3593</v>
      </c>
      <c r="X144" s="480"/>
      <c r="Y144" s="480"/>
      <c r="AA144" s="1331"/>
    </row>
    <row r="145" spans="3:27" ht="10.5" customHeight="1">
      <c r="C145" s="415" t="s">
        <v>795</v>
      </c>
      <c r="D145" s="495">
        <v>68300</v>
      </c>
      <c r="E145" s="311"/>
      <c r="F145" s="311" t="s">
        <v>874</v>
      </c>
      <c r="G145" s="429" t="s">
        <v>1849</v>
      </c>
      <c r="H145" s="429" t="s">
        <v>1384</v>
      </c>
      <c r="I145" s="675" t="s">
        <v>161</v>
      </c>
      <c r="J145" s="675" t="s">
        <v>2700</v>
      </c>
      <c r="K145" s="681" t="s">
        <v>1204</v>
      </c>
      <c r="L145" s="682" t="s">
        <v>437</v>
      </c>
      <c r="M145" s="683" t="s">
        <v>2687</v>
      </c>
      <c r="N145" s="674" t="s">
        <v>2160</v>
      </c>
      <c r="O145" s="321"/>
      <c r="P145" s="185"/>
      <c r="Q145" s="429"/>
      <c r="R145" s="575" t="s">
        <v>2159</v>
      </c>
      <c r="S145" s="575" t="s">
        <v>345</v>
      </c>
      <c r="U145" s="480" t="s">
        <v>2163</v>
      </c>
      <c r="V145" s="480" t="s">
        <v>3593</v>
      </c>
      <c r="X145" s="480"/>
      <c r="Y145" s="480"/>
      <c r="AA145" s="1331"/>
    </row>
    <row r="146" spans="3:27" ht="10.5" customHeight="1">
      <c r="C146" s="415" t="s">
        <v>796</v>
      </c>
      <c r="D146" s="495">
        <v>59100</v>
      </c>
      <c r="E146" s="311"/>
      <c r="F146" s="311" t="s">
        <v>875</v>
      </c>
      <c r="G146" s="429" t="s">
        <v>1359</v>
      </c>
      <c r="H146" s="429" t="s">
        <v>1360</v>
      </c>
      <c r="I146" s="673" t="s">
        <v>1361</v>
      </c>
      <c r="J146" s="673" t="s">
        <v>2700</v>
      </c>
      <c r="K146" s="681" t="s">
        <v>1892</v>
      </c>
      <c r="L146" s="682" t="s">
        <v>437</v>
      </c>
      <c r="M146" s="683" t="s">
        <v>2687</v>
      </c>
      <c r="N146" s="674" t="s">
        <v>2162</v>
      </c>
      <c r="O146" s="321"/>
      <c r="P146" s="185"/>
      <c r="Q146" s="429"/>
      <c r="R146" s="575" t="s">
        <v>2161</v>
      </c>
      <c r="S146" s="575" t="s">
        <v>189</v>
      </c>
      <c r="U146" s="480" t="s">
        <v>1848</v>
      </c>
      <c r="V146" s="480" t="s">
        <v>3593</v>
      </c>
      <c r="X146" s="480"/>
      <c r="Y146" s="480"/>
      <c r="AA146" s="1331"/>
    </row>
    <row r="147" spans="3:27" ht="10.5" customHeight="1">
      <c r="C147" s="415" t="s">
        <v>1846</v>
      </c>
      <c r="D147" s="495">
        <v>46700</v>
      </c>
      <c r="E147" s="311"/>
      <c r="F147" s="311" t="s">
        <v>876</v>
      </c>
      <c r="G147" s="429" t="s">
        <v>1362</v>
      </c>
      <c r="H147" s="429" t="s">
        <v>1384</v>
      </c>
      <c r="I147" s="675" t="s">
        <v>795</v>
      </c>
      <c r="J147" s="675" t="s">
        <v>2701</v>
      </c>
      <c r="K147" s="681" t="s">
        <v>2664</v>
      </c>
      <c r="L147" s="682" t="s">
        <v>438</v>
      </c>
      <c r="M147" s="683" t="s">
        <v>1239</v>
      </c>
      <c r="N147" s="674" t="s">
        <v>2164</v>
      </c>
      <c r="O147" s="321"/>
      <c r="P147" s="185"/>
      <c r="Q147" s="429"/>
      <c r="R147" s="575" t="s">
        <v>2163</v>
      </c>
      <c r="S147" s="575" t="s">
        <v>114</v>
      </c>
      <c r="U147" s="480" t="s">
        <v>461</v>
      </c>
      <c r="V147" s="480" t="s">
        <v>3593</v>
      </c>
      <c r="X147" s="480"/>
      <c r="Y147" s="480"/>
      <c r="AA147" s="1331"/>
    </row>
    <row r="148" spans="3:27" ht="10.5" customHeight="1">
      <c r="C148" s="415" t="s">
        <v>161</v>
      </c>
      <c r="D148" s="495">
        <v>51700</v>
      </c>
      <c r="E148" s="311"/>
      <c r="F148" s="311" t="s">
        <v>877</v>
      </c>
      <c r="G148" s="429" t="s">
        <v>1363</v>
      </c>
      <c r="H148" s="429" t="s">
        <v>1360</v>
      </c>
      <c r="I148" s="675" t="s">
        <v>795</v>
      </c>
      <c r="J148" s="675" t="s">
        <v>2701</v>
      </c>
      <c r="K148" s="681" t="s">
        <v>2664</v>
      </c>
      <c r="L148" s="682" t="s">
        <v>438</v>
      </c>
      <c r="M148" s="683" t="s">
        <v>1239</v>
      </c>
      <c r="N148" s="674" t="s">
        <v>2166</v>
      </c>
      <c r="O148" s="321"/>
      <c r="P148" s="185"/>
      <c r="Q148" s="429"/>
      <c r="R148" s="575" t="s">
        <v>2165</v>
      </c>
      <c r="S148" s="575" t="s">
        <v>1366</v>
      </c>
      <c r="U148" s="480" t="s">
        <v>463</v>
      </c>
      <c r="V148" s="480" t="s">
        <v>3593</v>
      </c>
      <c r="X148" s="480"/>
      <c r="Y148" s="480"/>
      <c r="AA148" s="1331"/>
    </row>
    <row r="149" spans="3:27" ht="10.5" customHeight="1">
      <c r="C149" s="415" t="s">
        <v>1361</v>
      </c>
      <c r="D149" s="495">
        <v>53600</v>
      </c>
      <c r="E149" s="311"/>
      <c r="F149" s="311" t="s">
        <v>878</v>
      </c>
      <c r="G149" s="429" t="s">
        <v>1364</v>
      </c>
      <c r="H149" s="429" t="s">
        <v>1257</v>
      </c>
      <c r="I149" s="673" t="s">
        <v>1365</v>
      </c>
      <c r="J149" s="673" t="s">
        <v>2700</v>
      </c>
      <c r="K149" s="681" t="s">
        <v>2665</v>
      </c>
      <c r="L149" s="682" t="s">
        <v>437</v>
      </c>
      <c r="M149" s="683" t="s">
        <v>2687</v>
      </c>
      <c r="N149" s="674" t="s">
        <v>2037</v>
      </c>
      <c r="O149" s="605"/>
      <c r="P149" s="185"/>
      <c r="Q149" s="429"/>
      <c r="R149" s="575" t="s">
        <v>1848</v>
      </c>
      <c r="S149" s="575" t="s">
        <v>989</v>
      </c>
      <c r="U149" s="480" t="s">
        <v>1918</v>
      </c>
      <c r="V149" s="480" t="s">
        <v>3593</v>
      </c>
      <c r="X149" s="480"/>
      <c r="Y149" s="480"/>
      <c r="AA149" s="1331"/>
    </row>
    <row r="150" spans="3:27" ht="10.5" customHeight="1">
      <c r="C150" s="416" t="s">
        <v>1076</v>
      </c>
      <c r="D150" s="495">
        <v>38600</v>
      </c>
      <c r="E150" s="311"/>
      <c r="F150" s="311" t="s">
        <v>879</v>
      </c>
      <c r="G150" s="429" t="s">
        <v>1366</v>
      </c>
      <c r="H150" s="429" t="s">
        <v>1257</v>
      </c>
      <c r="I150" s="673" t="s">
        <v>1367</v>
      </c>
      <c r="J150" s="673" t="s">
        <v>2700</v>
      </c>
      <c r="K150" s="681" t="s">
        <v>2666</v>
      </c>
      <c r="L150" s="682" t="s">
        <v>437</v>
      </c>
      <c r="M150" s="683" t="s">
        <v>2687</v>
      </c>
      <c r="N150" s="674" t="s">
        <v>185</v>
      </c>
      <c r="O150" s="605"/>
      <c r="P150" s="311"/>
      <c r="Q150" s="429"/>
      <c r="R150" s="575" t="s">
        <v>2038</v>
      </c>
      <c r="S150" s="575" t="s">
        <v>444</v>
      </c>
      <c r="U150" s="480" t="s">
        <v>2636</v>
      </c>
      <c r="V150" s="480" t="s">
        <v>3593</v>
      </c>
      <c r="X150" s="480"/>
      <c r="Y150" s="480"/>
      <c r="AA150" s="1331"/>
    </row>
    <row r="151" spans="3:27" ht="10.5" customHeight="1">
      <c r="C151" s="416" t="s">
        <v>1367</v>
      </c>
      <c r="D151" s="495">
        <v>42700</v>
      </c>
      <c r="E151" s="311"/>
      <c r="F151" s="311" t="s">
        <v>880</v>
      </c>
      <c r="G151" s="429" t="s">
        <v>1368</v>
      </c>
      <c r="H151" s="429" t="s">
        <v>1384</v>
      </c>
      <c r="I151" s="675" t="s">
        <v>1369</v>
      </c>
      <c r="J151" s="675" t="s">
        <v>2701</v>
      </c>
      <c r="K151" s="681" t="s">
        <v>2667</v>
      </c>
      <c r="L151" s="682" t="s">
        <v>438</v>
      </c>
      <c r="M151" s="683" t="s">
        <v>1239</v>
      </c>
      <c r="N151" s="674" t="s">
        <v>187</v>
      </c>
      <c r="O151" s="605"/>
      <c r="P151" s="185"/>
      <c r="Q151" s="429"/>
      <c r="R151" s="575" t="s">
        <v>186</v>
      </c>
      <c r="S151" s="575" t="s">
        <v>1512</v>
      </c>
      <c r="U151" s="480" t="s">
        <v>2642</v>
      </c>
      <c r="V151" s="480" t="s">
        <v>3593</v>
      </c>
      <c r="X151" s="480"/>
      <c r="Y151" s="480"/>
      <c r="AA151" s="1331"/>
    </row>
    <row r="152" spans="3:27" ht="10.5" customHeight="1">
      <c r="C152" s="416" t="s">
        <v>1371</v>
      </c>
      <c r="D152" s="495">
        <v>58800</v>
      </c>
      <c r="E152" s="311"/>
      <c r="F152" s="311" t="s">
        <v>881</v>
      </c>
      <c r="G152" s="429" t="s">
        <v>1370</v>
      </c>
      <c r="H152" s="429" t="s">
        <v>1257</v>
      </c>
      <c r="I152" s="675" t="s">
        <v>1371</v>
      </c>
      <c r="J152" s="675" t="s">
        <v>2700</v>
      </c>
      <c r="K152" s="681" t="s">
        <v>2668</v>
      </c>
      <c r="L152" s="682" t="s">
        <v>437</v>
      </c>
      <c r="M152" s="683" t="s">
        <v>2687</v>
      </c>
      <c r="N152" s="674" t="s">
        <v>460</v>
      </c>
      <c r="O152" s="321"/>
      <c r="P152" s="185"/>
      <c r="Q152" s="429"/>
      <c r="R152" s="575" t="s">
        <v>188</v>
      </c>
      <c r="S152" s="575" t="s">
        <v>2484</v>
      </c>
      <c r="U152" s="480" t="s">
        <v>2647</v>
      </c>
      <c r="V152" s="480" t="s">
        <v>3593</v>
      </c>
      <c r="X152" s="480"/>
      <c r="Y152" s="480"/>
      <c r="AA152" s="1331"/>
    </row>
    <row r="153" spans="3:27" ht="10.5" customHeight="1">
      <c r="C153" s="415" t="s">
        <v>12</v>
      </c>
      <c r="D153" s="495">
        <v>55300</v>
      </c>
      <c r="E153" s="311"/>
      <c r="F153" s="311" t="s">
        <v>882</v>
      </c>
      <c r="G153" s="429" t="s">
        <v>1372</v>
      </c>
      <c r="H153" s="429" t="s">
        <v>1257</v>
      </c>
      <c r="I153" s="673" t="s">
        <v>12</v>
      </c>
      <c r="J153" s="673" t="s">
        <v>2701</v>
      </c>
      <c r="K153" s="681" t="s">
        <v>2669</v>
      </c>
      <c r="L153" s="682" t="s">
        <v>438</v>
      </c>
      <c r="M153" s="683" t="s">
        <v>1239</v>
      </c>
      <c r="N153" s="674" t="s">
        <v>462</v>
      </c>
      <c r="O153" s="321"/>
      <c r="P153" s="185"/>
      <c r="Q153" s="429"/>
      <c r="R153" s="575" t="s">
        <v>461</v>
      </c>
      <c r="S153" s="575" t="s">
        <v>1845</v>
      </c>
      <c r="U153" s="480" t="s">
        <v>171</v>
      </c>
      <c r="V153" s="480" t="s">
        <v>3593</v>
      </c>
      <c r="X153" s="480"/>
      <c r="Y153" s="480"/>
      <c r="AA153" s="1331"/>
    </row>
    <row r="154" spans="3:27" ht="10.5" customHeight="1">
      <c r="C154" s="416" t="s">
        <v>1377</v>
      </c>
      <c r="D154" s="495">
        <v>51700</v>
      </c>
      <c r="E154" s="311"/>
      <c r="F154" s="311" t="s">
        <v>883</v>
      </c>
      <c r="G154" s="429" t="s">
        <v>1373</v>
      </c>
      <c r="H154" s="429" t="s">
        <v>1257</v>
      </c>
      <c r="I154" s="673" t="s">
        <v>1760</v>
      </c>
      <c r="J154" s="673" t="s">
        <v>2701</v>
      </c>
      <c r="K154" s="681" t="s">
        <v>2670</v>
      </c>
      <c r="L154" s="682" t="s">
        <v>438</v>
      </c>
      <c r="M154" s="683" t="s">
        <v>1239</v>
      </c>
      <c r="N154" s="674" t="s">
        <v>464</v>
      </c>
      <c r="O154" s="321"/>
      <c r="P154" s="185"/>
      <c r="Q154" s="429"/>
      <c r="R154" s="575" t="s">
        <v>463</v>
      </c>
      <c r="S154" s="575" t="s">
        <v>1252</v>
      </c>
      <c r="U154" s="480" t="s">
        <v>1251</v>
      </c>
      <c r="V154" s="480" t="s">
        <v>3593</v>
      </c>
      <c r="X154" s="480"/>
      <c r="Y154" s="480"/>
      <c r="AA154" s="1331"/>
    </row>
    <row r="155" spans="3:27" ht="10.5" customHeight="1">
      <c r="C155" s="415" t="s">
        <v>1074</v>
      </c>
      <c r="D155" s="495">
        <v>64700</v>
      </c>
      <c r="E155" s="311"/>
      <c r="F155" s="311" t="s">
        <v>884</v>
      </c>
      <c r="G155" s="429" t="s">
        <v>1374</v>
      </c>
      <c r="H155" s="429" t="s">
        <v>1257</v>
      </c>
      <c r="I155" s="675" t="s">
        <v>1375</v>
      </c>
      <c r="J155" s="675" t="s">
        <v>2701</v>
      </c>
      <c r="K155" s="681" t="s">
        <v>1519</v>
      </c>
      <c r="L155" s="682" t="s">
        <v>438</v>
      </c>
      <c r="M155" s="683" t="s">
        <v>1239</v>
      </c>
      <c r="N155" s="674" t="s">
        <v>466</v>
      </c>
      <c r="O155" s="321"/>
      <c r="P155" s="185"/>
      <c r="Q155" s="429"/>
      <c r="R155" s="575" t="s">
        <v>465</v>
      </c>
      <c r="S155" s="575" t="s">
        <v>189</v>
      </c>
      <c r="U155" s="480" t="s">
        <v>2149</v>
      </c>
      <c r="V155" s="480" t="s">
        <v>3593</v>
      </c>
      <c r="X155" s="480"/>
      <c r="Y155" s="480"/>
      <c r="AA155" s="1331"/>
    </row>
    <row r="156" spans="3:27" ht="10.5" customHeight="1">
      <c r="C156" s="416" t="s">
        <v>1382</v>
      </c>
      <c r="D156" s="495">
        <v>46300</v>
      </c>
      <c r="E156" s="311"/>
      <c r="F156" s="311" t="s">
        <v>885</v>
      </c>
      <c r="G156" s="429" t="s">
        <v>1376</v>
      </c>
      <c r="H156" s="429" t="s">
        <v>1257</v>
      </c>
      <c r="I156" s="675" t="s">
        <v>1377</v>
      </c>
      <c r="J156" s="675" t="s">
        <v>2700</v>
      </c>
      <c r="K156" s="681" t="s">
        <v>2685</v>
      </c>
      <c r="L156" s="682" t="s">
        <v>437</v>
      </c>
      <c r="M156" s="683" t="s">
        <v>2687</v>
      </c>
      <c r="N156" s="674" t="s">
        <v>2342</v>
      </c>
      <c r="O156" s="321"/>
      <c r="P156" s="185"/>
      <c r="Q156" s="429"/>
      <c r="R156" s="575" t="s">
        <v>467</v>
      </c>
      <c r="S156" s="575" t="s">
        <v>124</v>
      </c>
      <c r="U156" s="480" t="s">
        <v>1379</v>
      </c>
      <c r="V156" s="480" t="s">
        <v>3593</v>
      </c>
      <c r="X156" s="480"/>
      <c r="Y156" s="480"/>
      <c r="AA156" s="1331"/>
    </row>
    <row r="157" spans="3:27" ht="10.5" customHeight="1">
      <c r="C157" s="416" t="s">
        <v>760</v>
      </c>
      <c r="D157" s="495">
        <v>65400</v>
      </c>
      <c r="E157" s="311"/>
      <c r="F157" s="311" t="s">
        <v>886</v>
      </c>
      <c r="G157" s="429" t="s">
        <v>1378</v>
      </c>
      <c r="H157" s="429" t="s">
        <v>1384</v>
      </c>
      <c r="I157" s="675" t="s">
        <v>796</v>
      </c>
      <c r="J157" s="675" t="s">
        <v>2701</v>
      </c>
      <c r="K157" s="681" t="s">
        <v>2686</v>
      </c>
      <c r="L157" s="682" t="s">
        <v>438</v>
      </c>
      <c r="M157" s="683" t="s">
        <v>1239</v>
      </c>
      <c r="N157" s="674" t="s">
        <v>2344</v>
      </c>
      <c r="O157" s="321"/>
      <c r="P157" s="185"/>
      <c r="Q157" s="429"/>
      <c r="R157" s="575" t="s">
        <v>2343</v>
      </c>
      <c r="S157" s="575" t="s">
        <v>2573</v>
      </c>
      <c r="U157" s="480" t="s">
        <v>2152</v>
      </c>
      <c r="V157" s="480" t="s">
        <v>3593</v>
      </c>
      <c r="X157" s="480"/>
      <c r="Y157" s="480"/>
      <c r="AA157" s="1331"/>
    </row>
    <row r="158" spans="3:27" ht="10.5" customHeight="1">
      <c r="C158" s="416" t="s">
        <v>762</v>
      </c>
      <c r="D158" s="495">
        <v>41900</v>
      </c>
      <c r="E158" s="311"/>
      <c r="F158" s="311" t="s">
        <v>887</v>
      </c>
      <c r="G158" s="429" t="s">
        <v>1380</v>
      </c>
      <c r="H158" s="429" t="s">
        <v>1384</v>
      </c>
      <c r="I158" s="675" t="s">
        <v>1074</v>
      </c>
      <c r="J158" s="675" t="s">
        <v>2701</v>
      </c>
      <c r="K158" s="681" t="s">
        <v>1304</v>
      </c>
      <c r="L158" s="682" t="s">
        <v>438</v>
      </c>
      <c r="M158" s="683" t="s">
        <v>1239</v>
      </c>
      <c r="N158" s="674" t="s">
        <v>382</v>
      </c>
      <c r="O158" s="321"/>
      <c r="P158" s="185"/>
      <c r="Q158" s="429"/>
      <c r="R158" s="575" t="s">
        <v>1918</v>
      </c>
      <c r="S158" s="575" t="s">
        <v>2256</v>
      </c>
      <c r="U158" s="480" t="s">
        <v>2185</v>
      </c>
      <c r="V158" s="480" t="s">
        <v>3593</v>
      </c>
      <c r="X158" s="480"/>
      <c r="Y158" s="480"/>
      <c r="AA158" s="1331"/>
    </row>
    <row r="159" spans="3:27" ht="10.5" customHeight="1">
      <c r="C159" s="415" t="s">
        <v>163</v>
      </c>
      <c r="D159" s="495">
        <v>51000</v>
      </c>
      <c r="E159" s="311"/>
      <c r="F159" s="311" t="s">
        <v>888</v>
      </c>
      <c r="G159" s="429" t="s">
        <v>1381</v>
      </c>
      <c r="H159" s="429" t="s">
        <v>1257</v>
      </c>
      <c r="I159" s="673" t="s">
        <v>1382</v>
      </c>
      <c r="J159" s="673" t="s">
        <v>2700</v>
      </c>
      <c r="K159" s="681" t="s">
        <v>1305</v>
      </c>
      <c r="L159" s="682" t="s">
        <v>437</v>
      </c>
      <c r="M159" s="683" t="s">
        <v>2687</v>
      </c>
      <c r="N159" s="674" t="s">
        <v>384</v>
      </c>
      <c r="O159" s="321"/>
      <c r="P159" s="185"/>
      <c r="Q159" s="429"/>
      <c r="R159" s="575" t="s">
        <v>383</v>
      </c>
      <c r="S159" s="575" t="s">
        <v>2256</v>
      </c>
      <c r="U159" s="480" t="s">
        <v>2189</v>
      </c>
      <c r="V159" s="480" t="s">
        <v>3593</v>
      </c>
      <c r="X159" s="480"/>
      <c r="Y159" s="480"/>
      <c r="AA159" s="1331"/>
    </row>
    <row r="160" spans="3:27" ht="10.5" customHeight="1">
      <c r="C160" s="415" t="s">
        <v>1578</v>
      </c>
      <c r="D160" s="495">
        <v>59000</v>
      </c>
      <c r="E160" s="311"/>
      <c r="F160" s="311" t="s">
        <v>889</v>
      </c>
      <c r="G160" s="429" t="s">
        <v>1383</v>
      </c>
      <c r="H160" s="429" t="s">
        <v>1257</v>
      </c>
      <c r="I160" s="675" t="s">
        <v>760</v>
      </c>
      <c r="J160" s="675" t="s">
        <v>2700</v>
      </c>
      <c r="K160" s="681" t="s">
        <v>1306</v>
      </c>
      <c r="L160" s="682" t="s">
        <v>437</v>
      </c>
      <c r="M160" s="683" t="s">
        <v>2687</v>
      </c>
      <c r="N160" s="674" t="s">
        <v>2633</v>
      </c>
      <c r="O160" s="321"/>
      <c r="P160" s="185"/>
      <c r="Q160" s="429"/>
      <c r="R160" s="575" t="s">
        <v>1256</v>
      </c>
      <c r="S160" s="575" t="s">
        <v>2616</v>
      </c>
      <c r="U160" s="480" t="s">
        <v>1849</v>
      </c>
      <c r="V160" s="480" t="s">
        <v>3593</v>
      </c>
      <c r="X160" s="480"/>
      <c r="Y160" s="480"/>
      <c r="AA160" s="1331"/>
    </row>
    <row r="161" spans="3:27" ht="10.5" customHeight="1">
      <c r="C161" s="415" t="s">
        <v>168</v>
      </c>
      <c r="D161" s="495">
        <v>43000</v>
      </c>
      <c r="E161" s="311"/>
      <c r="F161" s="311" t="s">
        <v>890</v>
      </c>
      <c r="G161" s="429" t="s">
        <v>761</v>
      </c>
      <c r="H161" s="429" t="s">
        <v>1257</v>
      </c>
      <c r="I161" s="673" t="s">
        <v>762</v>
      </c>
      <c r="J161" s="673" t="s">
        <v>2700</v>
      </c>
      <c r="K161" s="681" t="s">
        <v>1775</v>
      </c>
      <c r="L161" s="682" t="s">
        <v>437</v>
      </c>
      <c r="M161" s="683" t="s">
        <v>2687</v>
      </c>
      <c r="N161" s="674" t="s">
        <v>2635</v>
      </c>
      <c r="O161" s="321"/>
      <c r="P161" s="185"/>
      <c r="Q161" s="429"/>
      <c r="R161" s="575" t="s">
        <v>2634</v>
      </c>
      <c r="S161" s="575" t="s">
        <v>2621</v>
      </c>
      <c r="U161" s="480" t="s">
        <v>1043</v>
      </c>
      <c r="V161" s="480" t="s">
        <v>3593</v>
      </c>
      <c r="X161" s="480"/>
      <c r="Y161" s="480"/>
      <c r="AA161" s="1331"/>
    </row>
    <row r="162" spans="3:27" ht="10.5" customHeight="1">
      <c r="C162" s="415" t="s">
        <v>2568</v>
      </c>
      <c r="D162" s="495">
        <v>29400</v>
      </c>
      <c r="E162" s="311"/>
      <c r="F162" s="311" t="s">
        <v>891</v>
      </c>
      <c r="G162" s="429" t="s">
        <v>763</v>
      </c>
      <c r="H162" s="429" t="s">
        <v>1384</v>
      </c>
      <c r="I162" s="675" t="s">
        <v>795</v>
      </c>
      <c r="J162" s="675" t="s">
        <v>2701</v>
      </c>
      <c r="K162" s="681" t="s">
        <v>2664</v>
      </c>
      <c r="L162" s="682" t="s">
        <v>438</v>
      </c>
      <c r="M162" s="683" t="s">
        <v>1239</v>
      </c>
      <c r="N162" s="674" t="s">
        <v>2637</v>
      </c>
      <c r="O162" s="321"/>
      <c r="P162" s="185"/>
      <c r="Q162" s="429"/>
      <c r="R162" s="575" t="s">
        <v>2636</v>
      </c>
      <c r="S162" s="575" t="s">
        <v>1135</v>
      </c>
      <c r="U162" s="480" t="s">
        <v>2530</v>
      </c>
      <c r="V162" s="480" t="s">
        <v>3593</v>
      </c>
      <c r="X162" s="480"/>
      <c r="Y162" s="480"/>
      <c r="AA162" s="1331"/>
    </row>
    <row r="163" spans="3:27" ht="10.5" customHeight="1">
      <c r="C163" s="416" t="s">
        <v>2571</v>
      </c>
      <c r="D163" s="495">
        <v>47100</v>
      </c>
      <c r="E163" s="311"/>
      <c r="F163" s="311" t="s">
        <v>892</v>
      </c>
      <c r="G163" s="429" t="s">
        <v>1577</v>
      </c>
      <c r="H163" s="429" t="s">
        <v>1360</v>
      </c>
      <c r="I163" s="675" t="s">
        <v>1578</v>
      </c>
      <c r="J163" s="675" t="s">
        <v>2701</v>
      </c>
      <c r="K163" s="681" t="s">
        <v>1744</v>
      </c>
      <c r="L163" s="682" t="s">
        <v>438</v>
      </c>
      <c r="M163" s="683" t="s">
        <v>1239</v>
      </c>
      <c r="N163" s="674" t="s">
        <v>2639</v>
      </c>
      <c r="O163" s="321"/>
      <c r="P163" s="185"/>
      <c r="Q163" s="429"/>
      <c r="R163" s="575" t="s">
        <v>2638</v>
      </c>
      <c r="S163" s="575" t="s">
        <v>336</v>
      </c>
      <c r="U163" s="480" t="s">
        <v>2532</v>
      </c>
      <c r="V163" s="480" t="s">
        <v>3593</v>
      </c>
      <c r="X163" s="480"/>
      <c r="Y163" s="480"/>
      <c r="AA163" s="1331"/>
    </row>
    <row r="164" spans="3:27" ht="10.5" customHeight="1">
      <c r="C164" s="416" t="s">
        <v>2574</v>
      </c>
      <c r="D164" s="495">
        <v>42900</v>
      </c>
      <c r="E164" s="311"/>
      <c r="F164" s="311" t="s">
        <v>893</v>
      </c>
      <c r="G164" s="429" t="s">
        <v>162</v>
      </c>
      <c r="H164" s="429" t="s">
        <v>1257</v>
      </c>
      <c r="I164" s="673" t="s">
        <v>163</v>
      </c>
      <c r="J164" s="673" t="s">
        <v>2700</v>
      </c>
      <c r="K164" s="681" t="s">
        <v>1745</v>
      </c>
      <c r="L164" s="682" t="s">
        <v>437</v>
      </c>
      <c r="M164" s="683" t="s">
        <v>2687</v>
      </c>
      <c r="N164" s="674" t="s">
        <v>2641</v>
      </c>
      <c r="O164" s="321"/>
      <c r="P164" s="185"/>
      <c r="Q164" s="429"/>
      <c r="R164" s="575" t="s">
        <v>2640</v>
      </c>
      <c r="S164" s="575" t="s">
        <v>2570</v>
      </c>
      <c r="U164" s="480" t="s">
        <v>2534</v>
      </c>
      <c r="V164" s="480" t="s">
        <v>3593</v>
      </c>
      <c r="X164" s="480"/>
      <c r="Y164" s="480"/>
      <c r="AA164" s="1331"/>
    </row>
    <row r="165" spans="3:27" ht="10.5" customHeight="1">
      <c r="C165" s="416" t="s">
        <v>2615</v>
      </c>
      <c r="D165" s="495">
        <v>43700</v>
      </c>
      <c r="E165" s="311"/>
      <c r="F165" s="311" t="s">
        <v>894</v>
      </c>
      <c r="G165" s="429" t="s">
        <v>164</v>
      </c>
      <c r="H165" s="429" t="s">
        <v>1257</v>
      </c>
      <c r="I165" s="675" t="s">
        <v>1375</v>
      </c>
      <c r="J165" s="675" t="s">
        <v>2701</v>
      </c>
      <c r="K165" s="681" t="s">
        <v>1519</v>
      </c>
      <c r="L165" s="682" t="s">
        <v>438</v>
      </c>
      <c r="M165" s="683" t="s">
        <v>1239</v>
      </c>
      <c r="N165" s="674" t="s">
        <v>2643</v>
      </c>
      <c r="O165" s="321"/>
      <c r="P165" s="185"/>
      <c r="Q165" s="429"/>
      <c r="R165" s="575" t="s">
        <v>2642</v>
      </c>
      <c r="S165" s="575" t="s">
        <v>1381</v>
      </c>
      <c r="U165" s="480" t="s">
        <v>2537</v>
      </c>
      <c r="V165" s="480" t="s">
        <v>3593</v>
      </c>
      <c r="X165" s="480"/>
      <c r="Y165" s="480"/>
      <c r="AA165" s="1331"/>
    </row>
    <row r="166" spans="3:27" ht="10.5" customHeight="1">
      <c r="C166" s="415" t="s">
        <v>166</v>
      </c>
      <c r="D166" s="495">
        <v>58200</v>
      </c>
      <c r="E166" s="311"/>
      <c r="F166" s="311" t="s">
        <v>1391</v>
      </c>
      <c r="G166" s="429" t="s">
        <v>165</v>
      </c>
      <c r="H166" s="429" t="s">
        <v>1384</v>
      </c>
      <c r="I166" s="675" t="s">
        <v>166</v>
      </c>
      <c r="J166" s="675" t="s">
        <v>2701</v>
      </c>
      <c r="K166" s="681" t="s">
        <v>1746</v>
      </c>
      <c r="L166" s="682" t="s">
        <v>438</v>
      </c>
      <c r="M166" s="683" t="s">
        <v>1239</v>
      </c>
      <c r="N166" s="674" t="s">
        <v>2644</v>
      </c>
      <c r="O166" s="321"/>
      <c r="P166" s="185"/>
      <c r="Q166" s="429"/>
      <c r="R166" s="575" t="s">
        <v>2645</v>
      </c>
      <c r="S166" s="575" t="s">
        <v>2679</v>
      </c>
      <c r="U166" s="480" t="s">
        <v>2310</v>
      </c>
      <c r="V166" s="480" t="s">
        <v>3593</v>
      </c>
      <c r="X166" s="480"/>
      <c r="Y166" s="480"/>
      <c r="AA166" s="1331"/>
    </row>
    <row r="167" spans="3:27" ht="10.5" customHeight="1">
      <c r="C167" s="416" t="s">
        <v>2618</v>
      </c>
      <c r="D167" s="495">
        <v>50300</v>
      </c>
      <c r="E167" s="311"/>
      <c r="F167" s="311" t="s">
        <v>1392</v>
      </c>
      <c r="G167" s="429" t="s">
        <v>167</v>
      </c>
      <c r="H167" s="429" t="s">
        <v>1360</v>
      </c>
      <c r="I167" s="673" t="s">
        <v>168</v>
      </c>
      <c r="J167" s="673" t="s">
        <v>2700</v>
      </c>
      <c r="K167" s="681" t="s">
        <v>1747</v>
      </c>
      <c r="L167" s="682" t="s">
        <v>437</v>
      </c>
      <c r="M167" s="683" t="s">
        <v>2687</v>
      </c>
      <c r="N167" s="674" t="s">
        <v>2646</v>
      </c>
      <c r="O167" s="321"/>
      <c r="P167" s="185"/>
      <c r="Q167" s="429"/>
      <c r="R167" s="575" t="s">
        <v>2647</v>
      </c>
      <c r="S167" s="575" t="s">
        <v>1991</v>
      </c>
      <c r="U167" s="480" t="s">
        <v>2412</v>
      </c>
      <c r="V167" s="480" t="s">
        <v>3593</v>
      </c>
      <c r="X167" s="480"/>
      <c r="Y167" s="480"/>
      <c r="AA167" s="1331"/>
    </row>
    <row r="168" spans="3:27" ht="10.5" customHeight="1">
      <c r="C168" s="416" t="s">
        <v>199</v>
      </c>
      <c r="D168" s="495">
        <v>44600</v>
      </c>
      <c r="E168" s="311"/>
      <c r="F168" s="311" t="s">
        <v>1393</v>
      </c>
      <c r="G168" s="429" t="s">
        <v>169</v>
      </c>
      <c r="H168" s="429" t="s">
        <v>1360</v>
      </c>
      <c r="I168" s="675" t="s">
        <v>795</v>
      </c>
      <c r="J168" s="675" t="s">
        <v>2701</v>
      </c>
      <c r="K168" s="681" t="s">
        <v>2664</v>
      </c>
      <c r="L168" s="682" t="s">
        <v>438</v>
      </c>
      <c r="M168" s="683" t="s">
        <v>1239</v>
      </c>
      <c r="N168" s="674" t="s">
        <v>431</v>
      </c>
      <c r="O168" s="321"/>
      <c r="P168" s="185"/>
      <c r="Q168" s="429"/>
      <c r="R168" s="575" t="s">
        <v>171</v>
      </c>
      <c r="S168" s="575" t="s">
        <v>170</v>
      </c>
      <c r="U168" s="480" t="s">
        <v>318</v>
      </c>
      <c r="V168" s="480" t="s">
        <v>3593</v>
      </c>
      <c r="X168" s="480"/>
      <c r="Y168" s="480"/>
      <c r="AA168" s="1331"/>
    </row>
    <row r="169" spans="3:27" ht="10.5" customHeight="1">
      <c r="C169" s="416" t="s">
        <v>348</v>
      </c>
      <c r="D169" s="495">
        <v>43600</v>
      </c>
      <c r="E169" s="311"/>
      <c r="F169" s="311" t="s">
        <v>1394</v>
      </c>
      <c r="G169" s="429" t="s">
        <v>170</v>
      </c>
      <c r="H169" s="429" t="s">
        <v>1384</v>
      </c>
      <c r="I169" s="673" t="s">
        <v>2121</v>
      </c>
      <c r="J169" s="673" t="s">
        <v>2701</v>
      </c>
      <c r="K169" s="681" t="s">
        <v>644</v>
      </c>
      <c r="L169" s="682" t="s">
        <v>438</v>
      </c>
      <c r="M169" s="684" t="s">
        <v>1239</v>
      </c>
      <c r="N169" s="674" t="s">
        <v>432</v>
      </c>
      <c r="O169" s="321"/>
      <c r="P169" s="311"/>
      <c r="Q169" s="429"/>
      <c r="R169" s="575" t="s">
        <v>1251</v>
      </c>
      <c r="S169" s="575" t="s">
        <v>1252</v>
      </c>
      <c r="U169" s="480" t="s">
        <v>12</v>
      </c>
      <c r="V169" s="480" t="s">
        <v>3593</v>
      </c>
      <c r="X169" s="480"/>
      <c r="Y169" s="480"/>
      <c r="AA169" s="1331"/>
    </row>
    <row r="170" spans="3:27" ht="10.5" customHeight="1">
      <c r="C170" s="415" t="s">
        <v>203</v>
      </c>
      <c r="D170" s="495">
        <v>43300</v>
      </c>
      <c r="E170" s="311"/>
      <c r="F170" s="311" t="s">
        <v>1395</v>
      </c>
      <c r="G170" s="429" t="s">
        <v>2567</v>
      </c>
      <c r="H170" s="429" t="s">
        <v>1257</v>
      </c>
      <c r="I170" s="673" t="s">
        <v>2568</v>
      </c>
      <c r="J170" s="673" t="s">
        <v>2700</v>
      </c>
      <c r="K170" s="681" t="s">
        <v>645</v>
      </c>
      <c r="L170" s="682" t="s">
        <v>437</v>
      </c>
      <c r="M170" s="684" t="s">
        <v>2687</v>
      </c>
      <c r="N170" s="674" t="s">
        <v>809</v>
      </c>
      <c r="O170" s="605"/>
      <c r="P170" s="185"/>
      <c r="Q170" s="429"/>
      <c r="R170" s="575" t="s">
        <v>810</v>
      </c>
      <c r="S170" s="575" t="s">
        <v>202</v>
      </c>
      <c r="U170" s="480" t="s">
        <v>14</v>
      </c>
      <c r="V170" s="480" t="s">
        <v>3593</v>
      </c>
      <c r="X170" s="480"/>
      <c r="Y170" s="480"/>
      <c r="AA170" s="1331"/>
    </row>
    <row r="171" spans="3:27" ht="10.5" customHeight="1">
      <c r="C171" s="415" t="s">
        <v>986</v>
      </c>
      <c r="D171" s="495">
        <v>47300</v>
      </c>
      <c r="E171" s="311"/>
      <c r="F171" s="311" t="s">
        <v>1396</v>
      </c>
      <c r="G171" s="429" t="s">
        <v>2569</v>
      </c>
      <c r="H171" s="429" t="s">
        <v>1384</v>
      </c>
      <c r="I171" s="675" t="s">
        <v>795</v>
      </c>
      <c r="J171" s="675" t="s">
        <v>2701</v>
      </c>
      <c r="K171" s="681" t="s">
        <v>2664</v>
      </c>
      <c r="L171" s="682" t="s">
        <v>438</v>
      </c>
      <c r="M171" s="683" t="s">
        <v>1239</v>
      </c>
      <c r="N171" s="674" t="s">
        <v>811</v>
      </c>
      <c r="O171" s="605"/>
      <c r="P171" s="185"/>
      <c r="Q171" s="429"/>
      <c r="R171" s="575" t="s">
        <v>2149</v>
      </c>
      <c r="S171" s="575" t="s">
        <v>1362</v>
      </c>
      <c r="U171" s="480" t="s">
        <v>61</v>
      </c>
      <c r="V171" s="480" t="s">
        <v>3593</v>
      </c>
      <c r="X171" s="480"/>
      <c r="Y171" s="480"/>
      <c r="AA171" s="1331"/>
    </row>
    <row r="172" spans="3:27" ht="10.5" customHeight="1">
      <c r="C172" s="416" t="s">
        <v>988</v>
      </c>
      <c r="D172" s="495">
        <v>43600</v>
      </c>
      <c r="E172" s="311"/>
      <c r="F172" s="311" t="s">
        <v>1397</v>
      </c>
      <c r="G172" s="429" t="s">
        <v>2570</v>
      </c>
      <c r="H172" s="429" t="s">
        <v>1257</v>
      </c>
      <c r="I172" s="673" t="s">
        <v>2571</v>
      </c>
      <c r="J172" s="673" t="s">
        <v>2700</v>
      </c>
      <c r="K172" s="681" t="s">
        <v>646</v>
      </c>
      <c r="L172" s="682" t="s">
        <v>437</v>
      </c>
      <c r="M172" s="684" t="s">
        <v>2687</v>
      </c>
      <c r="N172" s="674" t="s">
        <v>2150</v>
      </c>
      <c r="O172" s="605"/>
      <c r="P172" s="185"/>
      <c r="Q172" s="429"/>
      <c r="R172" s="575" t="s">
        <v>1379</v>
      </c>
      <c r="S172" s="575" t="s">
        <v>1147</v>
      </c>
      <c r="U172" s="480" t="s">
        <v>63</v>
      </c>
      <c r="V172" s="480" t="s">
        <v>3593</v>
      </c>
      <c r="X172" s="480"/>
      <c r="Y172" s="480"/>
      <c r="AA172" s="1331"/>
    </row>
    <row r="173" spans="3:27" ht="10.5" customHeight="1">
      <c r="C173" s="415" t="s">
        <v>908</v>
      </c>
      <c r="D173" s="495">
        <v>44100</v>
      </c>
      <c r="E173" s="311"/>
      <c r="F173" s="311" t="s">
        <v>1398</v>
      </c>
      <c r="G173" s="429" t="s">
        <v>2572</v>
      </c>
      <c r="H173" s="429" t="s">
        <v>1360</v>
      </c>
      <c r="I173" s="675" t="s">
        <v>795</v>
      </c>
      <c r="J173" s="675" t="s">
        <v>2701</v>
      </c>
      <c r="K173" s="681" t="s">
        <v>2664</v>
      </c>
      <c r="L173" s="682" t="s">
        <v>438</v>
      </c>
      <c r="M173" s="683" t="s">
        <v>1239</v>
      </c>
      <c r="N173" s="674" t="s">
        <v>2151</v>
      </c>
      <c r="O173" s="605"/>
      <c r="P173" s="185"/>
      <c r="Q173" s="429"/>
      <c r="R173" s="575" t="s">
        <v>2152</v>
      </c>
      <c r="S173" s="575" t="s">
        <v>2572</v>
      </c>
      <c r="U173" s="480" t="s">
        <v>365</v>
      </c>
      <c r="V173" s="480" t="s">
        <v>3593</v>
      </c>
      <c r="X173" s="480"/>
      <c r="Y173" s="480"/>
      <c r="AA173" s="1331"/>
    </row>
    <row r="174" spans="3:27" ht="10.5" customHeight="1">
      <c r="C174" s="416" t="s">
        <v>912</v>
      </c>
      <c r="D174" s="495">
        <v>42700</v>
      </c>
      <c r="E174" s="311"/>
      <c r="F174" s="311" t="s">
        <v>1399</v>
      </c>
      <c r="G174" s="429" t="s">
        <v>2573</v>
      </c>
      <c r="H174" s="429" t="s">
        <v>1257</v>
      </c>
      <c r="I174" s="673" t="s">
        <v>2574</v>
      </c>
      <c r="J174" s="673" t="s">
        <v>2700</v>
      </c>
      <c r="K174" s="681" t="s">
        <v>647</v>
      </c>
      <c r="L174" s="682" t="s">
        <v>437</v>
      </c>
      <c r="M174" s="684" t="s">
        <v>2687</v>
      </c>
      <c r="N174" s="674" t="s">
        <v>2153</v>
      </c>
      <c r="O174" s="605"/>
      <c r="P174" s="185"/>
      <c r="Q174" s="429"/>
      <c r="R174" s="575" t="s">
        <v>2075</v>
      </c>
      <c r="S174" s="575" t="s">
        <v>2252</v>
      </c>
      <c r="U174" s="480" t="s">
        <v>369</v>
      </c>
      <c r="V174" s="480" t="s">
        <v>3593</v>
      </c>
      <c r="X174" s="480"/>
      <c r="Y174" s="480"/>
      <c r="AA174" s="1331"/>
    </row>
    <row r="175" spans="3:27" ht="10.5" customHeight="1">
      <c r="C175" s="416" t="s">
        <v>2323</v>
      </c>
      <c r="D175" s="495">
        <v>39100</v>
      </c>
      <c r="E175" s="311"/>
      <c r="F175" s="311" t="s">
        <v>1400</v>
      </c>
      <c r="G175" s="429" t="s">
        <v>2575</v>
      </c>
      <c r="H175" s="429" t="s">
        <v>1257</v>
      </c>
      <c r="I175" s="673" t="s">
        <v>2615</v>
      </c>
      <c r="J175" s="673" t="s">
        <v>2700</v>
      </c>
      <c r="K175" s="681" t="s">
        <v>648</v>
      </c>
      <c r="L175" s="682" t="s">
        <v>437</v>
      </c>
      <c r="M175" s="684" t="s">
        <v>2687</v>
      </c>
      <c r="N175" s="674" t="s">
        <v>2184</v>
      </c>
      <c r="O175" s="605"/>
      <c r="P175" s="185"/>
      <c r="Q175" s="429"/>
      <c r="R175" s="575" t="s">
        <v>2154</v>
      </c>
      <c r="S175" s="575" t="s">
        <v>341</v>
      </c>
      <c r="U175" s="480" t="s">
        <v>2370</v>
      </c>
      <c r="V175" s="480" t="s">
        <v>3593</v>
      </c>
      <c r="X175" s="480"/>
      <c r="Y175" s="480"/>
      <c r="AA175" s="1331"/>
    </row>
    <row r="176" spans="3:27" ht="10.5" customHeight="1">
      <c r="C176" s="416" t="s">
        <v>680</v>
      </c>
      <c r="D176" s="495">
        <v>48100</v>
      </c>
      <c r="E176" s="311"/>
      <c r="F176" s="311" t="s">
        <v>1401</v>
      </c>
      <c r="G176" s="429" t="s">
        <v>2616</v>
      </c>
      <c r="H176" s="429" t="s">
        <v>1384</v>
      </c>
      <c r="I176" s="675" t="s">
        <v>796</v>
      </c>
      <c r="J176" s="675" t="s">
        <v>2701</v>
      </c>
      <c r="K176" s="681" t="s">
        <v>2686</v>
      </c>
      <c r="L176" s="682" t="s">
        <v>438</v>
      </c>
      <c r="M176" s="683" t="s">
        <v>1239</v>
      </c>
      <c r="N176" s="674" t="s">
        <v>2186</v>
      </c>
      <c r="O176" s="605"/>
      <c r="P176" s="185"/>
      <c r="Q176" s="429"/>
      <c r="R176" s="575" t="s">
        <v>2185</v>
      </c>
      <c r="S176" s="575" t="s">
        <v>652</v>
      </c>
      <c r="U176" s="480" t="s">
        <v>1381</v>
      </c>
      <c r="V176" s="480" t="s">
        <v>3593</v>
      </c>
      <c r="X176" s="480"/>
      <c r="Y176" s="480"/>
      <c r="AA176" s="1331"/>
    </row>
    <row r="177" spans="3:28" ht="10.5" customHeight="1">
      <c r="C177" s="416" t="s">
        <v>682</v>
      </c>
      <c r="D177" s="495">
        <v>44200</v>
      </c>
      <c r="E177" s="311"/>
      <c r="F177" s="311" t="s">
        <v>1402</v>
      </c>
      <c r="G177" s="429" t="s">
        <v>2617</v>
      </c>
      <c r="H177" s="429" t="s">
        <v>1257</v>
      </c>
      <c r="I177" s="673" t="s">
        <v>2618</v>
      </c>
      <c r="J177" s="673" t="s">
        <v>2700</v>
      </c>
      <c r="K177" s="681" t="s">
        <v>649</v>
      </c>
      <c r="L177" s="682" t="s">
        <v>437</v>
      </c>
      <c r="M177" s="684" t="s">
        <v>2687</v>
      </c>
      <c r="N177" s="674" t="s">
        <v>2188</v>
      </c>
      <c r="O177" s="605"/>
      <c r="P177" s="185"/>
      <c r="Q177" s="429"/>
      <c r="R177" s="575" t="s">
        <v>2187</v>
      </c>
      <c r="S177" s="575" t="s">
        <v>1692</v>
      </c>
      <c r="U177" s="480" t="s">
        <v>1617</v>
      </c>
      <c r="V177" s="480" t="s">
        <v>3593</v>
      </c>
      <c r="X177" s="480"/>
      <c r="Y177" s="480"/>
      <c r="AA177" s="1331"/>
    </row>
    <row r="178" spans="3:28" ht="10.5" customHeight="1">
      <c r="C178" s="416" t="s">
        <v>687</v>
      </c>
      <c r="D178" s="495">
        <v>46500</v>
      </c>
      <c r="E178" s="311"/>
      <c r="F178" s="311" t="s">
        <v>1403</v>
      </c>
      <c r="G178" s="429" t="s">
        <v>2619</v>
      </c>
      <c r="H178" s="429" t="s">
        <v>1384</v>
      </c>
      <c r="I178" s="675" t="s">
        <v>795</v>
      </c>
      <c r="J178" s="675" t="s">
        <v>2701</v>
      </c>
      <c r="K178" s="681" t="s">
        <v>2664</v>
      </c>
      <c r="L178" s="682" t="s">
        <v>438</v>
      </c>
      <c r="M178" s="683" t="s">
        <v>1239</v>
      </c>
      <c r="N178" s="674" t="s">
        <v>2190</v>
      </c>
      <c r="O178" s="605"/>
      <c r="P178" s="185"/>
      <c r="Q178" s="429"/>
      <c r="R178" s="575" t="s">
        <v>2189</v>
      </c>
      <c r="S178" s="575" t="s">
        <v>202</v>
      </c>
      <c r="U178" s="480" t="s">
        <v>1621</v>
      </c>
      <c r="V178" s="480" t="s">
        <v>3593</v>
      </c>
      <c r="X178" s="480"/>
      <c r="Y178" s="480"/>
      <c r="AA178" s="1331"/>
    </row>
    <row r="179" spans="3:28" ht="10.5" customHeight="1">
      <c r="C179" s="416" t="s">
        <v>1267</v>
      </c>
      <c r="D179" s="495">
        <v>60700</v>
      </c>
      <c r="E179" s="311"/>
      <c r="F179" s="311" t="s">
        <v>1404</v>
      </c>
      <c r="G179" s="429" t="s">
        <v>2620</v>
      </c>
      <c r="H179" s="429" t="s">
        <v>1384</v>
      </c>
      <c r="I179" s="675" t="s">
        <v>1369</v>
      </c>
      <c r="J179" s="675" t="s">
        <v>2701</v>
      </c>
      <c r="K179" s="681" t="s">
        <v>2667</v>
      </c>
      <c r="L179" s="682" t="s">
        <v>438</v>
      </c>
      <c r="M179" s="683" t="s">
        <v>1239</v>
      </c>
      <c r="N179" s="674" t="s">
        <v>2627</v>
      </c>
      <c r="O179" s="605"/>
      <c r="P179" s="185"/>
      <c r="Q179" s="429"/>
      <c r="R179" s="575" t="s">
        <v>1849</v>
      </c>
      <c r="S179" s="575" t="s">
        <v>124</v>
      </c>
      <c r="U179" s="480" t="s">
        <v>1811</v>
      </c>
      <c r="V179" s="480" t="s">
        <v>3593</v>
      </c>
      <c r="X179" s="480"/>
      <c r="Y179" s="480"/>
      <c r="AA179" s="1331"/>
    </row>
    <row r="180" spans="3:28" ht="10.5" customHeight="1">
      <c r="C180" s="416" t="s">
        <v>689</v>
      </c>
      <c r="D180" s="495">
        <v>45600</v>
      </c>
      <c r="E180" s="311"/>
      <c r="F180" s="311" t="s">
        <v>1405</v>
      </c>
      <c r="G180" s="429" t="s">
        <v>2621</v>
      </c>
      <c r="H180" s="429" t="s">
        <v>1257</v>
      </c>
      <c r="I180" s="673" t="s">
        <v>199</v>
      </c>
      <c r="J180" s="673" t="s">
        <v>2700</v>
      </c>
      <c r="K180" s="681" t="s">
        <v>650</v>
      </c>
      <c r="L180" s="682" t="s">
        <v>437</v>
      </c>
      <c r="M180" s="684" t="s">
        <v>2687</v>
      </c>
      <c r="N180" s="674" t="s">
        <v>1042</v>
      </c>
      <c r="O180" s="605"/>
      <c r="P180" s="185"/>
      <c r="Q180" s="429"/>
      <c r="R180" s="575" t="s">
        <v>2628</v>
      </c>
      <c r="S180" s="575" t="s">
        <v>169</v>
      </c>
      <c r="U180" s="480" t="s">
        <v>1059</v>
      </c>
      <c r="V180" s="480" t="s">
        <v>3593</v>
      </c>
      <c r="X180" s="480"/>
      <c r="Y180" s="480"/>
      <c r="AA180" s="1331"/>
    </row>
    <row r="181" spans="3:28" ht="10.5" customHeight="1">
      <c r="C181" s="416" t="s">
        <v>691</v>
      </c>
      <c r="D181" s="495">
        <v>51300</v>
      </c>
      <c r="E181" s="311"/>
      <c r="F181" s="311" t="s">
        <v>1406</v>
      </c>
      <c r="G181" s="429" t="s">
        <v>200</v>
      </c>
      <c r="H181" s="429" t="s">
        <v>1360</v>
      </c>
      <c r="I181" s="675" t="s">
        <v>1578</v>
      </c>
      <c r="J181" s="675" t="s">
        <v>2701</v>
      </c>
      <c r="K181" s="681" t="s">
        <v>1744</v>
      </c>
      <c r="L181" s="682" t="s">
        <v>438</v>
      </c>
      <c r="M181" s="683" t="s">
        <v>1239</v>
      </c>
      <c r="N181" s="674" t="s">
        <v>2078</v>
      </c>
      <c r="O181" s="605"/>
      <c r="P181" s="185"/>
      <c r="Q181" s="429"/>
      <c r="R181" s="575" t="s">
        <v>1043</v>
      </c>
      <c r="S181" s="575" t="s">
        <v>444</v>
      </c>
      <c r="U181" s="480" t="s">
        <v>1062</v>
      </c>
      <c r="V181" s="480" t="s">
        <v>3593</v>
      </c>
      <c r="X181" s="480"/>
      <c r="Y181" s="480"/>
      <c r="AA181" s="1331"/>
    </row>
    <row r="182" spans="3:28" ht="10.5" customHeight="1">
      <c r="C182" s="416" t="s">
        <v>694</v>
      </c>
      <c r="D182" s="495">
        <v>51300</v>
      </c>
      <c r="E182" s="311"/>
      <c r="F182" s="311" t="s">
        <v>1407</v>
      </c>
      <c r="G182" s="429" t="s">
        <v>201</v>
      </c>
      <c r="H182" s="429" t="s">
        <v>1360</v>
      </c>
      <c r="I182" s="675" t="s">
        <v>795</v>
      </c>
      <c r="J182" s="675" t="s">
        <v>2701</v>
      </c>
      <c r="K182" s="681" t="s">
        <v>2664</v>
      </c>
      <c r="L182" s="682" t="s">
        <v>438</v>
      </c>
      <c r="M182" s="683" t="s">
        <v>1239</v>
      </c>
      <c r="N182" s="674" t="s">
        <v>16</v>
      </c>
      <c r="O182" s="605"/>
      <c r="P182" s="185"/>
      <c r="Q182" s="429"/>
      <c r="R182" s="575" t="s">
        <v>1363</v>
      </c>
      <c r="S182" s="575" t="s">
        <v>341</v>
      </c>
      <c r="U182" s="480" t="s">
        <v>1824</v>
      </c>
      <c r="V182" s="480" t="s">
        <v>3593</v>
      </c>
      <c r="X182" s="480"/>
      <c r="Y182" s="480"/>
      <c r="AA182" s="1331"/>
    </row>
    <row r="183" spans="3:28" ht="10.5" customHeight="1">
      <c r="C183" s="416" t="s">
        <v>696</v>
      </c>
      <c r="D183" s="495">
        <v>41100</v>
      </c>
      <c r="E183" s="311"/>
      <c r="F183" s="311" t="s">
        <v>1408</v>
      </c>
      <c r="G183" s="429" t="s">
        <v>202</v>
      </c>
      <c r="H183" s="429" t="s">
        <v>1257</v>
      </c>
      <c r="I183" s="673" t="s">
        <v>203</v>
      </c>
      <c r="J183" s="673" t="s">
        <v>2700</v>
      </c>
      <c r="K183" s="681" t="s">
        <v>651</v>
      </c>
      <c r="L183" s="682" t="s">
        <v>437</v>
      </c>
      <c r="M183" s="684" t="s">
        <v>2687</v>
      </c>
      <c r="N183" s="674" t="s">
        <v>2315</v>
      </c>
      <c r="O183" s="605"/>
      <c r="P183" s="185"/>
      <c r="Q183" s="429"/>
      <c r="R183" s="575" t="s">
        <v>17</v>
      </c>
      <c r="S183" s="575" t="s">
        <v>1725</v>
      </c>
      <c r="U183" s="480" t="s">
        <v>2142</v>
      </c>
      <c r="V183" s="480" t="s">
        <v>3593</v>
      </c>
      <c r="X183" s="480"/>
      <c r="Y183" s="480"/>
      <c r="AA183" s="1331"/>
    </row>
    <row r="184" spans="3:28" ht="10.5" customHeight="1">
      <c r="C184" s="416" t="s">
        <v>698</v>
      </c>
      <c r="D184" s="495">
        <v>49600</v>
      </c>
      <c r="E184" s="311"/>
      <c r="F184" s="311" t="s">
        <v>1409</v>
      </c>
      <c r="G184" s="429" t="s">
        <v>204</v>
      </c>
      <c r="H184" s="429" t="s">
        <v>1384</v>
      </c>
      <c r="I184" s="675" t="s">
        <v>795</v>
      </c>
      <c r="J184" s="675" t="s">
        <v>2701</v>
      </c>
      <c r="K184" s="681" t="s">
        <v>2664</v>
      </c>
      <c r="L184" s="682" t="s">
        <v>438</v>
      </c>
      <c r="M184" s="683" t="s">
        <v>1239</v>
      </c>
      <c r="N184" s="674" t="s">
        <v>2317</v>
      </c>
      <c r="O184" s="605"/>
      <c r="P184" s="185"/>
      <c r="Q184" s="429"/>
      <c r="R184" s="575" t="s">
        <v>2316</v>
      </c>
      <c r="S184" s="575" t="s">
        <v>1256</v>
      </c>
      <c r="U184" s="480" t="s">
        <v>2144</v>
      </c>
      <c r="V184" s="480" t="s">
        <v>3593</v>
      </c>
      <c r="X184" s="480"/>
      <c r="Y184" s="480"/>
      <c r="AA184" s="1331"/>
    </row>
    <row r="185" spans="3:28" ht="10.5" customHeight="1">
      <c r="C185" s="416" t="s">
        <v>125</v>
      </c>
      <c r="D185" s="495">
        <v>52900</v>
      </c>
      <c r="E185" s="311"/>
      <c r="F185" s="311" t="s">
        <v>1410</v>
      </c>
      <c r="G185" s="429" t="s">
        <v>205</v>
      </c>
      <c r="H185" s="429" t="s">
        <v>1257</v>
      </c>
      <c r="I185" s="673" t="s">
        <v>986</v>
      </c>
      <c r="J185" s="673" t="s">
        <v>2700</v>
      </c>
      <c r="K185" s="681" t="s">
        <v>2033</v>
      </c>
      <c r="L185" s="682" t="s">
        <v>437</v>
      </c>
      <c r="M185" s="684" t="s">
        <v>2687</v>
      </c>
      <c r="N185" s="674" t="s">
        <v>2319</v>
      </c>
      <c r="O185" s="605"/>
      <c r="P185" s="185"/>
      <c r="Q185" s="429"/>
      <c r="R185" s="676" t="s">
        <v>2318</v>
      </c>
      <c r="S185" s="676" t="s">
        <v>2324</v>
      </c>
      <c r="U185" s="480" t="s">
        <v>702</v>
      </c>
      <c r="V185" s="480" t="s">
        <v>3593</v>
      </c>
      <c r="X185" s="480"/>
      <c r="Y185" s="480"/>
      <c r="AA185" s="1332"/>
    </row>
    <row r="186" spans="3:28" ht="10.5" customHeight="1">
      <c r="C186" s="416" t="s">
        <v>326</v>
      </c>
      <c r="D186" s="495">
        <v>35400</v>
      </c>
      <c r="E186" s="311"/>
      <c r="F186" s="311" t="s">
        <v>1411</v>
      </c>
      <c r="G186" s="429" t="s">
        <v>987</v>
      </c>
      <c r="H186" s="429" t="s">
        <v>1257</v>
      </c>
      <c r="I186" s="673" t="s">
        <v>988</v>
      </c>
      <c r="J186" s="673" t="s">
        <v>2700</v>
      </c>
      <c r="K186" s="681" t="s">
        <v>2034</v>
      </c>
      <c r="L186" s="682" t="s">
        <v>437</v>
      </c>
      <c r="M186" s="684" t="s">
        <v>2687</v>
      </c>
      <c r="N186" s="674" t="s">
        <v>2349</v>
      </c>
      <c r="O186" s="605"/>
      <c r="P186" s="185"/>
      <c r="Q186" s="429"/>
      <c r="R186" s="575" t="s">
        <v>2649</v>
      </c>
      <c r="S186" s="575" t="s">
        <v>652</v>
      </c>
      <c r="U186" s="480" t="s">
        <v>1294</v>
      </c>
      <c r="V186" s="480" t="s">
        <v>3593</v>
      </c>
      <c r="X186" s="480"/>
      <c r="Y186" s="480"/>
      <c r="AA186" s="1331"/>
    </row>
    <row r="187" spans="3:28" ht="10.5" customHeight="1">
      <c r="C187" s="416" t="s">
        <v>797</v>
      </c>
      <c r="D187" s="495">
        <v>47100</v>
      </c>
      <c r="E187" s="311"/>
      <c r="F187" s="311" t="s">
        <v>1412</v>
      </c>
      <c r="G187" s="429" t="s">
        <v>989</v>
      </c>
      <c r="H187" s="429" t="s">
        <v>1257</v>
      </c>
      <c r="I187" s="675" t="s">
        <v>1848</v>
      </c>
      <c r="J187" s="675" t="s">
        <v>2701</v>
      </c>
      <c r="K187" s="681" t="s">
        <v>1203</v>
      </c>
      <c r="L187" s="682" t="s">
        <v>438</v>
      </c>
      <c r="M187" s="684" t="s">
        <v>1239</v>
      </c>
      <c r="N187" s="674" t="s">
        <v>1839</v>
      </c>
      <c r="O187" s="605"/>
      <c r="P187" s="185"/>
      <c r="Q187" s="429"/>
      <c r="R187" s="575" t="s">
        <v>2320</v>
      </c>
      <c r="S187" s="575" t="s">
        <v>123</v>
      </c>
      <c r="U187" s="480" t="s">
        <v>1296</v>
      </c>
      <c r="V187" s="480" t="s">
        <v>3593</v>
      </c>
      <c r="X187" s="480"/>
      <c r="Y187" s="480"/>
      <c r="AA187" s="1331"/>
    </row>
    <row r="188" spans="3:28" ht="10.5" customHeight="1">
      <c r="C188" s="416" t="s">
        <v>330</v>
      </c>
      <c r="D188" s="495">
        <v>46600</v>
      </c>
      <c r="E188" s="311"/>
      <c r="F188" s="311" t="s">
        <v>1413</v>
      </c>
      <c r="G188" s="429" t="s">
        <v>906</v>
      </c>
      <c r="H188" s="429" t="s">
        <v>1384</v>
      </c>
      <c r="I188" s="675" t="s">
        <v>795</v>
      </c>
      <c r="J188" s="675" t="s">
        <v>2701</v>
      </c>
      <c r="K188" s="681" t="s">
        <v>2664</v>
      </c>
      <c r="L188" s="682" t="s">
        <v>438</v>
      </c>
      <c r="M188" s="683" t="s">
        <v>1239</v>
      </c>
      <c r="N188" s="674" t="s">
        <v>1841</v>
      </c>
      <c r="O188" s="605"/>
      <c r="P188" s="185"/>
      <c r="Q188" s="429"/>
      <c r="R188" s="575" t="s">
        <v>1815</v>
      </c>
      <c r="S188" s="575" t="s">
        <v>2575</v>
      </c>
      <c r="U188" s="480" t="s">
        <v>2569</v>
      </c>
      <c r="V188" s="480" t="s">
        <v>3593</v>
      </c>
      <c r="X188" s="480"/>
      <c r="Y188" s="480"/>
      <c r="AA188" s="1331"/>
    </row>
    <row r="189" spans="3:28" ht="10.5" customHeight="1">
      <c r="C189" s="416" t="s">
        <v>1075</v>
      </c>
      <c r="D189" s="495">
        <v>48700</v>
      </c>
      <c r="E189" s="311"/>
      <c r="F189" s="311" t="s">
        <v>1414</v>
      </c>
      <c r="G189" s="429" t="s">
        <v>907</v>
      </c>
      <c r="H189" s="429" t="s">
        <v>1257</v>
      </c>
      <c r="I189" s="673" t="s">
        <v>908</v>
      </c>
      <c r="J189" s="673" t="s">
        <v>2700</v>
      </c>
      <c r="K189" s="681" t="s">
        <v>2035</v>
      </c>
      <c r="L189" s="682" t="s">
        <v>437</v>
      </c>
      <c r="M189" s="684" t="s">
        <v>2687</v>
      </c>
      <c r="N189" s="674" t="s">
        <v>2236</v>
      </c>
      <c r="O189" s="605"/>
      <c r="P189" s="185"/>
      <c r="Q189" s="429"/>
      <c r="R189" s="575" t="s">
        <v>1840</v>
      </c>
      <c r="S189" s="575" t="s">
        <v>1362</v>
      </c>
      <c r="U189" s="480" t="s">
        <v>2579</v>
      </c>
      <c r="V189" s="480" t="s">
        <v>3593</v>
      </c>
      <c r="X189" s="480"/>
      <c r="Y189" s="480"/>
      <c r="AA189" s="1331"/>
    </row>
    <row r="190" spans="3:28" ht="10.5" customHeight="1">
      <c r="C190" s="416" t="s">
        <v>335</v>
      </c>
      <c r="D190" s="495">
        <v>50800</v>
      </c>
      <c r="E190" s="311"/>
      <c r="F190" s="311" t="s">
        <v>1415</v>
      </c>
      <c r="G190" s="429" t="s">
        <v>909</v>
      </c>
      <c r="H190" s="429" t="s">
        <v>1257</v>
      </c>
      <c r="I190" s="673" t="s">
        <v>1760</v>
      </c>
      <c r="J190" s="673" t="s">
        <v>2701</v>
      </c>
      <c r="K190" s="681" t="s">
        <v>2670</v>
      </c>
      <c r="L190" s="682" t="s">
        <v>438</v>
      </c>
      <c r="M190" s="683" t="s">
        <v>1239</v>
      </c>
      <c r="N190" s="674" t="s">
        <v>2237</v>
      </c>
      <c r="O190" s="605"/>
      <c r="P190" s="185"/>
      <c r="Q190" s="429"/>
      <c r="R190" s="575" t="s">
        <v>1842</v>
      </c>
      <c r="S190" s="575" t="s">
        <v>2084</v>
      </c>
      <c r="U190" s="480" t="s">
        <v>89</v>
      </c>
      <c r="V190" s="480" t="s">
        <v>3593</v>
      </c>
      <c r="X190" s="480"/>
      <c r="Y190" s="480"/>
      <c r="AA190" s="1331"/>
    </row>
    <row r="191" spans="3:28" ht="10.5" customHeight="1">
      <c r="C191" s="415" t="s">
        <v>337</v>
      </c>
      <c r="D191" s="495">
        <v>62300</v>
      </c>
      <c r="E191" s="311"/>
      <c r="F191" s="311" t="s">
        <v>1416</v>
      </c>
      <c r="G191" s="429" t="s">
        <v>910</v>
      </c>
      <c r="H191" s="429" t="s">
        <v>1257</v>
      </c>
      <c r="I191" s="675" t="s">
        <v>1375</v>
      </c>
      <c r="J191" s="675" t="s">
        <v>2701</v>
      </c>
      <c r="K191" s="681" t="s">
        <v>1519</v>
      </c>
      <c r="L191" s="682" t="s">
        <v>438</v>
      </c>
      <c r="M191" s="683" t="s">
        <v>1239</v>
      </c>
      <c r="N191" s="674" t="s">
        <v>2529</v>
      </c>
      <c r="O191" s="321"/>
      <c r="P191" s="185"/>
      <c r="Q191" s="429"/>
      <c r="R191" s="575" t="s">
        <v>857</v>
      </c>
      <c r="S191" s="575" t="s">
        <v>2676</v>
      </c>
      <c r="U191" s="480" t="s">
        <v>1280</v>
      </c>
      <c r="V191" s="480" t="s">
        <v>3593</v>
      </c>
      <c r="X191" s="480"/>
      <c r="Y191" s="480"/>
      <c r="AA191" s="1331"/>
      <c r="AB191" s="1331"/>
    </row>
    <row r="192" spans="3:28" ht="10.5" customHeight="1">
      <c r="C192" s="416" t="s">
        <v>340</v>
      </c>
      <c r="D192" s="495">
        <v>44800</v>
      </c>
      <c r="E192" s="311"/>
      <c r="F192" s="677"/>
      <c r="G192" s="429" t="s">
        <v>911</v>
      </c>
      <c r="H192" s="429" t="s">
        <v>1384</v>
      </c>
      <c r="I192" s="673" t="s">
        <v>912</v>
      </c>
      <c r="J192" s="673" t="s">
        <v>2700</v>
      </c>
      <c r="K192" s="681" t="s">
        <v>1385</v>
      </c>
      <c r="L192" s="682" t="s">
        <v>437</v>
      </c>
      <c r="M192" s="684" t="s">
        <v>2687</v>
      </c>
      <c r="N192" s="674" t="s">
        <v>2531</v>
      </c>
      <c r="O192" s="321"/>
      <c r="P192" s="185"/>
      <c r="Q192" s="429"/>
      <c r="R192" s="575" t="s">
        <v>2238</v>
      </c>
      <c r="S192" s="575" t="s">
        <v>2678</v>
      </c>
      <c r="U192" s="480" t="s">
        <v>166</v>
      </c>
      <c r="V192" s="480" t="s">
        <v>3593</v>
      </c>
      <c r="X192" s="480"/>
      <c r="Y192" s="480"/>
      <c r="AA192" s="1331"/>
    </row>
    <row r="193" spans="3:28" ht="10.5" customHeight="1">
      <c r="C193" s="415" t="s">
        <v>342</v>
      </c>
      <c r="D193" s="495">
        <v>36900</v>
      </c>
      <c r="E193" s="311"/>
      <c r="F193" s="677"/>
      <c r="G193" s="429" t="s">
        <v>2322</v>
      </c>
      <c r="H193" s="429" t="s">
        <v>1257</v>
      </c>
      <c r="I193" s="673" t="s">
        <v>2323</v>
      </c>
      <c r="J193" s="673" t="s">
        <v>2700</v>
      </c>
      <c r="K193" s="681" t="s">
        <v>1386</v>
      </c>
      <c r="L193" s="682" t="s">
        <v>437</v>
      </c>
      <c r="M193" s="684" t="s">
        <v>2687</v>
      </c>
      <c r="N193" s="674" t="s">
        <v>2533</v>
      </c>
      <c r="O193" s="321"/>
      <c r="P193" s="185"/>
      <c r="Q193" s="429"/>
      <c r="R193" s="676" t="s">
        <v>2530</v>
      </c>
      <c r="S193" s="676" t="s">
        <v>1132</v>
      </c>
      <c r="U193" s="480" t="s">
        <v>928</v>
      </c>
      <c r="V193" s="480" t="s">
        <v>3593</v>
      </c>
      <c r="X193" s="480"/>
      <c r="Y193" s="480"/>
      <c r="AA193" s="1332"/>
    </row>
    <row r="194" spans="3:28" ht="10.5" customHeight="1">
      <c r="C194" s="416" t="s">
        <v>344</v>
      </c>
      <c r="D194" s="495">
        <v>34100</v>
      </c>
      <c r="E194" s="311"/>
      <c r="F194" s="677"/>
      <c r="G194" s="429" t="s">
        <v>2324</v>
      </c>
      <c r="H194" s="429" t="s">
        <v>1257</v>
      </c>
      <c r="I194" s="673" t="s">
        <v>680</v>
      </c>
      <c r="J194" s="673" t="s">
        <v>2700</v>
      </c>
      <c r="K194" s="681" t="s">
        <v>1387</v>
      </c>
      <c r="L194" s="682" t="s">
        <v>437</v>
      </c>
      <c r="M194" s="684" t="s">
        <v>2687</v>
      </c>
      <c r="N194" s="674" t="s">
        <v>2535</v>
      </c>
      <c r="O194" s="321"/>
      <c r="P194" s="185"/>
      <c r="Q194" s="429"/>
      <c r="R194" s="575" t="s">
        <v>2650</v>
      </c>
      <c r="S194" s="575" t="s">
        <v>332</v>
      </c>
      <c r="U194" s="480" t="s">
        <v>2218</v>
      </c>
      <c r="V194" s="480" t="s">
        <v>3593</v>
      </c>
      <c r="X194" s="480"/>
      <c r="Y194" s="480"/>
      <c r="AA194" s="1331"/>
      <c r="AB194" s="1335"/>
    </row>
    <row r="195" spans="3:28" ht="10.5" customHeight="1">
      <c r="C195" s="416" t="s">
        <v>346</v>
      </c>
      <c r="D195" s="495">
        <v>43400</v>
      </c>
      <c r="E195" s="311"/>
      <c r="F195" s="677"/>
      <c r="G195" s="429" t="s">
        <v>681</v>
      </c>
      <c r="H195" s="429" t="s">
        <v>1360</v>
      </c>
      <c r="I195" s="673" t="s">
        <v>682</v>
      </c>
      <c r="J195" s="673" t="s">
        <v>2700</v>
      </c>
      <c r="K195" s="681" t="s">
        <v>1388</v>
      </c>
      <c r="L195" s="682" t="s">
        <v>437</v>
      </c>
      <c r="M195" s="684" t="s">
        <v>2687</v>
      </c>
      <c r="N195" s="674" t="s">
        <v>2536</v>
      </c>
      <c r="O195" s="321"/>
      <c r="P195" s="185"/>
      <c r="Q195" s="429"/>
      <c r="R195" s="575" t="s">
        <v>2532</v>
      </c>
      <c r="S195" s="575" t="s">
        <v>1994</v>
      </c>
      <c r="U195" s="480" t="s">
        <v>2136</v>
      </c>
      <c r="V195" s="480" t="s">
        <v>3593</v>
      </c>
      <c r="X195" s="480"/>
      <c r="Y195" s="480"/>
      <c r="AA195" s="1331"/>
    </row>
    <row r="196" spans="3:28" ht="10.5" customHeight="1">
      <c r="C196" s="416" t="s">
        <v>798</v>
      </c>
      <c r="D196" s="495">
        <v>48400</v>
      </c>
      <c r="E196" s="311"/>
      <c r="F196" s="677"/>
      <c r="G196" s="429" t="s">
        <v>683</v>
      </c>
      <c r="H196" s="429" t="s">
        <v>1384</v>
      </c>
      <c r="I196" s="675" t="s">
        <v>795</v>
      </c>
      <c r="J196" s="675" t="s">
        <v>2701</v>
      </c>
      <c r="K196" s="681" t="s">
        <v>2664</v>
      </c>
      <c r="L196" s="682" t="s">
        <v>438</v>
      </c>
      <c r="M196" s="683" t="s">
        <v>1239</v>
      </c>
      <c r="N196" s="674" t="s">
        <v>2309</v>
      </c>
      <c r="O196" s="321"/>
      <c r="P196" s="185"/>
      <c r="Q196" s="429"/>
      <c r="R196" s="575" t="s">
        <v>2534</v>
      </c>
      <c r="S196" s="575" t="s">
        <v>907</v>
      </c>
      <c r="U196" s="480" t="s">
        <v>623</v>
      </c>
      <c r="V196" s="480" t="s">
        <v>3593</v>
      </c>
      <c r="X196" s="480"/>
      <c r="Y196" s="480"/>
      <c r="AA196" s="1331"/>
    </row>
    <row r="197" spans="3:28" ht="10.5" customHeight="1">
      <c r="C197" s="416" t="s">
        <v>1510</v>
      </c>
      <c r="D197" s="495">
        <v>47300</v>
      </c>
      <c r="E197" s="311"/>
      <c r="F197" s="677"/>
      <c r="G197" s="429" t="s">
        <v>684</v>
      </c>
      <c r="H197" s="429" t="s">
        <v>1360</v>
      </c>
      <c r="I197" s="675" t="s">
        <v>2348</v>
      </c>
      <c r="J197" s="675" t="s">
        <v>2701</v>
      </c>
      <c r="K197" s="681" t="s">
        <v>1389</v>
      </c>
      <c r="L197" s="682" t="s">
        <v>438</v>
      </c>
      <c r="M197" s="684" t="s">
        <v>1239</v>
      </c>
      <c r="N197" s="674" t="s">
        <v>736</v>
      </c>
      <c r="O197" s="321"/>
      <c r="P197" s="185"/>
      <c r="Q197" s="429"/>
      <c r="R197" s="575" t="s">
        <v>2537</v>
      </c>
      <c r="S197" s="575" t="s">
        <v>164</v>
      </c>
      <c r="U197" s="480" t="s">
        <v>625</v>
      </c>
      <c r="V197" s="480" t="s">
        <v>3593</v>
      </c>
      <c r="X197" s="480"/>
      <c r="Y197" s="480"/>
      <c r="AA197" s="1331"/>
    </row>
    <row r="198" spans="3:28" ht="10.5" customHeight="1">
      <c r="C198" s="416" t="s">
        <v>1514</v>
      </c>
      <c r="D198" s="495">
        <v>45900</v>
      </c>
      <c r="E198" s="311"/>
      <c r="F198" s="677"/>
      <c r="G198" s="429" t="s">
        <v>685</v>
      </c>
      <c r="H198" s="429" t="s">
        <v>1360</v>
      </c>
      <c r="I198" s="675" t="s">
        <v>795</v>
      </c>
      <c r="J198" s="675" t="s">
        <v>2701</v>
      </c>
      <c r="K198" s="681" t="s">
        <v>2664</v>
      </c>
      <c r="L198" s="682" t="s">
        <v>438</v>
      </c>
      <c r="M198" s="683" t="s">
        <v>1239</v>
      </c>
      <c r="N198" s="674" t="s">
        <v>738</v>
      </c>
      <c r="O198" s="321"/>
      <c r="P198" s="185"/>
      <c r="Q198" s="429"/>
      <c r="R198" s="575" t="s">
        <v>2310</v>
      </c>
      <c r="S198" s="575" t="s">
        <v>681</v>
      </c>
      <c r="U198" s="480" t="s">
        <v>2620</v>
      </c>
      <c r="V198" s="480" t="s">
        <v>3593</v>
      </c>
      <c r="X198" s="480"/>
      <c r="Y198" s="480"/>
      <c r="AA198" s="1331"/>
    </row>
    <row r="199" spans="3:28" ht="10.5" customHeight="1">
      <c r="C199" s="416" t="s">
        <v>1516</v>
      </c>
      <c r="D199" s="495">
        <v>51000</v>
      </c>
      <c r="E199" s="311"/>
      <c r="F199" s="677"/>
      <c r="G199" s="429" t="s">
        <v>686</v>
      </c>
      <c r="H199" s="429" t="s">
        <v>1360</v>
      </c>
      <c r="I199" s="675" t="s">
        <v>687</v>
      </c>
      <c r="J199" s="675" t="s">
        <v>2700</v>
      </c>
      <c r="K199" s="681" t="s">
        <v>1390</v>
      </c>
      <c r="L199" s="682" t="s">
        <v>437</v>
      </c>
      <c r="M199" s="684" t="s">
        <v>2687</v>
      </c>
      <c r="N199" s="674" t="s">
        <v>740</v>
      </c>
      <c r="O199" s="321"/>
      <c r="P199" s="185"/>
      <c r="Q199" s="429"/>
      <c r="R199" s="575" t="s">
        <v>737</v>
      </c>
      <c r="S199" s="575" t="s">
        <v>2567</v>
      </c>
      <c r="U199" s="480" t="s">
        <v>629</v>
      </c>
      <c r="V199" s="480" t="s">
        <v>3593</v>
      </c>
      <c r="X199" s="480"/>
      <c r="Y199" s="480"/>
      <c r="AA199" s="1331"/>
    </row>
    <row r="200" spans="3:28" ht="10.5" customHeight="1">
      <c r="C200" s="416" t="s">
        <v>182</v>
      </c>
      <c r="D200" s="495">
        <v>57700</v>
      </c>
      <c r="E200" s="311"/>
      <c r="F200" s="677"/>
      <c r="G200" s="429" t="s">
        <v>1252</v>
      </c>
      <c r="H200" s="429" t="s">
        <v>1384</v>
      </c>
      <c r="I200" s="675" t="s">
        <v>795</v>
      </c>
      <c r="J200" s="675" t="s">
        <v>2701</v>
      </c>
      <c r="K200" s="681" t="s">
        <v>2664</v>
      </c>
      <c r="L200" s="682" t="s">
        <v>438</v>
      </c>
      <c r="M200" s="683" t="s">
        <v>1239</v>
      </c>
      <c r="N200" s="674" t="s">
        <v>742</v>
      </c>
      <c r="O200" s="321"/>
      <c r="P200" s="185"/>
      <c r="Q200" s="429"/>
      <c r="R200" s="575" t="s">
        <v>739</v>
      </c>
      <c r="S200" s="575" t="s">
        <v>1147</v>
      </c>
      <c r="U200" s="480" t="s">
        <v>565</v>
      </c>
      <c r="V200" s="480" t="s">
        <v>3593</v>
      </c>
      <c r="X200" s="480"/>
      <c r="Y200" s="480"/>
      <c r="AA200" s="1331"/>
    </row>
    <row r="201" spans="3:28" ht="10.5" customHeight="1">
      <c r="C201" s="416" t="s">
        <v>1369</v>
      </c>
      <c r="D201" s="495">
        <v>38800</v>
      </c>
      <c r="E201" s="311"/>
      <c r="F201" s="677"/>
      <c r="G201" s="429" t="s">
        <v>688</v>
      </c>
      <c r="H201" s="429" t="s">
        <v>1360</v>
      </c>
      <c r="I201" s="673" t="s">
        <v>689</v>
      </c>
      <c r="J201" s="673" t="s">
        <v>2700</v>
      </c>
      <c r="K201" s="681" t="s">
        <v>250</v>
      </c>
      <c r="L201" s="682" t="s">
        <v>437</v>
      </c>
      <c r="M201" s="684" t="s">
        <v>2687</v>
      </c>
      <c r="N201" s="674" t="s">
        <v>2301</v>
      </c>
      <c r="O201" s="321"/>
      <c r="P201" s="185"/>
      <c r="Q201" s="429"/>
      <c r="R201" s="676" t="s">
        <v>741</v>
      </c>
      <c r="S201" s="676" t="s">
        <v>2678</v>
      </c>
      <c r="U201" s="480" t="s">
        <v>776</v>
      </c>
      <c r="V201" s="480" t="s">
        <v>3593</v>
      </c>
      <c r="X201" s="480"/>
      <c r="Y201" s="480"/>
      <c r="AA201" s="1332"/>
    </row>
    <row r="202" spans="3:28" ht="10.5" customHeight="1">
      <c r="C202" s="416" t="s">
        <v>183</v>
      </c>
      <c r="D202" s="495">
        <v>52700</v>
      </c>
      <c r="E202" s="311"/>
      <c r="F202" s="677"/>
      <c r="G202" s="429" t="s">
        <v>690</v>
      </c>
      <c r="H202" s="429" t="s">
        <v>1384</v>
      </c>
      <c r="I202" s="675" t="s">
        <v>691</v>
      </c>
      <c r="J202" s="675" t="s">
        <v>2700</v>
      </c>
      <c r="K202" s="681" t="s">
        <v>251</v>
      </c>
      <c r="L202" s="682" t="s">
        <v>437</v>
      </c>
      <c r="M202" s="684" t="s">
        <v>2687</v>
      </c>
      <c r="N202" s="674" t="s">
        <v>2302</v>
      </c>
      <c r="O202" s="321"/>
      <c r="P202" s="185"/>
      <c r="Q202" s="429"/>
      <c r="R202" s="575" t="s">
        <v>2651</v>
      </c>
      <c r="S202" s="575" t="s">
        <v>2569</v>
      </c>
      <c r="U202" s="480" t="s">
        <v>39</v>
      </c>
      <c r="V202" s="480" t="s">
        <v>3593</v>
      </c>
      <c r="X202" s="480"/>
      <c r="Y202" s="480"/>
      <c r="AA202" s="1331"/>
    </row>
    <row r="203" spans="3:28" ht="10.5" customHeight="1">
      <c r="C203" s="416" t="s">
        <v>800</v>
      </c>
      <c r="D203" s="495">
        <v>48000</v>
      </c>
      <c r="E203" s="311"/>
      <c r="F203" s="677"/>
      <c r="G203" s="429" t="s">
        <v>692</v>
      </c>
      <c r="H203" s="429" t="s">
        <v>1257</v>
      </c>
      <c r="I203" s="673" t="s">
        <v>12</v>
      </c>
      <c r="J203" s="673" t="s">
        <v>2701</v>
      </c>
      <c r="K203" s="681" t="s">
        <v>2669</v>
      </c>
      <c r="L203" s="682" t="s">
        <v>438</v>
      </c>
      <c r="M203" s="684" t="s">
        <v>1239</v>
      </c>
      <c r="N203" s="674" t="s">
        <v>2304</v>
      </c>
      <c r="O203" s="321"/>
      <c r="P203" s="185"/>
      <c r="Q203" s="429"/>
      <c r="R203" s="575" t="s">
        <v>2303</v>
      </c>
      <c r="S203" s="575" t="s">
        <v>1725</v>
      </c>
      <c r="U203" s="480" t="s">
        <v>2042</v>
      </c>
      <c r="V203" s="480" t="s">
        <v>3593</v>
      </c>
      <c r="X203" s="480"/>
      <c r="Y203" s="480"/>
      <c r="AA203" s="1331"/>
    </row>
    <row r="204" spans="3:28" ht="10.5" customHeight="1">
      <c r="C204" s="416" t="s">
        <v>1691</v>
      </c>
      <c r="D204" s="495">
        <v>44100</v>
      </c>
      <c r="E204" s="311"/>
      <c r="F204" s="677"/>
      <c r="G204" s="429" t="s">
        <v>693</v>
      </c>
      <c r="H204" s="429" t="s">
        <v>1360</v>
      </c>
      <c r="I204" s="673" t="s">
        <v>694</v>
      </c>
      <c r="J204" s="673" t="s">
        <v>2700</v>
      </c>
      <c r="K204" s="681" t="s">
        <v>252</v>
      </c>
      <c r="L204" s="682" t="s">
        <v>437</v>
      </c>
      <c r="M204" s="684" t="s">
        <v>2687</v>
      </c>
      <c r="N204" s="674" t="s">
        <v>710</v>
      </c>
      <c r="O204" s="321"/>
      <c r="P204" s="185"/>
      <c r="Q204" s="429"/>
      <c r="R204" s="575" t="s">
        <v>2305</v>
      </c>
      <c r="S204" s="575" t="s">
        <v>2672</v>
      </c>
      <c r="U204" s="480" t="s">
        <v>348</v>
      </c>
      <c r="V204" s="480" t="s">
        <v>3593</v>
      </c>
      <c r="X204" s="480"/>
      <c r="Y204" s="480"/>
      <c r="AA204" s="1331"/>
    </row>
    <row r="205" spans="3:28" ht="10.5" customHeight="1">
      <c r="C205" s="416" t="s">
        <v>1693</v>
      </c>
      <c r="D205" s="495">
        <v>45400</v>
      </c>
      <c r="E205" s="311"/>
      <c r="F205" s="677"/>
      <c r="G205" s="429" t="s">
        <v>695</v>
      </c>
      <c r="H205" s="429" t="s">
        <v>1257</v>
      </c>
      <c r="I205" s="673" t="s">
        <v>696</v>
      </c>
      <c r="J205" s="673" t="s">
        <v>2700</v>
      </c>
      <c r="K205" s="681" t="s">
        <v>417</v>
      </c>
      <c r="L205" s="682" t="s">
        <v>437</v>
      </c>
      <c r="M205" s="684" t="s">
        <v>2687</v>
      </c>
      <c r="N205" s="674" t="s">
        <v>821</v>
      </c>
      <c r="O205" s="321"/>
      <c r="P205" s="185"/>
      <c r="Q205" s="429"/>
      <c r="R205" s="575" t="s">
        <v>711</v>
      </c>
      <c r="S205" s="575" t="s">
        <v>763</v>
      </c>
      <c r="U205" s="480" t="s">
        <v>356</v>
      </c>
      <c r="V205" s="480" t="s">
        <v>3593</v>
      </c>
      <c r="X205" s="480"/>
      <c r="Y205" s="480"/>
      <c r="AA205" s="1331"/>
    </row>
    <row r="206" spans="3:28" ht="10.5" customHeight="1">
      <c r="C206" s="416" t="s">
        <v>2120</v>
      </c>
      <c r="D206" s="495">
        <v>61400</v>
      </c>
      <c r="E206" s="311"/>
      <c r="F206" s="677"/>
      <c r="G206" s="429" t="s">
        <v>697</v>
      </c>
      <c r="H206" s="429" t="s">
        <v>1384</v>
      </c>
      <c r="I206" s="673" t="s">
        <v>698</v>
      </c>
      <c r="J206" s="673" t="s">
        <v>2700</v>
      </c>
      <c r="K206" s="681" t="s">
        <v>418</v>
      </c>
      <c r="L206" s="682" t="s">
        <v>437</v>
      </c>
      <c r="M206" s="684" t="s">
        <v>2687</v>
      </c>
      <c r="N206" s="674" t="s">
        <v>2351</v>
      </c>
      <c r="O206" s="321"/>
      <c r="P206" s="185"/>
      <c r="Q206" s="429"/>
      <c r="R206" s="575" t="s">
        <v>2350</v>
      </c>
      <c r="S206" s="575" t="s">
        <v>329</v>
      </c>
      <c r="U206" s="480" t="s">
        <v>201</v>
      </c>
      <c r="V206" s="480" t="s">
        <v>3593</v>
      </c>
      <c r="X206" s="480"/>
      <c r="Y206" s="480"/>
      <c r="AA206" s="1331"/>
    </row>
    <row r="207" spans="3:28" ht="10.5" customHeight="1">
      <c r="C207" s="416" t="s">
        <v>190</v>
      </c>
      <c r="D207" s="495">
        <v>45500</v>
      </c>
      <c r="E207" s="311"/>
      <c r="F207" s="677"/>
      <c r="G207" s="429" t="s">
        <v>123</v>
      </c>
      <c r="H207" s="429" t="s">
        <v>1384</v>
      </c>
      <c r="I207" s="675" t="s">
        <v>795</v>
      </c>
      <c r="J207" s="675" t="s">
        <v>2701</v>
      </c>
      <c r="K207" s="681" t="s">
        <v>2664</v>
      </c>
      <c r="L207" s="682" t="s">
        <v>438</v>
      </c>
      <c r="M207" s="683" t="s">
        <v>1239</v>
      </c>
      <c r="N207" s="674" t="s">
        <v>2380</v>
      </c>
      <c r="O207" s="321"/>
      <c r="P207" s="185"/>
      <c r="Q207" s="429"/>
      <c r="R207" s="575" t="s">
        <v>2412</v>
      </c>
      <c r="S207" s="575" t="s">
        <v>911</v>
      </c>
      <c r="U207" s="480" t="s">
        <v>2233</v>
      </c>
      <c r="V207" s="480" t="s">
        <v>3593</v>
      </c>
      <c r="X207" s="480"/>
      <c r="Y207" s="480"/>
      <c r="AA207" s="1331"/>
    </row>
    <row r="208" spans="3:28" ht="10.5" customHeight="1">
      <c r="C208" s="415" t="s">
        <v>2673</v>
      </c>
      <c r="D208" s="495">
        <v>56600</v>
      </c>
      <c r="E208" s="311"/>
      <c r="F208" s="677"/>
      <c r="G208" s="429" t="s">
        <v>124</v>
      </c>
      <c r="H208" s="429" t="s">
        <v>1360</v>
      </c>
      <c r="I208" s="673" t="s">
        <v>125</v>
      </c>
      <c r="J208" s="673" t="s">
        <v>2700</v>
      </c>
      <c r="K208" s="681" t="s">
        <v>419</v>
      </c>
      <c r="L208" s="682" t="s">
        <v>437</v>
      </c>
      <c r="M208" s="684" t="s">
        <v>2687</v>
      </c>
      <c r="N208" s="674" t="s">
        <v>47</v>
      </c>
      <c r="O208" s="321"/>
      <c r="P208" s="185"/>
      <c r="Q208" s="429"/>
      <c r="R208" s="575" t="s">
        <v>48</v>
      </c>
      <c r="S208" s="575" t="s">
        <v>336</v>
      </c>
      <c r="U208" s="480" t="s">
        <v>202</v>
      </c>
      <c r="V208" s="480" t="s">
        <v>3593</v>
      </c>
      <c r="X208" s="480"/>
      <c r="Y208" s="480"/>
      <c r="AA208" s="1334"/>
    </row>
    <row r="209" spans="3:27" ht="10.5" customHeight="1">
      <c r="C209" s="416" t="s">
        <v>2675</v>
      </c>
      <c r="D209" s="495">
        <v>46400</v>
      </c>
      <c r="E209" s="311"/>
      <c r="F209" s="677"/>
      <c r="G209" s="429" t="s">
        <v>324</v>
      </c>
      <c r="H209" s="429" t="s">
        <v>1360</v>
      </c>
      <c r="I209" s="673" t="s">
        <v>1267</v>
      </c>
      <c r="J209" s="673" t="s">
        <v>2701</v>
      </c>
      <c r="K209" s="681" t="s">
        <v>420</v>
      </c>
      <c r="L209" s="682" t="s">
        <v>438</v>
      </c>
      <c r="M209" s="684" t="s">
        <v>1239</v>
      </c>
      <c r="N209" s="674" t="s">
        <v>657</v>
      </c>
      <c r="O209" s="321"/>
      <c r="P209" s="185"/>
      <c r="Q209" s="429"/>
      <c r="R209" s="575" t="s">
        <v>658</v>
      </c>
      <c r="S209" s="575" t="s">
        <v>2680</v>
      </c>
      <c r="U209" s="480" t="s">
        <v>396</v>
      </c>
      <c r="V209" s="480" t="s">
        <v>3593</v>
      </c>
      <c r="X209" s="480"/>
      <c r="Y209" s="480"/>
      <c r="AA209" s="1331"/>
    </row>
    <row r="210" spans="3:27" ht="10.5" customHeight="1">
      <c r="C210" s="416" t="s">
        <v>1130</v>
      </c>
      <c r="D210" s="495">
        <v>54100</v>
      </c>
      <c r="E210" s="311"/>
      <c r="F210" s="677"/>
      <c r="G210" s="434" t="s">
        <v>325</v>
      </c>
      <c r="H210" s="429" t="s">
        <v>1384</v>
      </c>
      <c r="I210" s="673" t="s">
        <v>326</v>
      </c>
      <c r="J210" s="673" t="s">
        <v>2700</v>
      </c>
      <c r="K210" s="681" t="s">
        <v>421</v>
      </c>
      <c r="L210" s="682" t="s">
        <v>437</v>
      </c>
      <c r="M210" s="684" t="s">
        <v>2687</v>
      </c>
      <c r="N210" s="674" t="s">
        <v>317</v>
      </c>
      <c r="O210" s="321"/>
      <c r="P210" s="185"/>
      <c r="Q210" s="429"/>
      <c r="R210" s="575" t="s">
        <v>318</v>
      </c>
      <c r="S210" s="575" t="s">
        <v>327</v>
      </c>
      <c r="U210" s="480" t="s">
        <v>906</v>
      </c>
      <c r="V210" s="480" t="s">
        <v>3593</v>
      </c>
      <c r="X210" s="480"/>
      <c r="Y210" s="480"/>
      <c r="AA210" s="1331"/>
    </row>
    <row r="211" spans="3:27" ht="10.5" customHeight="1">
      <c r="C211" s="416" t="s">
        <v>1133</v>
      </c>
      <c r="D211" s="495">
        <v>49900</v>
      </c>
      <c r="E211" s="311"/>
      <c r="F211" s="677"/>
      <c r="G211" s="429" t="s">
        <v>327</v>
      </c>
      <c r="H211" s="429" t="s">
        <v>1360</v>
      </c>
      <c r="I211" s="675" t="s">
        <v>797</v>
      </c>
      <c r="J211" s="675" t="s">
        <v>2701</v>
      </c>
      <c r="K211" s="681" t="s">
        <v>422</v>
      </c>
      <c r="L211" s="682" t="s">
        <v>438</v>
      </c>
      <c r="M211" s="683" t="s">
        <v>1239</v>
      </c>
      <c r="N211" s="674" t="s">
        <v>2452</v>
      </c>
      <c r="O211" s="321"/>
      <c r="P211" s="185"/>
      <c r="Q211" s="429"/>
      <c r="R211" s="575" t="s">
        <v>2453</v>
      </c>
      <c r="S211" s="575" t="s">
        <v>202</v>
      </c>
      <c r="U211" s="480" t="s">
        <v>1998</v>
      </c>
      <c r="V211" s="480" t="s">
        <v>3593</v>
      </c>
      <c r="X211" s="480"/>
      <c r="Y211" s="480"/>
      <c r="AA211" s="1331"/>
    </row>
    <row r="212" spans="3:27" ht="10.5" customHeight="1">
      <c r="C212" s="416" t="s">
        <v>1136</v>
      </c>
      <c r="D212" s="495">
        <v>50600</v>
      </c>
      <c r="E212" s="311"/>
      <c r="F212" s="677"/>
      <c r="G212" s="429" t="s">
        <v>328</v>
      </c>
      <c r="H212" s="429" t="s">
        <v>1384</v>
      </c>
      <c r="I212" s="675" t="s">
        <v>166</v>
      </c>
      <c r="J212" s="675" t="s">
        <v>2701</v>
      </c>
      <c r="K212" s="681" t="s">
        <v>1746</v>
      </c>
      <c r="L212" s="682" t="s">
        <v>438</v>
      </c>
      <c r="M212" s="683" t="s">
        <v>1239</v>
      </c>
      <c r="N212" s="674" t="s">
        <v>2477</v>
      </c>
      <c r="O212" s="321"/>
      <c r="P212" s="185"/>
      <c r="Q212" s="429"/>
      <c r="R212" s="575" t="s">
        <v>2478</v>
      </c>
      <c r="S212" s="575" t="s">
        <v>1724</v>
      </c>
      <c r="U212" s="480" t="s">
        <v>2002</v>
      </c>
      <c r="V212" s="480" t="s">
        <v>3593</v>
      </c>
      <c r="X212" s="480"/>
      <c r="Y212" s="480"/>
      <c r="AA212" s="1331"/>
    </row>
    <row r="213" spans="3:27" ht="10.5" customHeight="1">
      <c r="C213" s="415" t="s">
        <v>1138</v>
      </c>
      <c r="D213" s="495">
        <v>47900</v>
      </c>
      <c r="E213" s="311"/>
      <c r="F213" s="677"/>
      <c r="G213" s="429" t="s">
        <v>329</v>
      </c>
      <c r="H213" s="429" t="s">
        <v>1384</v>
      </c>
      <c r="I213" s="673" t="s">
        <v>330</v>
      </c>
      <c r="J213" s="673" t="s">
        <v>2700</v>
      </c>
      <c r="K213" s="681" t="s">
        <v>423</v>
      </c>
      <c r="L213" s="682" t="s">
        <v>437</v>
      </c>
      <c r="M213" s="684" t="s">
        <v>2687</v>
      </c>
      <c r="N213" s="674" t="s">
        <v>2479</v>
      </c>
      <c r="O213" s="321"/>
      <c r="P213" s="185"/>
      <c r="Q213" s="429"/>
      <c r="R213" s="575" t="s">
        <v>2987</v>
      </c>
      <c r="S213" s="575" t="s">
        <v>652</v>
      </c>
      <c r="U213" s="480" t="s">
        <v>745</v>
      </c>
      <c r="V213" s="480" t="s">
        <v>3593</v>
      </c>
      <c r="X213" s="480"/>
      <c r="Y213" s="480"/>
      <c r="AA213" s="1331"/>
    </row>
    <row r="214" spans="3:27" ht="10.5" customHeight="1">
      <c r="C214" s="416" t="s">
        <v>1140</v>
      </c>
      <c r="D214" s="495">
        <v>47500</v>
      </c>
      <c r="E214" s="311"/>
      <c r="F214" s="677"/>
      <c r="G214" s="429" t="s">
        <v>331</v>
      </c>
      <c r="H214" s="429" t="s">
        <v>1384</v>
      </c>
      <c r="I214" s="675" t="s">
        <v>795</v>
      </c>
      <c r="J214" s="675" t="s">
        <v>2701</v>
      </c>
      <c r="K214" s="681" t="s">
        <v>2664</v>
      </c>
      <c r="L214" s="682" t="s">
        <v>438</v>
      </c>
      <c r="M214" s="683" t="s">
        <v>1239</v>
      </c>
      <c r="N214" s="674" t="s">
        <v>2480</v>
      </c>
      <c r="O214" s="321"/>
      <c r="P214" s="185"/>
      <c r="Q214" s="429"/>
      <c r="R214" s="575" t="s">
        <v>653</v>
      </c>
      <c r="S214" s="575" t="s">
        <v>1376</v>
      </c>
      <c r="U214" s="480" t="s">
        <v>1182</v>
      </c>
      <c r="V214" s="480" t="s">
        <v>3593</v>
      </c>
      <c r="X214" s="480"/>
      <c r="Y214" s="480"/>
      <c r="AA214" s="1331"/>
    </row>
    <row r="215" spans="3:27" ht="10.5" customHeight="1">
      <c r="C215" s="416" t="s">
        <v>1142</v>
      </c>
      <c r="D215" s="495">
        <v>40800</v>
      </c>
      <c r="E215" s="311"/>
      <c r="F215" s="677"/>
      <c r="G215" s="429" t="s">
        <v>332</v>
      </c>
      <c r="H215" s="429" t="s">
        <v>1384</v>
      </c>
      <c r="I215" s="675" t="s">
        <v>795</v>
      </c>
      <c r="J215" s="675" t="s">
        <v>2701</v>
      </c>
      <c r="K215" s="681" t="s">
        <v>2664</v>
      </c>
      <c r="L215" s="682" t="s">
        <v>438</v>
      </c>
      <c r="M215" s="683" t="s">
        <v>1239</v>
      </c>
      <c r="N215" s="674" t="s">
        <v>2444</v>
      </c>
      <c r="O215" s="321"/>
      <c r="P215" s="185"/>
      <c r="Q215" s="429"/>
      <c r="R215" s="575" t="s">
        <v>1373</v>
      </c>
      <c r="S215" s="575" t="s">
        <v>683</v>
      </c>
      <c r="U215" s="480" t="s">
        <v>1184</v>
      </c>
      <c r="V215" s="480" t="s">
        <v>3593</v>
      </c>
      <c r="X215" s="480"/>
      <c r="Y215" s="480"/>
      <c r="AA215" s="1331"/>
    </row>
    <row r="216" spans="3:27" ht="10.5" customHeight="1">
      <c r="C216" s="416" t="s">
        <v>1144</v>
      </c>
      <c r="D216" s="495">
        <v>52000</v>
      </c>
      <c r="E216" s="311"/>
      <c r="F216" s="677"/>
      <c r="G216" s="429" t="s">
        <v>333</v>
      </c>
      <c r="H216" s="429" t="s">
        <v>1384</v>
      </c>
      <c r="I216" s="675" t="s">
        <v>1773</v>
      </c>
      <c r="J216" s="675" t="s">
        <v>2701</v>
      </c>
      <c r="K216" s="681" t="s">
        <v>424</v>
      </c>
      <c r="L216" s="682" t="s">
        <v>438</v>
      </c>
      <c r="M216" s="684" t="s">
        <v>1239</v>
      </c>
      <c r="N216" s="674" t="s">
        <v>11</v>
      </c>
      <c r="O216" s="321"/>
      <c r="P216" s="185"/>
      <c r="Q216" s="429"/>
      <c r="R216" s="575" t="s">
        <v>2445</v>
      </c>
      <c r="S216" s="575" t="s">
        <v>2573</v>
      </c>
      <c r="U216" s="480" t="s">
        <v>1186</v>
      </c>
      <c r="V216" s="480" t="s">
        <v>3593</v>
      </c>
      <c r="X216" s="480"/>
      <c r="Y216" s="480"/>
      <c r="AA216" s="1331"/>
    </row>
    <row r="217" spans="3:27" ht="10.5" customHeight="1">
      <c r="C217" s="415" t="s">
        <v>1146</v>
      </c>
      <c r="D217" s="495">
        <v>38800</v>
      </c>
      <c r="E217" s="311"/>
      <c r="F217" s="677"/>
      <c r="G217" s="429" t="s">
        <v>334</v>
      </c>
      <c r="H217" s="429" t="s">
        <v>1257</v>
      </c>
      <c r="I217" s="673" t="s">
        <v>335</v>
      </c>
      <c r="J217" s="673" t="s">
        <v>2700</v>
      </c>
      <c r="K217" s="681" t="s">
        <v>673</v>
      </c>
      <c r="L217" s="682" t="s">
        <v>437</v>
      </c>
      <c r="M217" s="684" t="s">
        <v>2687</v>
      </c>
      <c r="N217" s="674" t="s">
        <v>13</v>
      </c>
      <c r="O217" s="321"/>
      <c r="P217" s="185"/>
      <c r="Q217" s="429"/>
      <c r="R217" s="575" t="s">
        <v>12</v>
      </c>
      <c r="S217" s="575" t="s">
        <v>692</v>
      </c>
      <c r="U217" s="480" t="s">
        <v>2601</v>
      </c>
      <c r="V217" s="480" t="s">
        <v>3593</v>
      </c>
      <c r="X217" s="480"/>
      <c r="Y217" s="480"/>
      <c r="AA217" s="1331"/>
    </row>
    <row r="218" spans="3:27" ht="10.5" customHeight="1">
      <c r="C218" s="415" t="s">
        <v>2348</v>
      </c>
      <c r="D218" s="495">
        <v>49800</v>
      </c>
      <c r="E218" s="311"/>
      <c r="F218" s="677"/>
      <c r="G218" s="429" t="s">
        <v>336</v>
      </c>
      <c r="H218" s="429" t="s">
        <v>1384</v>
      </c>
      <c r="I218" s="673" t="s">
        <v>337</v>
      </c>
      <c r="J218" s="673" t="s">
        <v>2700</v>
      </c>
      <c r="K218" s="681" t="s">
        <v>674</v>
      </c>
      <c r="L218" s="682" t="s">
        <v>437</v>
      </c>
      <c r="M218" s="684" t="s">
        <v>2687</v>
      </c>
      <c r="N218" s="674" t="s">
        <v>58</v>
      </c>
      <c r="O218" s="321"/>
      <c r="P218" s="185"/>
      <c r="Q218" s="429"/>
      <c r="R218" s="575" t="s">
        <v>14</v>
      </c>
      <c r="S218" s="575" t="s">
        <v>327</v>
      </c>
      <c r="U218" s="480" t="s">
        <v>472</v>
      </c>
      <c r="V218" s="480" t="s">
        <v>3593</v>
      </c>
      <c r="X218" s="480"/>
      <c r="Y218" s="480"/>
      <c r="AA218" s="1331"/>
    </row>
    <row r="219" spans="3:27" ht="10.5" customHeight="1">
      <c r="C219" s="416" t="s">
        <v>1375</v>
      </c>
      <c r="D219" s="495">
        <v>61300</v>
      </c>
      <c r="E219" s="311"/>
      <c r="F219" s="677"/>
      <c r="G219" s="429" t="s">
        <v>338</v>
      </c>
      <c r="H219" s="429" t="s">
        <v>1384</v>
      </c>
      <c r="I219" s="675" t="s">
        <v>795</v>
      </c>
      <c r="J219" s="675" t="s">
        <v>2701</v>
      </c>
      <c r="K219" s="681" t="s">
        <v>2664</v>
      </c>
      <c r="L219" s="682" t="s">
        <v>438</v>
      </c>
      <c r="M219" s="683" t="s">
        <v>1239</v>
      </c>
      <c r="N219" s="674" t="s">
        <v>60</v>
      </c>
      <c r="O219" s="321"/>
      <c r="P219" s="185"/>
      <c r="Q219" s="429"/>
      <c r="R219" s="575" t="s">
        <v>59</v>
      </c>
      <c r="S219" s="575" t="s">
        <v>2672</v>
      </c>
      <c r="U219" s="480" t="s">
        <v>314</v>
      </c>
      <c r="V219" s="480" t="s">
        <v>3593</v>
      </c>
      <c r="X219" s="480"/>
      <c r="Y219" s="480"/>
      <c r="AA219" s="1331"/>
    </row>
    <row r="220" spans="3:27" ht="10.5" customHeight="1">
      <c r="C220" s="416" t="s">
        <v>2246</v>
      </c>
      <c r="D220" s="495">
        <v>55900</v>
      </c>
      <c r="E220" s="311"/>
      <c r="F220" s="677"/>
      <c r="G220" s="429" t="s">
        <v>339</v>
      </c>
      <c r="H220" s="429" t="s">
        <v>1257</v>
      </c>
      <c r="I220" s="673" t="s">
        <v>340</v>
      </c>
      <c r="J220" s="673" t="s">
        <v>2700</v>
      </c>
      <c r="K220" s="681" t="s">
        <v>675</v>
      </c>
      <c r="L220" s="682" t="s">
        <v>437</v>
      </c>
      <c r="M220" s="684" t="s">
        <v>2687</v>
      </c>
      <c r="N220" s="674" t="s">
        <v>62</v>
      </c>
      <c r="O220" s="321"/>
      <c r="P220" s="185"/>
      <c r="Q220" s="429"/>
      <c r="R220" s="575" t="s">
        <v>61</v>
      </c>
      <c r="S220" s="575" t="s">
        <v>370</v>
      </c>
      <c r="U220" s="480" t="s">
        <v>1894</v>
      </c>
      <c r="V220" s="480" t="s">
        <v>3593</v>
      </c>
      <c r="X220" s="480"/>
      <c r="Y220" s="480"/>
      <c r="AA220" s="1331"/>
    </row>
    <row r="221" spans="3:27" ht="10.5" customHeight="1">
      <c r="C221" s="416" t="s">
        <v>2248</v>
      </c>
      <c r="D221" s="495">
        <v>50900</v>
      </c>
      <c r="E221" s="311"/>
      <c r="F221" s="677"/>
      <c r="G221" s="429" t="s">
        <v>341</v>
      </c>
      <c r="H221" s="429" t="s">
        <v>1384</v>
      </c>
      <c r="I221" s="673" t="s">
        <v>342</v>
      </c>
      <c r="J221" s="673" t="s">
        <v>2700</v>
      </c>
      <c r="K221" s="681" t="s">
        <v>276</v>
      </c>
      <c r="L221" s="682" t="s">
        <v>437</v>
      </c>
      <c r="M221" s="684" t="s">
        <v>2687</v>
      </c>
      <c r="N221" s="674" t="s">
        <v>364</v>
      </c>
      <c r="O221" s="321"/>
      <c r="P221" s="185"/>
      <c r="Q221" s="429"/>
      <c r="R221" s="575" t="s">
        <v>63</v>
      </c>
      <c r="S221" s="575" t="s">
        <v>123</v>
      </c>
      <c r="U221" s="480" t="s">
        <v>1896</v>
      </c>
      <c r="V221" s="480" t="s">
        <v>3593</v>
      </c>
      <c r="X221" s="480"/>
      <c r="Y221" s="480"/>
      <c r="AA221" s="1331"/>
    </row>
    <row r="222" spans="3:27" ht="10.5" customHeight="1">
      <c r="C222" s="416" t="s">
        <v>2250</v>
      </c>
      <c r="D222" s="495">
        <v>34400</v>
      </c>
      <c r="E222" s="311"/>
      <c r="F222" s="677"/>
      <c r="G222" s="429" t="s">
        <v>343</v>
      </c>
      <c r="H222" s="429" t="s">
        <v>1257</v>
      </c>
      <c r="I222" s="673" t="s">
        <v>344</v>
      </c>
      <c r="J222" s="673" t="s">
        <v>2700</v>
      </c>
      <c r="K222" s="681" t="s">
        <v>277</v>
      </c>
      <c r="L222" s="682" t="s">
        <v>437</v>
      </c>
      <c r="M222" s="684" t="s">
        <v>2687</v>
      </c>
      <c r="N222" s="674" t="s">
        <v>366</v>
      </c>
      <c r="O222" s="321"/>
      <c r="P222" s="185"/>
      <c r="Q222" s="429"/>
      <c r="R222" s="575" t="s">
        <v>365</v>
      </c>
      <c r="S222" s="575" t="s">
        <v>2264</v>
      </c>
      <c r="U222" s="480" t="s">
        <v>1969</v>
      </c>
      <c r="V222" s="480" t="s">
        <v>3593</v>
      </c>
      <c r="X222" s="480"/>
      <c r="Y222" s="480"/>
      <c r="AA222" s="1331"/>
    </row>
    <row r="223" spans="3:27" ht="10.5" customHeight="1">
      <c r="C223" s="416" t="s">
        <v>2253</v>
      </c>
      <c r="D223" s="495">
        <v>47300</v>
      </c>
      <c r="E223" s="311"/>
      <c r="F223" s="677"/>
      <c r="G223" s="429" t="s">
        <v>345</v>
      </c>
      <c r="H223" s="429" t="s">
        <v>1257</v>
      </c>
      <c r="I223" s="673" t="s">
        <v>346</v>
      </c>
      <c r="J223" s="673" t="s">
        <v>2700</v>
      </c>
      <c r="K223" s="681" t="s">
        <v>278</v>
      </c>
      <c r="L223" s="682" t="s">
        <v>437</v>
      </c>
      <c r="M223" s="684" t="s">
        <v>2687</v>
      </c>
      <c r="N223" s="674" t="s">
        <v>368</v>
      </c>
      <c r="O223" s="321"/>
      <c r="P223" s="185"/>
      <c r="Q223" s="429"/>
      <c r="R223" s="575" t="s">
        <v>367</v>
      </c>
      <c r="S223" s="575" t="s">
        <v>987</v>
      </c>
      <c r="U223" s="480" t="s">
        <v>2324</v>
      </c>
      <c r="V223" s="480" t="s">
        <v>3593</v>
      </c>
      <c r="X223" s="480"/>
      <c r="Y223" s="480"/>
      <c r="AA223" s="1331"/>
    </row>
    <row r="224" spans="3:27" ht="10.5" customHeight="1">
      <c r="C224" s="415" t="s">
        <v>2255</v>
      </c>
      <c r="D224" s="495">
        <v>36400</v>
      </c>
      <c r="E224" s="311"/>
      <c r="F224" s="677"/>
      <c r="G224" s="429" t="s">
        <v>443</v>
      </c>
      <c r="H224" s="429" t="s">
        <v>1384</v>
      </c>
      <c r="I224" s="675" t="s">
        <v>1369</v>
      </c>
      <c r="J224" s="675" t="s">
        <v>2701</v>
      </c>
      <c r="K224" s="681" t="s">
        <v>2667</v>
      </c>
      <c r="L224" s="682" t="s">
        <v>438</v>
      </c>
      <c r="M224" s="683" t="s">
        <v>1239</v>
      </c>
      <c r="N224" s="674" t="s">
        <v>2369</v>
      </c>
      <c r="O224" s="321"/>
      <c r="P224" s="185"/>
      <c r="Q224" s="429"/>
      <c r="R224" s="575" t="s">
        <v>369</v>
      </c>
      <c r="S224" s="575" t="s">
        <v>1129</v>
      </c>
      <c r="U224" s="480" t="s">
        <v>434</v>
      </c>
      <c r="V224" s="480" t="s">
        <v>3593</v>
      </c>
      <c r="X224" s="480"/>
      <c r="Y224" s="480"/>
      <c r="AA224" s="1331"/>
    </row>
    <row r="225" spans="3:27" ht="10.5" customHeight="1">
      <c r="C225" s="415" t="s">
        <v>2257</v>
      </c>
      <c r="D225" s="495">
        <v>45100</v>
      </c>
      <c r="E225" s="311"/>
      <c r="F225" s="677"/>
      <c r="G225" s="429" t="s">
        <v>444</v>
      </c>
      <c r="H225" s="429" t="s">
        <v>1384</v>
      </c>
      <c r="I225" s="675" t="s">
        <v>798</v>
      </c>
      <c r="J225" s="675" t="s">
        <v>2701</v>
      </c>
      <c r="K225" s="681" t="s">
        <v>279</v>
      </c>
      <c r="L225" s="682" t="s">
        <v>438</v>
      </c>
      <c r="M225" s="683" t="s">
        <v>1239</v>
      </c>
      <c r="N225" s="674" t="s">
        <v>2371</v>
      </c>
      <c r="O225" s="321"/>
      <c r="P225" s="185"/>
      <c r="Q225" s="429"/>
      <c r="R225" s="575" t="s">
        <v>654</v>
      </c>
      <c r="S225" s="575" t="s">
        <v>1509</v>
      </c>
      <c r="U225" s="480" t="s">
        <v>2361</v>
      </c>
      <c r="V225" s="480" t="s">
        <v>3593</v>
      </c>
      <c r="X225" s="480"/>
      <c r="Y225" s="480"/>
      <c r="AA225" s="1331"/>
    </row>
    <row r="226" spans="3:27" ht="10.5" customHeight="1">
      <c r="C226" s="416" t="s">
        <v>2259</v>
      </c>
      <c r="D226" s="495">
        <v>40900</v>
      </c>
      <c r="E226" s="311"/>
      <c r="F226" s="677"/>
      <c r="G226" s="429" t="s">
        <v>1508</v>
      </c>
      <c r="H226" s="429" t="s">
        <v>1257</v>
      </c>
      <c r="I226" s="673" t="s">
        <v>1760</v>
      </c>
      <c r="J226" s="673" t="s">
        <v>2701</v>
      </c>
      <c r="K226" s="681" t="s">
        <v>2670</v>
      </c>
      <c r="L226" s="682" t="s">
        <v>438</v>
      </c>
      <c r="M226" s="683" t="s">
        <v>1239</v>
      </c>
      <c r="N226" s="674" t="s">
        <v>2372</v>
      </c>
      <c r="O226" s="321"/>
      <c r="P226" s="185"/>
      <c r="Q226" s="429"/>
      <c r="R226" s="575" t="s">
        <v>2370</v>
      </c>
      <c r="S226" s="575" t="s">
        <v>695</v>
      </c>
      <c r="U226" s="480" t="s">
        <v>3583</v>
      </c>
      <c r="V226" s="480" t="s">
        <v>3593</v>
      </c>
      <c r="X226" s="480"/>
      <c r="Y226" s="480"/>
      <c r="AA226" s="1331"/>
    </row>
    <row r="227" spans="3:27" ht="10.5" customHeight="1">
      <c r="C227" s="416" t="s">
        <v>2261</v>
      </c>
      <c r="D227" s="495">
        <v>38800</v>
      </c>
      <c r="E227" s="311"/>
      <c r="F227" s="677"/>
      <c r="G227" s="429" t="s">
        <v>1509</v>
      </c>
      <c r="H227" s="429" t="s">
        <v>1257</v>
      </c>
      <c r="I227" s="673" t="s">
        <v>1510</v>
      </c>
      <c r="J227" s="673" t="s">
        <v>2700</v>
      </c>
      <c r="K227" s="681" t="s">
        <v>280</v>
      </c>
      <c r="L227" s="682" t="s">
        <v>437</v>
      </c>
      <c r="M227" s="684" t="s">
        <v>2687</v>
      </c>
      <c r="N227" s="674" t="s">
        <v>2373</v>
      </c>
      <c r="O227" s="321"/>
      <c r="P227" s="185"/>
      <c r="Q227" s="429"/>
      <c r="R227" s="575" t="s">
        <v>1381</v>
      </c>
      <c r="S227" s="575" t="s">
        <v>693</v>
      </c>
      <c r="U227" s="480" t="s">
        <v>700</v>
      </c>
      <c r="V227" s="480" t="s">
        <v>3593</v>
      </c>
      <c r="X227" s="480"/>
      <c r="Y227" s="480"/>
      <c r="AA227" s="1331"/>
    </row>
    <row r="228" spans="3:27" ht="10.5" customHeight="1">
      <c r="C228" s="416" t="s">
        <v>2263</v>
      </c>
      <c r="D228" s="495">
        <v>50400</v>
      </c>
      <c r="E228" s="311"/>
      <c r="F228" s="677"/>
      <c r="G228" s="429" t="s">
        <v>1511</v>
      </c>
      <c r="H228" s="429" t="s">
        <v>1257</v>
      </c>
      <c r="I228" s="675" t="s">
        <v>1848</v>
      </c>
      <c r="J228" s="675" t="s">
        <v>2701</v>
      </c>
      <c r="K228" s="681" t="s">
        <v>1203</v>
      </c>
      <c r="L228" s="682" t="s">
        <v>438</v>
      </c>
      <c r="M228" s="683" t="s">
        <v>1239</v>
      </c>
      <c r="N228" s="674" t="s">
        <v>1616</v>
      </c>
      <c r="O228" s="321"/>
      <c r="P228" s="185"/>
      <c r="Q228" s="429"/>
      <c r="R228" s="575" t="s">
        <v>2988</v>
      </c>
      <c r="S228" s="575" t="s">
        <v>695</v>
      </c>
      <c r="U228" s="480" t="s">
        <v>2473</v>
      </c>
      <c r="V228" s="480" t="s">
        <v>3593</v>
      </c>
      <c r="X228" s="480"/>
      <c r="Y228" s="480"/>
      <c r="AA228" s="1331"/>
    </row>
    <row r="229" spans="3:27" ht="10.5" customHeight="1">
      <c r="C229" s="416" t="s">
        <v>903</v>
      </c>
      <c r="D229" s="495">
        <v>37900</v>
      </c>
      <c r="E229" s="311"/>
      <c r="F229" s="677"/>
      <c r="G229" s="429" t="s">
        <v>1512</v>
      </c>
      <c r="H229" s="429" t="s">
        <v>1257</v>
      </c>
      <c r="I229" s="673" t="s">
        <v>799</v>
      </c>
      <c r="J229" s="673" t="s">
        <v>2701</v>
      </c>
      <c r="K229" s="681" t="s">
        <v>281</v>
      </c>
      <c r="L229" s="682" t="s">
        <v>438</v>
      </c>
      <c r="M229" s="684" t="s">
        <v>1239</v>
      </c>
      <c r="N229" s="674" t="s">
        <v>1618</v>
      </c>
      <c r="O229" s="321"/>
      <c r="P229" s="185"/>
      <c r="Q229" s="429"/>
      <c r="R229" s="575" t="s">
        <v>2374</v>
      </c>
      <c r="S229" s="575" t="s">
        <v>106</v>
      </c>
      <c r="U229" s="480" t="s">
        <v>229</v>
      </c>
      <c r="V229" s="480" t="s">
        <v>3593</v>
      </c>
      <c r="X229" s="480"/>
      <c r="Y229" s="480"/>
      <c r="AA229" s="1331"/>
    </row>
    <row r="230" spans="3:27" ht="10.5" customHeight="1">
      <c r="C230" s="416" t="s">
        <v>905</v>
      </c>
      <c r="D230" s="495">
        <v>33900</v>
      </c>
      <c r="E230" s="311"/>
      <c r="F230" s="677"/>
      <c r="G230" s="429" t="s">
        <v>1513</v>
      </c>
      <c r="H230" s="429" t="s">
        <v>1384</v>
      </c>
      <c r="I230" s="673" t="s">
        <v>1514</v>
      </c>
      <c r="J230" s="673" t="s">
        <v>2700</v>
      </c>
      <c r="K230" s="681" t="s">
        <v>2610</v>
      </c>
      <c r="L230" s="682" t="s">
        <v>437</v>
      </c>
      <c r="M230" s="684" t="s">
        <v>2687</v>
      </c>
      <c r="N230" s="674" t="s">
        <v>1620</v>
      </c>
      <c r="O230" s="321"/>
      <c r="P230" s="185"/>
      <c r="Q230" s="429"/>
      <c r="R230" s="575" t="s">
        <v>1617</v>
      </c>
      <c r="S230" s="575" t="s">
        <v>1692</v>
      </c>
      <c r="U230" s="480" t="s">
        <v>685</v>
      </c>
      <c r="V230" s="480" t="s">
        <v>3593</v>
      </c>
      <c r="X230" s="480"/>
      <c r="Y230" s="480"/>
      <c r="AA230" s="1331"/>
    </row>
    <row r="231" spans="3:27" ht="10.5" customHeight="1">
      <c r="C231" s="416" t="s">
        <v>1726</v>
      </c>
      <c r="D231" s="495">
        <v>43600</v>
      </c>
      <c r="E231" s="311"/>
      <c r="F231" s="677"/>
      <c r="G231" s="429" t="s">
        <v>1515</v>
      </c>
      <c r="H231" s="429" t="s">
        <v>1257</v>
      </c>
      <c r="I231" s="673" t="s">
        <v>1516</v>
      </c>
      <c r="J231" s="673" t="s">
        <v>2701</v>
      </c>
      <c r="K231" s="681" t="s">
        <v>720</v>
      </c>
      <c r="L231" s="682" t="s">
        <v>438</v>
      </c>
      <c r="M231" s="683" t="s">
        <v>1239</v>
      </c>
      <c r="N231" s="674" t="s">
        <v>1622</v>
      </c>
      <c r="O231" s="321"/>
      <c r="P231" s="185"/>
      <c r="Q231" s="429"/>
      <c r="R231" s="575" t="s">
        <v>2652</v>
      </c>
      <c r="S231" s="575" t="s">
        <v>652</v>
      </c>
      <c r="U231" s="480" t="s">
        <v>243</v>
      </c>
      <c r="V231" s="480" t="s">
        <v>3593</v>
      </c>
      <c r="X231" s="480"/>
      <c r="Y231" s="480"/>
      <c r="AA231" s="1331"/>
    </row>
    <row r="232" spans="3:27" ht="10.5" customHeight="1">
      <c r="C232" s="416" t="s">
        <v>1982</v>
      </c>
      <c r="D232" s="495">
        <v>49700</v>
      </c>
      <c r="E232" s="311"/>
      <c r="F232" s="677"/>
      <c r="G232" s="429" t="s">
        <v>180</v>
      </c>
      <c r="H232" s="429" t="s">
        <v>1257</v>
      </c>
      <c r="I232" s="673" t="s">
        <v>1760</v>
      </c>
      <c r="J232" s="673" t="s">
        <v>2701</v>
      </c>
      <c r="K232" s="681" t="s">
        <v>2670</v>
      </c>
      <c r="L232" s="682" t="s">
        <v>438</v>
      </c>
      <c r="M232" s="684" t="s">
        <v>1239</v>
      </c>
      <c r="N232" s="674" t="s">
        <v>1624</v>
      </c>
      <c r="O232" s="321"/>
      <c r="P232" s="185"/>
      <c r="Q232" s="429"/>
      <c r="R232" s="575" t="s">
        <v>1619</v>
      </c>
      <c r="S232" s="575" t="s">
        <v>686</v>
      </c>
      <c r="U232" s="480" t="s">
        <v>686</v>
      </c>
      <c r="V232" s="480" t="s">
        <v>3593</v>
      </c>
      <c r="X232" s="480"/>
      <c r="Y232" s="480"/>
      <c r="AA232" s="1331"/>
    </row>
    <row r="233" spans="3:27" ht="10.5" customHeight="1">
      <c r="C233" s="415" t="s">
        <v>1984</v>
      </c>
      <c r="D233" s="495">
        <v>50700</v>
      </c>
      <c r="E233" s="311"/>
      <c r="F233" s="677"/>
      <c r="G233" s="429" t="s">
        <v>181</v>
      </c>
      <c r="H233" s="429" t="s">
        <v>1360</v>
      </c>
      <c r="I233" s="675" t="s">
        <v>182</v>
      </c>
      <c r="J233" s="675" t="s">
        <v>2700</v>
      </c>
      <c r="K233" s="681" t="s">
        <v>721</v>
      </c>
      <c r="L233" s="682" t="s">
        <v>437</v>
      </c>
      <c r="M233" s="684" t="s">
        <v>2687</v>
      </c>
      <c r="N233" s="674" t="s">
        <v>1808</v>
      </c>
      <c r="O233" s="321"/>
      <c r="P233" s="185"/>
      <c r="Q233" s="429"/>
      <c r="R233" s="575" t="s">
        <v>2989</v>
      </c>
      <c r="S233" s="575" t="s">
        <v>2322</v>
      </c>
      <c r="U233" s="480" t="s">
        <v>819</v>
      </c>
      <c r="V233" s="480" t="s">
        <v>3593</v>
      </c>
      <c r="X233" s="480"/>
      <c r="Y233" s="480"/>
      <c r="AA233" s="1331"/>
    </row>
    <row r="234" spans="3:27" ht="10.5" customHeight="1">
      <c r="C234" s="415" t="s">
        <v>1986</v>
      </c>
      <c r="D234" s="495">
        <v>47900</v>
      </c>
      <c r="E234" s="311"/>
      <c r="F234" s="677"/>
      <c r="G234" s="429" t="s">
        <v>1369</v>
      </c>
      <c r="H234" s="429" t="s">
        <v>1384</v>
      </c>
      <c r="I234" s="673" t="s">
        <v>183</v>
      </c>
      <c r="J234" s="673" t="s">
        <v>2700</v>
      </c>
      <c r="K234" s="681" t="s">
        <v>722</v>
      </c>
      <c r="L234" s="682" t="s">
        <v>437</v>
      </c>
      <c r="M234" s="684" t="s">
        <v>2687</v>
      </c>
      <c r="N234" s="674" t="s">
        <v>1810</v>
      </c>
      <c r="O234" s="321"/>
      <c r="P234" s="185"/>
      <c r="Q234" s="429"/>
      <c r="R234" s="575" t="s">
        <v>1621</v>
      </c>
      <c r="S234" s="575" t="s">
        <v>169</v>
      </c>
      <c r="U234" s="480" t="s">
        <v>3584</v>
      </c>
      <c r="V234" s="480" t="s">
        <v>3593</v>
      </c>
      <c r="X234" s="480"/>
      <c r="Y234" s="480"/>
      <c r="AA234" s="1331"/>
    </row>
    <row r="235" spans="3:27" ht="10.5" customHeight="1">
      <c r="C235" s="415" t="s">
        <v>1988</v>
      </c>
      <c r="D235" s="495">
        <v>52000</v>
      </c>
      <c r="E235" s="311"/>
      <c r="F235" s="677"/>
      <c r="G235" s="429" t="s">
        <v>184</v>
      </c>
      <c r="H235" s="429" t="s">
        <v>1384</v>
      </c>
      <c r="I235" s="673" t="s">
        <v>2121</v>
      </c>
      <c r="J235" s="673" t="s">
        <v>2701</v>
      </c>
      <c r="K235" s="681" t="s">
        <v>644</v>
      </c>
      <c r="L235" s="682" t="s">
        <v>438</v>
      </c>
      <c r="M235" s="683" t="s">
        <v>1239</v>
      </c>
      <c r="N235" s="674" t="s">
        <v>1812</v>
      </c>
      <c r="O235" s="321"/>
      <c r="P235" s="185"/>
      <c r="Q235" s="429"/>
      <c r="R235" s="575" t="s">
        <v>1623</v>
      </c>
      <c r="S235" s="575" t="s">
        <v>1362</v>
      </c>
      <c r="U235" s="480" t="s">
        <v>3585</v>
      </c>
      <c r="V235" s="480" t="s">
        <v>3593</v>
      </c>
      <c r="X235" s="480"/>
      <c r="Y235" s="480"/>
      <c r="AA235" s="1331"/>
    </row>
    <row r="236" spans="3:27" ht="10.5" customHeight="1">
      <c r="C236" s="415" t="s">
        <v>1990</v>
      </c>
      <c r="D236" s="495">
        <v>52700</v>
      </c>
      <c r="E236" s="311"/>
      <c r="F236" s="677"/>
      <c r="G236" s="429" t="s">
        <v>370</v>
      </c>
      <c r="H236" s="429" t="s">
        <v>1384</v>
      </c>
      <c r="I236" s="675" t="s">
        <v>166</v>
      </c>
      <c r="J236" s="675" t="s">
        <v>2701</v>
      </c>
      <c r="K236" s="681" t="s">
        <v>1746</v>
      </c>
      <c r="L236" s="682" t="s">
        <v>438</v>
      </c>
      <c r="M236" s="683" t="s">
        <v>1239</v>
      </c>
      <c r="N236" s="674" t="s">
        <v>1060</v>
      </c>
      <c r="O236" s="321"/>
      <c r="P236" s="185"/>
      <c r="Q236" s="429"/>
      <c r="R236" s="575" t="s">
        <v>1625</v>
      </c>
      <c r="S236" s="575" t="s">
        <v>184</v>
      </c>
      <c r="U236" s="480" t="s">
        <v>1267</v>
      </c>
      <c r="V236" s="480" t="s">
        <v>3593</v>
      </c>
      <c r="X236" s="480"/>
      <c r="Y236" s="480"/>
      <c r="AA236" s="1331"/>
    </row>
    <row r="237" spans="3:27" ht="10.5" customHeight="1">
      <c r="C237" s="415" t="s">
        <v>1992</v>
      </c>
      <c r="D237" s="495">
        <v>37500</v>
      </c>
      <c r="E237" s="311"/>
      <c r="F237" s="677"/>
      <c r="G237" s="429" t="s">
        <v>1950</v>
      </c>
      <c r="H237" s="429" t="s">
        <v>1384</v>
      </c>
      <c r="I237" s="675" t="s">
        <v>796</v>
      </c>
      <c r="J237" s="675" t="s">
        <v>2701</v>
      </c>
      <c r="K237" s="681" t="s">
        <v>2686</v>
      </c>
      <c r="L237" s="682" t="s">
        <v>438</v>
      </c>
      <c r="M237" s="683" t="s">
        <v>1239</v>
      </c>
      <c r="N237" s="674" t="s">
        <v>1061</v>
      </c>
      <c r="O237" s="321"/>
      <c r="P237" s="185"/>
      <c r="Q237" s="429"/>
      <c r="R237" s="575" t="s">
        <v>1809</v>
      </c>
      <c r="S237" s="575" t="s">
        <v>686</v>
      </c>
      <c r="U237" s="480" t="s">
        <v>706</v>
      </c>
      <c r="V237" s="480" t="s">
        <v>3593</v>
      </c>
      <c r="X237" s="480"/>
      <c r="Y237" s="480"/>
      <c r="AA237" s="1331"/>
    </row>
    <row r="238" spans="3:27" ht="10.5" customHeight="1">
      <c r="C238" s="416" t="s">
        <v>1995</v>
      </c>
      <c r="D238" s="495">
        <v>51300</v>
      </c>
      <c r="E238" s="311"/>
      <c r="F238" s="677"/>
      <c r="G238" s="429" t="s">
        <v>1951</v>
      </c>
      <c r="H238" s="429" t="s">
        <v>1257</v>
      </c>
      <c r="I238" s="673" t="s">
        <v>12</v>
      </c>
      <c r="J238" s="673" t="s">
        <v>2701</v>
      </c>
      <c r="K238" s="681" t="s">
        <v>2669</v>
      </c>
      <c r="L238" s="682" t="s">
        <v>438</v>
      </c>
      <c r="M238" s="683" t="s">
        <v>1239</v>
      </c>
      <c r="N238" s="674" t="s">
        <v>247</v>
      </c>
      <c r="O238" s="321"/>
      <c r="P238" s="185"/>
      <c r="Q238" s="429"/>
      <c r="R238" s="575" t="s">
        <v>1811</v>
      </c>
      <c r="S238" s="575" t="s">
        <v>763</v>
      </c>
      <c r="U238" s="480" t="s">
        <v>693</v>
      </c>
      <c r="V238" s="480" t="s">
        <v>3593</v>
      </c>
      <c r="X238" s="480"/>
      <c r="Y238" s="480"/>
      <c r="AA238" s="1331"/>
    </row>
    <row r="239" spans="3:27" ht="10.5" customHeight="1">
      <c r="C239" s="415" t="s">
        <v>2082</v>
      </c>
      <c r="D239" s="495">
        <v>45000</v>
      </c>
      <c r="E239" s="311"/>
      <c r="F239" s="677"/>
      <c r="G239" s="429" t="s">
        <v>1952</v>
      </c>
      <c r="H239" s="429" t="s">
        <v>1384</v>
      </c>
      <c r="I239" s="675" t="s">
        <v>800</v>
      </c>
      <c r="J239" s="675" t="s">
        <v>2701</v>
      </c>
      <c r="K239" s="681" t="s">
        <v>723</v>
      </c>
      <c r="L239" s="682" t="s">
        <v>438</v>
      </c>
      <c r="M239" s="683" t="s">
        <v>1239</v>
      </c>
      <c r="N239" s="674" t="s">
        <v>249</v>
      </c>
      <c r="O239" s="321"/>
      <c r="P239" s="185"/>
      <c r="Q239" s="429"/>
      <c r="R239" s="575" t="s">
        <v>1059</v>
      </c>
      <c r="S239" s="575" t="s">
        <v>1363</v>
      </c>
      <c r="U239" s="480" t="s">
        <v>1017</v>
      </c>
      <c r="V239" s="480" t="s">
        <v>3593</v>
      </c>
      <c r="X239" s="480"/>
      <c r="Y239" s="480"/>
      <c r="AA239" s="1331"/>
    </row>
    <row r="240" spans="3:27" ht="10.5" customHeight="1">
      <c r="C240" s="415" t="s">
        <v>1760</v>
      </c>
      <c r="D240" s="495">
        <v>50400</v>
      </c>
      <c r="E240" s="311"/>
      <c r="F240" s="677"/>
      <c r="G240" s="429" t="s">
        <v>1690</v>
      </c>
      <c r="H240" s="429" t="s">
        <v>1257</v>
      </c>
      <c r="I240" s="673" t="s">
        <v>1691</v>
      </c>
      <c r="J240" s="673" t="s">
        <v>2700</v>
      </c>
      <c r="K240" s="681" t="s">
        <v>724</v>
      </c>
      <c r="L240" s="682" t="s">
        <v>437</v>
      </c>
      <c r="M240" s="684" t="s">
        <v>2687</v>
      </c>
      <c r="N240" s="674" t="s">
        <v>1310</v>
      </c>
      <c r="O240" s="321"/>
      <c r="P240" s="185"/>
      <c r="Q240" s="429"/>
      <c r="R240" s="575" t="s">
        <v>1062</v>
      </c>
      <c r="S240" s="575" t="s">
        <v>684</v>
      </c>
      <c r="U240" s="480" t="s">
        <v>1021</v>
      </c>
      <c r="V240" s="480" t="s">
        <v>3593</v>
      </c>
      <c r="X240" s="480"/>
      <c r="Y240" s="480"/>
      <c r="AA240" s="1331"/>
    </row>
    <row r="241" spans="3:27" ht="10.5" customHeight="1">
      <c r="C241" s="416" t="s">
        <v>105</v>
      </c>
      <c r="D241" s="495">
        <v>49200</v>
      </c>
      <c r="E241" s="311"/>
      <c r="F241" s="677"/>
      <c r="G241" s="429" t="s">
        <v>1692</v>
      </c>
      <c r="H241" s="429" t="s">
        <v>1257</v>
      </c>
      <c r="I241" s="673" t="s">
        <v>1693</v>
      </c>
      <c r="J241" s="673" t="s">
        <v>2700</v>
      </c>
      <c r="K241" s="681" t="s">
        <v>725</v>
      </c>
      <c r="L241" s="682" t="s">
        <v>437</v>
      </c>
      <c r="M241" s="684" t="s">
        <v>2687</v>
      </c>
      <c r="N241" s="674" t="s">
        <v>2137</v>
      </c>
      <c r="O241" s="321"/>
      <c r="P241" s="185"/>
      <c r="Q241" s="429"/>
      <c r="R241" s="575" t="s">
        <v>248</v>
      </c>
      <c r="S241" s="575" t="s">
        <v>2617</v>
      </c>
      <c r="U241" s="480" t="s">
        <v>1023</v>
      </c>
      <c r="V241" s="480" t="s">
        <v>3593</v>
      </c>
      <c r="X241" s="480"/>
      <c r="Y241" s="480"/>
      <c r="AA241" s="1331"/>
    </row>
    <row r="242" spans="3:27" ht="10.5" customHeight="1">
      <c r="C242" s="415" t="s">
        <v>1773</v>
      </c>
      <c r="D242" s="495">
        <v>71800</v>
      </c>
      <c r="E242" s="311"/>
      <c r="F242" s="677"/>
      <c r="G242" s="429" t="s">
        <v>1694</v>
      </c>
      <c r="H242" s="429" t="s">
        <v>1384</v>
      </c>
      <c r="I242" s="675" t="s">
        <v>2120</v>
      </c>
      <c r="J242" s="675" t="s">
        <v>2701</v>
      </c>
      <c r="K242" s="681" t="s">
        <v>726</v>
      </c>
      <c r="L242" s="682" t="s">
        <v>438</v>
      </c>
      <c r="M242" s="683" t="s">
        <v>1239</v>
      </c>
      <c r="N242" s="674" t="s">
        <v>2139</v>
      </c>
      <c r="O242" s="321"/>
      <c r="P242" s="185"/>
      <c r="Q242" s="429"/>
      <c r="R242" s="575" t="s">
        <v>2990</v>
      </c>
      <c r="S242" s="575" t="s">
        <v>907</v>
      </c>
      <c r="U242" s="480" t="s">
        <v>595</v>
      </c>
      <c r="V242" s="480" t="s">
        <v>3593</v>
      </c>
      <c r="X242" s="480"/>
      <c r="Y242" s="480"/>
      <c r="AA242" s="1331"/>
    </row>
    <row r="243" spans="3:27" ht="10.5" customHeight="1">
      <c r="C243" s="415" t="s">
        <v>107</v>
      </c>
      <c r="D243" s="495">
        <v>40400</v>
      </c>
      <c r="F243" s="677"/>
      <c r="G243" s="429" t="s">
        <v>189</v>
      </c>
      <c r="H243" s="429" t="s">
        <v>1257</v>
      </c>
      <c r="I243" s="673" t="s">
        <v>190</v>
      </c>
      <c r="J243" s="673" t="s">
        <v>2700</v>
      </c>
      <c r="K243" s="681" t="s">
        <v>727</v>
      </c>
      <c r="L243" s="682" t="s">
        <v>437</v>
      </c>
      <c r="M243" s="684" t="s">
        <v>2687</v>
      </c>
      <c r="N243" s="674" t="s">
        <v>2141</v>
      </c>
      <c r="O243" s="321"/>
      <c r="P243" s="185"/>
      <c r="Q243" s="429"/>
      <c r="R243" s="676" t="s">
        <v>1824</v>
      </c>
      <c r="S243" s="676" t="s">
        <v>1135</v>
      </c>
      <c r="U243" s="480" t="s">
        <v>386</v>
      </c>
      <c r="V243" s="480" t="s">
        <v>3593</v>
      </c>
      <c r="X243" s="480"/>
      <c r="Y243" s="480"/>
      <c r="AA243" s="1331"/>
    </row>
    <row r="244" spans="3:27" ht="10.5" customHeight="1">
      <c r="C244" s="415" t="s">
        <v>109</v>
      </c>
      <c r="D244" s="495">
        <v>49300</v>
      </c>
      <c r="F244" s="677"/>
      <c r="G244" s="429" t="s">
        <v>2672</v>
      </c>
      <c r="H244" s="429" t="s">
        <v>1384</v>
      </c>
      <c r="I244" s="675" t="s">
        <v>2673</v>
      </c>
      <c r="J244" s="675" t="s">
        <v>2700</v>
      </c>
      <c r="K244" s="681" t="s">
        <v>728</v>
      </c>
      <c r="L244" s="682" t="s">
        <v>437</v>
      </c>
      <c r="M244" s="684" t="s">
        <v>2687</v>
      </c>
      <c r="N244" s="674" t="s">
        <v>2143</v>
      </c>
      <c r="O244" s="321"/>
      <c r="P244" s="185"/>
      <c r="Q244" s="429"/>
      <c r="R244" s="575" t="s">
        <v>2138</v>
      </c>
      <c r="S244" s="575" t="s">
        <v>333</v>
      </c>
      <c r="U244" s="480" t="s">
        <v>1652</v>
      </c>
      <c r="V244" s="480" t="s">
        <v>3593</v>
      </c>
      <c r="X244" s="480"/>
      <c r="Y244" s="480"/>
      <c r="AA244" s="1332"/>
    </row>
    <row r="245" spans="3:27" ht="10.5" customHeight="1">
      <c r="C245" s="415" t="s">
        <v>111</v>
      </c>
      <c r="D245" s="495">
        <v>46700</v>
      </c>
      <c r="F245" s="677"/>
      <c r="G245" s="429" t="s">
        <v>2674</v>
      </c>
      <c r="H245" s="429" t="s">
        <v>1360</v>
      </c>
      <c r="I245" s="673" t="s">
        <v>2675</v>
      </c>
      <c r="J245" s="673" t="s">
        <v>2701</v>
      </c>
      <c r="K245" s="681" t="s">
        <v>2026</v>
      </c>
      <c r="L245" s="682" t="s">
        <v>438</v>
      </c>
      <c r="M245" s="683" t="s">
        <v>1239</v>
      </c>
      <c r="N245" s="674" t="s">
        <v>2145</v>
      </c>
      <c r="O245" s="321"/>
      <c r="P245" s="185"/>
      <c r="Q245" s="429"/>
      <c r="R245" s="575" t="s">
        <v>2140</v>
      </c>
      <c r="S245" s="575" t="s">
        <v>331</v>
      </c>
      <c r="U245" s="480" t="s">
        <v>1045</v>
      </c>
      <c r="V245" s="480" t="s">
        <v>3593</v>
      </c>
      <c r="X245" s="480"/>
      <c r="Y245" s="480"/>
      <c r="AA245" s="1331"/>
    </row>
    <row r="246" spans="3:27" ht="10.5" customHeight="1">
      <c r="C246" s="415" t="s">
        <v>113</v>
      </c>
      <c r="D246" s="495">
        <v>52200</v>
      </c>
      <c r="F246" s="677"/>
      <c r="G246" s="429" t="s">
        <v>2676</v>
      </c>
      <c r="H246" s="429" t="s">
        <v>1384</v>
      </c>
      <c r="I246" s="675" t="s">
        <v>166</v>
      </c>
      <c r="J246" s="675" t="s">
        <v>2701</v>
      </c>
      <c r="K246" s="681" t="s">
        <v>1746</v>
      </c>
      <c r="L246" s="682" t="s">
        <v>438</v>
      </c>
      <c r="M246" s="684" t="s">
        <v>1239</v>
      </c>
      <c r="N246" s="674" t="s">
        <v>2147</v>
      </c>
      <c r="O246" s="321"/>
      <c r="P246" s="185"/>
      <c r="Q246" s="429"/>
      <c r="R246" s="575" t="s">
        <v>2142</v>
      </c>
      <c r="S246" s="575" t="s">
        <v>652</v>
      </c>
      <c r="U246" s="480" t="s">
        <v>1047</v>
      </c>
      <c r="V246" s="480" t="s">
        <v>3593</v>
      </c>
      <c r="X246" s="480"/>
      <c r="Y246" s="480"/>
      <c r="AA246" s="1331"/>
    </row>
    <row r="247" spans="3:27" ht="10.5" customHeight="1">
      <c r="C247" s="415" t="s">
        <v>115</v>
      </c>
      <c r="D247" s="495">
        <v>37400</v>
      </c>
      <c r="F247" s="677"/>
      <c r="G247" s="429" t="s">
        <v>2677</v>
      </c>
      <c r="H247" s="429" t="s">
        <v>1384</v>
      </c>
      <c r="I247" s="675" t="s">
        <v>795</v>
      </c>
      <c r="J247" s="675" t="s">
        <v>2701</v>
      </c>
      <c r="K247" s="681" t="s">
        <v>2664</v>
      </c>
      <c r="L247" s="682" t="s">
        <v>438</v>
      </c>
      <c r="M247" s="683" t="s">
        <v>1239</v>
      </c>
      <c r="N247" s="674" t="s">
        <v>701</v>
      </c>
      <c r="O247" s="321"/>
      <c r="P247" s="185"/>
      <c r="Q247" s="429"/>
      <c r="R247" s="575" t="s">
        <v>2144</v>
      </c>
      <c r="S247" s="575" t="s">
        <v>2674</v>
      </c>
      <c r="U247" s="480" t="s">
        <v>1743</v>
      </c>
      <c r="V247" s="480" t="s">
        <v>3593</v>
      </c>
      <c r="X247" s="480"/>
      <c r="Y247" s="480"/>
      <c r="AA247" s="1331"/>
    </row>
    <row r="248" spans="3:27" ht="10.5" customHeight="1">
      <c r="C248" s="415" t="s">
        <v>117</v>
      </c>
      <c r="D248" s="495">
        <v>54200</v>
      </c>
      <c r="F248" s="677"/>
      <c r="G248" s="429" t="s">
        <v>2678</v>
      </c>
      <c r="H248" s="429" t="s">
        <v>1384</v>
      </c>
      <c r="I248" s="673" t="s">
        <v>2121</v>
      </c>
      <c r="J248" s="673" t="s">
        <v>2701</v>
      </c>
      <c r="K248" s="681" t="s">
        <v>644</v>
      </c>
      <c r="L248" s="682" t="s">
        <v>438</v>
      </c>
      <c r="M248" s="683" t="s">
        <v>1239</v>
      </c>
      <c r="N248" s="674" t="s">
        <v>2409</v>
      </c>
      <c r="O248" s="321"/>
      <c r="P248" s="185"/>
      <c r="Q248" s="429"/>
      <c r="R248" s="575" t="s">
        <v>715</v>
      </c>
      <c r="S248" s="575" t="s">
        <v>1252</v>
      </c>
      <c r="U248" s="480" t="s">
        <v>898</v>
      </c>
      <c r="V248" s="480" t="s">
        <v>3593</v>
      </c>
      <c r="X248" s="480"/>
      <c r="Y248" s="480"/>
      <c r="AA248" s="1331"/>
    </row>
    <row r="249" spans="3:27" ht="10.5" customHeight="1">
      <c r="C249" s="415" t="s">
        <v>2481</v>
      </c>
      <c r="D249" s="495">
        <v>41900</v>
      </c>
      <c r="F249" s="677"/>
      <c r="G249" s="429" t="s">
        <v>2679</v>
      </c>
      <c r="H249" s="429" t="s">
        <v>1384</v>
      </c>
      <c r="I249" s="673" t="s">
        <v>2121</v>
      </c>
      <c r="J249" s="673" t="s">
        <v>2701</v>
      </c>
      <c r="K249" s="681" t="s">
        <v>644</v>
      </c>
      <c r="L249" s="682" t="s">
        <v>438</v>
      </c>
      <c r="M249" s="683" t="s">
        <v>1239</v>
      </c>
      <c r="N249" s="674" t="s">
        <v>2410</v>
      </c>
      <c r="O249" s="321"/>
      <c r="P249" s="185"/>
      <c r="Q249" s="429"/>
      <c r="R249" s="575" t="s">
        <v>2653</v>
      </c>
      <c r="S249" s="575" t="s">
        <v>2083</v>
      </c>
      <c r="U249" s="480" t="s">
        <v>1806</v>
      </c>
      <c r="V249" s="480" t="s">
        <v>3593</v>
      </c>
      <c r="X249" s="480"/>
      <c r="Y249" s="480"/>
      <c r="AA249" s="1331"/>
    </row>
    <row r="250" spans="3:27" ht="10.5" customHeight="1">
      <c r="C250" s="415" t="s">
        <v>2483</v>
      </c>
      <c r="D250" s="495">
        <v>39100</v>
      </c>
      <c r="F250" s="677"/>
      <c r="G250" s="429" t="s">
        <v>2680</v>
      </c>
      <c r="H250" s="429" t="s">
        <v>1360</v>
      </c>
      <c r="I250" s="675" t="s">
        <v>795</v>
      </c>
      <c r="J250" s="675" t="s">
        <v>2701</v>
      </c>
      <c r="K250" s="681" t="s">
        <v>2664</v>
      </c>
      <c r="L250" s="682" t="s">
        <v>438</v>
      </c>
      <c r="M250" s="683" t="s">
        <v>1239</v>
      </c>
      <c r="N250" s="674" t="s">
        <v>1293</v>
      </c>
      <c r="O250" s="321"/>
      <c r="P250" s="185"/>
      <c r="Q250" s="429"/>
      <c r="R250" s="575" t="s">
        <v>2146</v>
      </c>
      <c r="S250" s="575" t="s">
        <v>205</v>
      </c>
      <c r="U250" s="480" t="s">
        <v>655</v>
      </c>
      <c r="V250" s="480" t="s">
        <v>3593</v>
      </c>
      <c r="X250" s="480"/>
      <c r="Y250" s="480"/>
      <c r="AA250" s="1331"/>
    </row>
    <row r="251" spans="3:27" ht="10.5" customHeight="1">
      <c r="C251" s="415" t="s">
        <v>2485</v>
      </c>
      <c r="D251" s="495">
        <v>51700</v>
      </c>
      <c r="F251" s="677"/>
      <c r="G251" s="429" t="s">
        <v>1129</v>
      </c>
      <c r="H251" s="429" t="s">
        <v>1384</v>
      </c>
      <c r="I251" s="675" t="s">
        <v>1130</v>
      </c>
      <c r="J251" s="675" t="s">
        <v>2700</v>
      </c>
      <c r="K251" s="681" t="s">
        <v>2027</v>
      </c>
      <c r="L251" s="682" t="s">
        <v>437</v>
      </c>
      <c r="M251" s="684" t="s">
        <v>2687</v>
      </c>
      <c r="N251" s="674" t="s">
        <v>1295</v>
      </c>
      <c r="O251" s="321"/>
      <c r="P251" s="185"/>
      <c r="Q251" s="429"/>
      <c r="R251" s="575" t="s">
        <v>2991</v>
      </c>
      <c r="S251" s="575" t="s">
        <v>688</v>
      </c>
      <c r="U251" s="480" t="s">
        <v>2368</v>
      </c>
      <c r="V251" s="480" t="s">
        <v>3593</v>
      </c>
      <c r="X251" s="480"/>
      <c r="Y251" s="480"/>
      <c r="AA251" s="1331"/>
    </row>
    <row r="252" spans="3:27" ht="10.5" customHeight="1">
      <c r="F252" s="677"/>
      <c r="G252" s="429" t="s">
        <v>1131</v>
      </c>
      <c r="H252" s="429" t="s">
        <v>1360</v>
      </c>
      <c r="I252" s="675" t="s">
        <v>795</v>
      </c>
      <c r="J252" s="675" t="s">
        <v>2701</v>
      </c>
      <c r="K252" s="681" t="s">
        <v>2664</v>
      </c>
      <c r="L252" s="682" t="s">
        <v>438</v>
      </c>
      <c r="M252" s="683" t="s">
        <v>1239</v>
      </c>
      <c r="N252" s="674" t="s">
        <v>1297</v>
      </c>
      <c r="O252" s="321"/>
      <c r="P252" s="185"/>
      <c r="Q252" s="429"/>
      <c r="R252" s="575" t="s">
        <v>2148</v>
      </c>
      <c r="S252" s="575" t="s">
        <v>205</v>
      </c>
      <c r="U252" s="480" t="s">
        <v>1070</v>
      </c>
      <c r="V252" s="480" t="s">
        <v>3593</v>
      </c>
      <c r="AA252" s="1331"/>
    </row>
    <row r="253" spans="3:27" ht="10.5" customHeight="1">
      <c r="F253" s="677"/>
      <c r="G253" s="429" t="s">
        <v>1132</v>
      </c>
      <c r="H253" s="429" t="s">
        <v>1257</v>
      </c>
      <c r="I253" s="673" t="s">
        <v>1133</v>
      </c>
      <c r="J253" s="673" t="s">
        <v>2700</v>
      </c>
      <c r="K253" s="681" t="s">
        <v>2028</v>
      </c>
      <c r="L253" s="682" t="s">
        <v>437</v>
      </c>
      <c r="M253" s="684" t="s">
        <v>2687</v>
      </c>
      <c r="N253" s="674" t="s">
        <v>1298</v>
      </c>
      <c r="O253" s="321"/>
      <c r="P253" s="185"/>
      <c r="Q253" s="429"/>
      <c r="R253" s="575" t="s">
        <v>702</v>
      </c>
      <c r="S253" s="575" t="s">
        <v>2083</v>
      </c>
      <c r="U253" s="480" t="s">
        <v>2018</v>
      </c>
      <c r="V253" s="480" t="s">
        <v>3593</v>
      </c>
      <c r="AA253" s="1331"/>
    </row>
    <row r="254" spans="3:27" ht="10.5" customHeight="1">
      <c r="F254" s="677"/>
      <c r="G254" s="429" t="s">
        <v>1134</v>
      </c>
      <c r="H254" s="429" t="s">
        <v>1384</v>
      </c>
      <c r="I254" s="675" t="s">
        <v>795</v>
      </c>
      <c r="J254" s="675" t="s">
        <v>2701</v>
      </c>
      <c r="K254" s="681" t="s">
        <v>2664</v>
      </c>
      <c r="L254" s="682" t="s">
        <v>438</v>
      </c>
      <c r="M254" s="683" t="s">
        <v>1239</v>
      </c>
      <c r="N254" s="674" t="s">
        <v>1300</v>
      </c>
      <c r="O254" s="321"/>
      <c r="P254" s="185"/>
      <c r="Q254" s="429"/>
      <c r="R254" s="575" t="s">
        <v>2411</v>
      </c>
      <c r="S254" s="575" t="s">
        <v>124</v>
      </c>
      <c r="U254" s="480" t="s">
        <v>510</v>
      </c>
      <c r="V254" s="480" t="s">
        <v>3593</v>
      </c>
      <c r="AA254" s="1331"/>
    </row>
    <row r="255" spans="3:27" ht="10.5" customHeight="1">
      <c r="F255" s="677"/>
      <c r="G255" s="429" t="s">
        <v>1135</v>
      </c>
      <c r="H255" s="429" t="s">
        <v>1360</v>
      </c>
      <c r="I255" s="673" t="s">
        <v>1136</v>
      </c>
      <c r="J255" s="673" t="s">
        <v>2700</v>
      </c>
      <c r="K255" s="681" t="s">
        <v>2029</v>
      </c>
      <c r="L255" s="682" t="s">
        <v>437</v>
      </c>
      <c r="M255" s="684" t="s">
        <v>2687</v>
      </c>
      <c r="N255" s="674" t="s">
        <v>2580</v>
      </c>
      <c r="O255" s="321"/>
      <c r="P255" s="185"/>
      <c r="Q255" s="429"/>
      <c r="R255" s="575" t="s">
        <v>1294</v>
      </c>
      <c r="S255" s="575" t="s">
        <v>652</v>
      </c>
      <c r="U255" s="480" t="s">
        <v>1705</v>
      </c>
      <c r="V255" s="480" t="s">
        <v>3593</v>
      </c>
      <c r="AA255" s="1331"/>
    </row>
    <row r="256" spans="3:27" ht="10.5" customHeight="1">
      <c r="F256" s="677"/>
      <c r="G256" s="429" t="s">
        <v>1137</v>
      </c>
      <c r="H256" s="429" t="s">
        <v>1257</v>
      </c>
      <c r="I256" s="675" t="s">
        <v>1138</v>
      </c>
      <c r="J256" s="675" t="s">
        <v>2700</v>
      </c>
      <c r="K256" s="681" t="s">
        <v>2030</v>
      </c>
      <c r="L256" s="682" t="s">
        <v>437</v>
      </c>
      <c r="M256" s="684" t="s">
        <v>2687</v>
      </c>
      <c r="N256" s="674" t="s">
        <v>84</v>
      </c>
      <c r="O256" s="321"/>
      <c r="P256" s="185"/>
      <c r="Q256" s="429"/>
      <c r="R256" s="575" t="s">
        <v>1296</v>
      </c>
      <c r="S256" s="575" t="s">
        <v>2324</v>
      </c>
      <c r="U256" s="480" t="s">
        <v>976</v>
      </c>
      <c r="V256" s="480" t="s">
        <v>3593</v>
      </c>
      <c r="AA256" s="1331"/>
    </row>
    <row r="257" spans="6:27" ht="10.5" customHeight="1">
      <c r="F257" s="677"/>
      <c r="G257" s="429" t="s">
        <v>1139</v>
      </c>
      <c r="H257" s="429" t="s">
        <v>1384</v>
      </c>
      <c r="I257" s="675" t="s">
        <v>1140</v>
      </c>
      <c r="J257" s="675" t="s">
        <v>2700</v>
      </c>
      <c r="K257" s="681" t="s">
        <v>2031</v>
      </c>
      <c r="L257" s="682" t="s">
        <v>437</v>
      </c>
      <c r="M257" s="684" t="s">
        <v>2687</v>
      </c>
      <c r="N257" s="674" t="s">
        <v>85</v>
      </c>
      <c r="O257" s="321"/>
      <c r="P257" s="185"/>
      <c r="Q257" s="429"/>
      <c r="R257" s="575" t="s">
        <v>2569</v>
      </c>
      <c r="S257" s="575" t="s">
        <v>1143</v>
      </c>
      <c r="U257" s="480" t="s">
        <v>2387</v>
      </c>
      <c r="V257" s="480" t="s">
        <v>3593</v>
      </c>
      <c r="AA257" s="1331"/>
    </row>
    <row r="258" spans="6:27" ht="10.5" customHeight="1">
      <c r="F258" s="677"/>
      <c r="G258" s="429" t="s">
        <v>1141</v>
      </c>
      <c r="H258" s="429" t="s">
        <v>1257</v>
      </c>
      <c r="I258" s="673" t="s">
        <v>1142</v>
      </c>
      <c r="J258" s="673" t="s">
        <v>2700</v>
      </c>
      <c r="K258" s="681" t="s">
        <v>1850</v>
      </c>
      <c r="L258" s="682" t="s">
        <v>437</v>
      </c>
      <c r="M258" s="684" t="s">
        <v>2687</v>
      </c>
      <c r="N258" s="674" t="s">
        <v>86</v>
      </c>
      <c r="O258" s="321"/>
      <c r="P258" s="185"/>
      <c r="Q258" s="429"/>
      <c r="R258" s="575" t="s">
        <v>1299</v>
      </c>
      <c r="S258" s="575" t="s">
        <v>324</v>
      </c>
      <c r="U258" s="480" t="s">
        <v>336</v>
      </c>
      <c r="V258" s="480" t="s">
        <v>3593</v>
      </c>
      <c r="AA258" s="1331"/>
    </row>
    <row r="259" spans="6:27" ht="10.5" customHeight="1">
      <c r="F259" s="677"/>
      <c r="G259" s="429" t="s">
        <v>1143</v>
      </c>
      <c r="H259" s="429" t="s">
        <v>1360</v>
      </c>
      <c r="I259" s="673" t="s">
        <v>1144</v>
      </c>
      <c r="J259" s="673" t="s">
        <v>2700</v>
      </c>
      <c r="K259" s="681" t="s">
        <v>1851</v>
      </c>
      <c r="L259" s="682" t="s">
        <v>437</v>
      </c>
      <c r="M259" s="684" t="s">
        <v>2687</v>
      </c>
      <c r="N259" s="674" t="s">
        <v>88</v>
      </c>
      <c r="O259" s="321"/>
      <c r="P259" s="185"/>
      <c r="Q259" s="429"/>
      <c r="R259" s="575" t="s">
        <v>2579</v>
      </c>
      <c r="S259" s="575" t="s">
        <v>116</v>
      </c>
      <c r="U259" s="480" t="s">
        <v>338</v>
      </c>
      <c r="V259" s="480" t="s">
        <v>3593</v>
      </c>
      <c r="AA259" s="1331"/>
    </row>
    <row r="260" spans="6:27" ht="10.5" customHeight="1">
      <c r="F260" s="677"/>
      <c r="G260" s="429" t="s">
        <v>1145</v>
      </c>
      <c r="H260" s="429" t="s">
        <v>1257</v>
      </c>
      <c r="I260" s="673" t="s">
        <v>1146</v>
      </c>
      <c r="J260" s="673" t="s">
        <v>2700</v>
      </c>
      <c r="K260" s="681" t="s">
        <v>1852</v>
      </c>
      <c r="L260" s="682" t="s">
        <v>437</v>
      </c>
      <c r="M260" s="684" t="s">
        <v>2687</v>
      </c>
      <c r="N260" s="674" t="s">
        <v>1273</v>
      </c>
      <c r="O260" s="321"/>
      <c r="P260" s="185"/>
      <c r="Q260" s="429"/>
      <c r="R260" s="575" t="s">
        <v>83</v>
      </c>
      <c r="S260" s="575" t="s">
        <v>202</v>
      </c>
      <c r="U260" s="480" t="s">
        <v>341</v>
      </c>
      <c r="V260" s="480" t="s">
        <v>3593</v>
      </c>
      <c r="AA260" s="1331"/>
    </row>
    <row r="261" spans="6:27" ht="10.5" customHeight="1">
      <c r="F261" s="677"/>
      <c r="G261" s="429" t="s">
        <v>1147</v>
      </c>
      <c r="H261" s="429" t="s">
        <v>1384</v>
      </c>
      <c r="I261" s="675" t="s">
        <v>796</v>
      </c>
      <c r="J261" s="675" t="s">
        <v>2701</v>
      </c>
      <c r="K261" s="681" t="s">
        <v>2686</v>
      </c>
      <c r="L261" s="682" t="s">
        <v>438</v>
      </c>
      <c r="M261" s="684" t="s">
        <v>1239</v>
      </c>
      <c r="N261" s="674" t="s">
        <v>1275</v>
      </c>
      <c r="O261" s="321"/>
      <c r="P261" s="185"/>
      <c r="Q261" s="429"/>
      <c r="R261" s="575" t="s">
        <v>87</v>
      </c>
      <c r="S261" s="575" t="s">
        <v>2262</v>
      </c>
      <c r="U261" s="480" t="s">
        <v>1822</v>
      </c>
      <c r="V261" s="480" t="s">
        <v>3593</v>
      </c>
      <c r="AA261" s="1331"/>
    </row>
    <row r="262" spans="6:27" ht="10.5" customHeight="1">
      <c r="F262" s="677"/>
      <c r="G262" s="429" t="s">
        <v>1148</v>
      </c>
      <c r="H262" s="429" t="s">
        <v>1384</v>
      </c>
      <c r="I262" s="675" t="s">
        <v>795</v>
      </c>
      <c r="J262" s="675" t="s">
        <v>2701</v>
      </c>
      <c r="K262" s="681" t="s">
        <v>2664</v>
      </c>
      <c r="L262" s="682" t="s">
        <v>438</v>
      </c>
      <c r="M262" s="683" t="s">
        <v>1239</v>
      </c>
      <c r="N262" s="674" t="s">
        <v>1277</v>
      </c>
      <c r="O262" s="321"/>
      <c r="P262" s="185"/>
      <c r="Q262" s="429"/>
      <c r="R262" s="575" t="s">
        <v>89</v>
      </c>
      <c r="S262" s="575" t="s">
        <v>1370</v>
      </c>
      <c r="U262" s="480" t="s">
        <v>718</v>
      </c>
      <c r="V262" s="480" t="s">
        <v>3593</v>
      </c>
      <c r="AA262" s="1331"/>
    </row>
    <row r="263" spans="6:27" ht="10.5" customHeight="1">
      <c r="F263" s="677"/>
      <c r="G263" s="429" t="s">
        <v>1149</v>
      </c>
      <c r="H263" s="429" t="s">
        <v>1384</v>
      </c>
      <c r="I263" s="673" t="s">
        <v>2246</v>
      </c>
      <c r="J263" s="673" t="s">
        <v>2700</v>
      </c>
      <c r="K263" s="681" t="s">
        <v>1853</v>
      </c>
      <c r="L263" s="682" t="s">
        <v>437</v>
      </c>
      <c r="M263" s="684" t="s">
        <v>2687</v>
      </c>
      <c r="N263" s="674" t="s">
        <v>1279</v>
      </c>
      <c r="O263" s="321"/>
      <c r="P263" s="185"/>
      <c r="Q263" s="429"/>
      <c r="R263" s="575" t="s">
        <v>1274</v>
      </c>
      <c r="S263" s="575" t="s">
        <v>2024</v>
      </c>
      <c r="U263" s="480" t="s">
        <v>2435</v>
      </c>
      <c r="V263" s="480" t="s">
        <v>3593</v>
      </c>
      <c r="AA263" s="1331"/>
    </row>
    <row r="264" spans="6:27" ht="10.5" customHeight="1">
      <c r="F264" s="677"/>
      <c r="G264" s="429" t="s">
        <v>2247</v>
      </c>
      <c r="H264" s="429" t="s">
        <v>1257</v>
      </c>
      <c r="I264" s="673" t="s">
        <v>2248</v>
      </c>
      <c r="J264" s="673" t="s">
        <v>2700</v>
      </c>
      <c r="K264" s="681" t="s">
        <v>1854</v>
      </c>
      <c r="L264" s="682" t="s">
        <v>437</v>
      </c>
      <c r="M264" s="684" t="s">
        <v>2687</v>
      </c>
      <c r="N264" s="674" t="s">
        <v>1281</v>
      </c>
      <c r="O264" s="321"/>
      <c r="P264" s="185"/>
      <c r="Q264" s="429"/>
      <c r="R264" s="575" t="s">
        <v>1276</v>
      </c>
      <c r="S264" s="575" t="s">
        <v>184</v>
      </c>
      <c r="U264" s="480" t="s">
        <v>492</v>
      </c>
      <c r="V264" s="480" t="s">
        <v>3593</v>
      </c>
      <c r="AA264" s="1331"/>
    </row>
    <row r="265" spans="6:27" ht="10.5" customHeight="1">
      <c r="F265" s="677"/>
      <c r="G265" s="429" t="s">
        <v>1666</v>
      </c>
      <c r="H265" s="429" t="s">
        <v>1666</v>
      </c>
      <c r="I265" s="429" t="s">
        <v>1666</v>
      </c>
      <c r="J265" s="673"/>
      <c r="K265" s="681"/>
      <c r="L265" s="682"/>
      <c r="M265" s="684" t="s">
        <v>2884</v>
      </c>
      <c r="N265" s="674" t="s">
        <v>1283</v>
      </c>
      <c r="O265" s="321"/>
      <c r="P265" s="185"/>
      <c r="Q265" s="429"/>
      <c r="R265" s="575" t="s">
        <v>1278</v>
      </c>
      <c r="S265" s="575" t="s">
        <v>1145</v>
      </c>
      <c r="U265" s="480" t="s">
        <v>3586</v>
      </c>
      <c r="V265" s="480" t="s">
        <v>3593</v>
      </c>
      <c r="AA265" s="1331"/>
    </row>
    <row r="266" spans="6:27" ht="10.5" customHeight="1">
      <c r="F266" s="677"/>
      <c r="G266" s="429" t="s">
        <v>2249</v>
      </c>
      <c r="H266" s="429" t="s">
        <v>1257</v>
      </c>
      <c r="I266" s="675" t="s">
        <v>2250</v>
      </c>
      <c r="J266" s="673" t="s">
        <v>2700</v>
      </c>
      <c r="K266" s="681" t="s">
        <v>473</v>
      </c>
      <c r="L266" s="682" t="s">
        <v>437</v>
      </c>
      <c r="M266" s="684" t="s">
        <v>2687</v>
      </c>
      <c r="N266" s="674" t="s">
        <v>924</v>
      </c>
      <c r="O266" s="321"/>
      <c r="P266" s="185"/>
      <c r="Q266" s="429"/>
      <c r="R266" s="676" t="s">
        <v>1280</v>
      </c>
      <c r="S266" s="676" t="s">
        <v>1252</v>
      </c>
      <c r="U266" s="480" t="s">
        <v>3587</v>
      </c>
      <c r="V266" s="480" t="s">
        <v>3593</v>
      </c>
      <c r="AA266" s="1331"/>
    </row>
    <row r="267" spans="6:27" ht="10.5" customHeight="1">
      <c r="F267" s="677"/>
      <c r="G267" s="429" t="s">
        <v>2251</v>
      </c>
      <c r="H267" s="429" t="s">
        <v>1384</v>
      </c>
      <c r="I267" s="675" t="s">
        <v>795</v>
      </c>
      <c r="J267" s="675" t="s">
        <v>2701</v>
      </c>
      <c r="K267" s="681" t="s">
        <v>2664</v>
      </c>
      <c r="L267" s="682" t="s">
        <v>438</v>
      </c>
      <c r="M267" s="683" t="s">
        <v>1239</v>
      </c>
      <c r="N267" s="674" t="s">
        <v>925</v>
      </c>
      <c r="O267" s="321"/>
      <c r="P267" s="185"/>
      <c r="Q267" s="429"/>
      <c r="R267" s="575" t="s">
        <v>1282</v>
      </c>
      <c r="S267" s="575" t="s">
        <v>2262</v>
      </c>
      <c r="U267" s="480" t="s">
        <v>80</v>
      </c>
      <c r="V267" s="480" t="s">
        <v>3593</v>
      </c>
      <c r="AA267" s="1332"/>
    </row>
    <row r="268" spans="6:27" ht="10.5" customHeight="1">
      <c r="F268" s="677"/>
      <c r="G268" s="429" t="s">
        <v>2252</v>
      </c>
      <c r="H268" s="429" t="s">
        <v>1360</v>
      </c>
      <c r="I268" s="675" t="s">
        <v>2253</v>
      </c>
      <c r="J268" s="675" t="s">
        <v>2700</v>
      </c>
      <c r="K268" s="681" t="s">
        <v>230</v>
      </c>
      <c r="L268" s="682" t="s">
        <v>437</v>
      </c>
      <c r="M268" s="684" t="s">
        <v>2687</v>
      </c>
      <c r="N268" s="674" t="s">
        <v>927</v>
      </c>
      <c r="O268" s="321"/>
      <c r="P268" s="185"/>
      <c r="Q268" s="429"/>
      <c r="R268" s="575" t="s">
        <v>2575</v>
      </c>
      <c r="S268" s="575" t="s">
        <v>1690</v>
      </c>
      <c r="U268" s="480" t="s">
        <v>2498</v>
      </c>
      <c r="V268" s="480" t="s">
        <v>3593</v>
      </c>
      <c r="AA268" s="1331"/>
    </row>
    <row r="269" spans="6:27" ht="10.5" customHeight="1">
      <c r="F269" s="677"/>
      <c r="G269" s="429" t="s">
        <v>2254</v>
      </c>
      <c r="H269" s="429" t="s">
        <v>1257</v>
      </c>
      <c r="I269" s="673" t="s">
        <v>2255</v>
      </c>
      <c r="J269" s="675" t="s">
        <v>2700</v>
      </c>
      <c r="K269" s="681" t="s">
        <v>1475</v>
      </c>
      <c r="L269" s="682" t="s">
        <v>437</v>
      </c>
      <c r="M269" s="684" t="s">
        <v>2687</v>
      </c>
      <c r="N269" s="674" t="s">
        <v>929</v>
      </c>
      <c r="O269" s="321"/>
      <c r="P269" s="185"/>
      <c r="Q269" s="429"/>
      <c r="R269" s="575" t="s">
        <v>166</v>
      </c>
      <c r="S269" s="575" t="s">
        <v>2676</v>
      </c>
      <c r="U269" s="480" t="s">
        <v>637</v>
      </c>
      <c r="V269" s="480" t="s">
        <v>3593</v>
      </c>
      <c r="AA269" s="1331"/>
    </row>
    <row r="270" spans="6:27" ht="10.5" customHeight="1">
      <c r="F270" s="677"/>
      <c r="G270" s="429" t="s">
        <v>2256</v>
      </c>
      <c r="H270" s="429" t="s">
        <v>1257</v>
      </c>
      <c r="I270" s="673" t="s">
        <v>2257</v>
      </c>
      <c r="J270" s="673" t="s">
        <v>2700</v>
      </c>
      <c r="K270" s="681" t="s">
        <v>1476</v>
      </c>
      <c r="L270" s="682" t="s">
        <v>437</v>
      </c>
      <c r="M270" s="684" t="s">
        <v>2687</v>
      </c>
      <c r="N270" s="674" t="s">
        <v>2216</v>
      </c>
      <c r="O270" s="321"/>
      <c r="P270" s="185"/>
      <c r="Q270" s="429"/>
      <c r="R270" s="575" t="s">
        <v>926</v>
      </c>
      <c r="S270" s="575" t="s">
        <v>184</v>
      </c>
      <c r="U270" s="480" t="s">
        <v>1002</v>
      </c>
      <c r="V270" s="480" t="s">
        <v>3593</v>
      </c>
      <c r="AA270" s="1331"/>
    </row>
    <row r="271" spans="6:27" ht="10.5" customHeight="1">
      <c r="F271" s="677"/>
      <c r="G271" s="429" t="s">
        <v>2258</v>
      </c>
      <c r="H271" s="429" t="s">
        <v>1384</v>
      </c>
      <c r="I271" s="673" t="s">
        <v>2259</v>
      </c>
      <c r="J271" s="673" t="s">
        <v>2700</v>
      </c>
      <c r="K271" s="681" t="s">
        <v>1477</v>
      </c>
      <c r="L271" s="682" t="s">
        <v>437</v>
      </c>
      <c r="M271" s="684" t="s">
        <v>2687</v>
      </c>
      <c r="N271" s="674" t="s">
        <v>2217</v>
      </c>
      <c r="O271" s="321"/>
      <c r="P271" s="185"/>
      <c r="Q271" s="429"/>
      <c r="R271" s="575" t="s">
        <v>928</v>
      </c>
      <c r="S271" s="575" t="s">
        <v>336</v>
      </c>
      <c r="U271" s="480" t="s">
        <v>1549</v>
      </c>
      <c r="V271" s="480" t="s">
        <v>3593</v>
      </c>
      <c r="AA271" s="1331"/>
    </row>
    <row r="272" spans="6:27" ht="10.5" customHeight="1">
      <c r="F272" s="677"/>
      <c r="G272" s="429" t="s">
        <v>2260</v>
      </c>
      <c r="H272" s="429" t="s">
        <v>1384</v>
      </c>
      <c r="I272" s="673" t="s">
        <v>2261</v>
      </c>
      <c r="J272" s="673" t="s">
        <v>2700</v>
      </c>
      <c r="K272" s="681" t="s">
        <v>2088</v>
      </c>
      <c r="L272" s="682" t="s">
        <v>437</v>
      </c>
      <c r="M272" s="684" t="s">
        <v>2687</v>
      </c>
      <c r="N272" s="674" t="s">
        <v>2133</v>
      </c>
      <c r="O272" s="321"/>
      <c r="P272" s="185"/>
      <c r="Q272" s="429"/>
      <c r="R272" s="676" t="s">
        <v>930</v>
      </c>
      <c r="S272" s="676" t="s">
        <v>1134</v>
      </c>
      <c r="U272" s="480" t="s">
        <v>2418</v>
      </c>
      <c r="V272" s="480" t="s">
        <v>3593</v>
      </c>
      <c r="AA272" s="1331"/>
    </row>
    <row r="273" spans="6:28" ht="10.5" customHeight="1">
      <c r="F273" s="677"/>
      <c r="G273" s="429" t="s">
        <v>2262</v>
      </c>
      <c r="H273" s="429" t="s">
        <v>1257</v>
      </c>
      <c r="I273" s="673" t="s">
        <v>2263</v>
      </c>
      <c r="J273" s="673" t="s">
        <v>2700</v>
      </c>
      <c r="K273" s="681" t="s">
        <v>2089</v>
      </c>
      <c r="L273" s="682" t="s">
        <v>437</v>
      </c>
      <c r="M273" s="684" t="s">
        <v>2687</v>
      </c>
      <c r="N273" s="674" t="s">
        <v>2135</v>
      </c>
      <c r="O273" s="321"/>
      <c r="P273" s="185"/>
      <c r="Q273" s="429"/>
      <c r="R273" s="575" t="s">
        <v>2654</v>
      </c>
      <c r="S273" s="575" t="s">
        <v>2569</v>
      </c>
      <c r="U273" s="480" t="s">
        <v>853</v>
      </c>
      <c r="V273" s="480" t="s">
        <v>3593</v>
      </c>
      <c r="AA273" s="1332"/>
    </row>
    <row r="274" spans="6:28" ht="10.5" customHeight="1">
      <c r="F274" s="677"/>
      <c r="G274" s="429" t="s">
        <v>2264</v>
      </c>
      <c r="H274" s="429" t="s">
        <v>1384</v>
      </c>
      <c r="I274" s="673" t="s">
        <v>903</v>
      </c>
      <c r="J274" s="673" t="s">
        <v>2700</v>
      </c>
      <c r="K274" s="681" t="s">
        <v>2090</v>
      </c>
      <c r="L274" s="682" t="s">
        <v>437</v>
      </c>
      <c r="M274" s="684" t="s">
        <v>2687</v>
      </c>
      <c r="N274" s="674" t="s">
        <v>621</v>
      </c>
      <c r="O274" s="321"/>
      <c r="P274" s="185"/>
      <c r="Q274" s="429"/>
      <c r="R274" s="575" t="s">
        <v>2218</v>
      </c>
      <c r="S274" s="575" t="s">
        <v>1148</v>
      </c>
      <c r="U274" s="480" t="s">
        <v>856</v>
      </c>
      <c r="V274" s="480" t="s">
        <v>3593</v>
      </c>
      <c r="AA274" s="1331"/>
    </row>
    <row r="275" spans="6:28" ht="10.5" customHeight="1">
      <c r="F275" s="677"/>
      <c r="G275" s="429" t="s">
        <v>904</v>
      </c>
      <c r="H275" s="429" t="s">
        <v>1257</v>
      </c>
      <c r="I275" s="673" t="s">
        <v>905</v>
      </c>
      <c r="J275" s="673" t="s">
        <v>2700</v>
      </c>
      <c r="K275" s="681" t="s">
        <v>2091</v>
      </c>
      <c r="L275" s="682" t="s">
        <v>437</v>
      </c>
      <c r="M275" s="684" t="s">
        <v>2687</v>
      </c>
      <c r="N275" s="674" t="s">
        <v>622</v>
      </c>
      <c r="O275" s="321"/>
      <c r="P275" s="185"/>
      <c r="Q275" s="429"/>
      <c r="R275" s="575" t="s">
        <v>2134</v>
      </c>
      <c r="S275" s="575" t="s">
        <v>1725</v>
      </c>
      <c r="U275" s="480" t="s">
        <v>1566</v>
      </c>
      <c r="V275" s="480" t="s">
        <v>3593</v>
      </c>
      <c r="AA275" s="1331"/>
    </row>
    <row r="276" spans="6:28" ht="10.5" customHeight="1">
      <c r="F276" s="677"/>
      <c r="G276" s="429" t="s">
        <v>1724</v>
      </c>
      <c r="H276" s="429" t="s">
        <v>1257</v>
      </c>
      <c r="I276" s="675" t="s">
        <v>1848</v>
      </c>
      <c r="J276" s="673" t="s">
        <v>2701</v>
      </c>
      <c r="K276" s="681" t="s">
        <v>1203</v>
      </c>
      <c r="L276" s="682" t="s">
        <v>438</v>
      </c>
      <c r="M276" s="683" t="s">
        <v>1239</v>
      </c>
      <c r="N276" s="674" t="s">
        <v>624</v>
      </c>
      <c r="O276" s="321"/>
      <c r="P276" s="185"/>
      <c r="Q276" s="429"/>
      <c r="R276" s="575" t="s">
        <v>2136</v>
      </c>
      <c r="S276" s="575" t="s">
        <v>2621</v>
      </c>
      <c r="U276" s="480" t="s">
        <v>500</v>
      </c>
      <c r="V276" s="480" t="s">
        <v>3593</v>
      </c>
      <c r="AA276" s="1331"/>
    </row>
    <row r="277" spans="6:28" ht="10.5" customHeight="1">
      <c r="F277" s="677"/>
      <c r="G277" s="429" t="s">
        <v>1725</v>
      </c>
      <c r="H277" s="429" t="s">
        <v>1257</v>
      </c>
      <c r="I277" s="675" t="s">
        <v>1726</v>
      </c>
      <c r="J277" s="675" t="s">
        <v>2700</v>
      </c>
      <c r="K277" s="681" t="s">
        <v>2092</v>
      </c>
      <c r="L277" s="682" t="s">
        <v>437</v>
      </c>
      <c r="M277" s="684" t="s">
        <v>2687</v>
      </c>
      <c r="N277" s="674" t="s">
        <v>626</v>
      </c>
      <c r="O277" s="321"/>
      <c r="P277" s="185"/>
      <c r="Q277" s="429"/>
      <c r="R277" s="575" t="s">
        <v>858</v>
      </c>
      <c r="S277" s="575" t="s">
        <v>331</v>
      </c>
      <c r="U277" s="480" t="s">
        <v>1445</v>
      </c>
      <c r="V277" s="480" t="s">
        <v>3593</v>
      </c>
      <c r="AA277" s="1331"/>
    </row>
    <row r="278" spans="6:28" ht="10.5" customHeight="1">
      <c r="F278" s="677"/>
      <c r="G278" s="429" t="s">
        <v>1727</v>
      </c>
      <c r="H278" s="429" t="s">
        <v>1257</v>
      </c>
      <c r="I278" s="675" t="s">
        <v>1982</v>
      </c>
      <c r="J278" s="675" t="s">
        <v>2700</v>
      </c>
      <c r="K278" s="681" t="s">
        <v>1208</v>
      </c>
      <c r="L278" s="682" t="s">
        <v>437</v>
      </c>
      <c r="M278" s="684" t="s">
        <v>2687</v>
      </c>
      <c r="N278" s="674" t="s">
        <v>627</v>
      </c>
      <c r="O278" s="321"/>
      <c r="P278" s="185"/>
      <c r="Q278" s="429"/>
      <c r="R278" s="575" t="s">
        <v>623</v>
      </c>
      <c r="S278" s="575" t="s">
        <v>124</v>
      </c>
      <c r="U278" s="480" t="s">
        <v>1447</v>
      </c>
      <c r="V278" s="480" t="s">
        <v>3593</v>
      </c>
      <c r="AA278" s="1331"/>
      <c r="AB278" s="1335"/>
    </row>
    <row r="279" spans="6:28" ht="10.5" customHeight="1">
      <c r="F279" s="677"/>
      <c r="G279" s="429" t="s">
        <v>1983</v>
      </c>
      <c r="H279" s="429" t="s">
        <v>1257</v>
      </c>
      <c r="I279" s="675" t="s">
        <v>1984</v>
      </c>
      <c r="J279" s="675" t="s">
        <v>2700</v>
      </c>
      <c r="K279" s="681" t="s">
        <v>1209</v>
      </c>
      <c r="L279" s="682" t="s">
        <v>437</v>
      </c>
      <c r="M279" s="684" t="s">
        <v>2687</v>
      </c>
      <c r="N279" s="674" t="s">
        <v>628</v>
      </c>
      <c r="O279" s="321"/>
      <c r="P279" s="185"/>
      <c r="Q279" s="429"/>
      <c r="R279" s="575" t="s">
        <v>2655</v>
      </c>
      <c r="S279" s="575" t="s">
        <v>1376</v>
      </c>
      <c r="U279" s="480" t="s">
        <v>2578</v>
      </c>
      <c r="V279" s="480" t="s">
        <v>3593</v>
      </c>
      <c r="AA279" s="1331"/>
    </row>
    <row r="280" spans="6:28" ht="10.5" customHeight="1">
      <c r="F280" s="677"/>
      <c r="G280" s="429" t="s">
        <v>1985</v>
      </c>
      <c r="H280" s="429" t="s">
        <v>1360</v>
      </c>
      <c r="I280" s="675" t="s">
        <v>1986</v>
      </c>
      <c r="J280" s="675" t="s">
        <v>2700</v>
      </c>
      <c r="K280" s="681" t="s">
        <v>1210</v>
      </c>
      <c r="L280" s="682" t="s">
        <v>437</v>
      </c>
      <c r="M280" s="684" t="s">
        <v>2687</v>
      </c>
      <c r="N280" s="674" t="s">
        <v>630</v>
      </c>
      <c r="O280" s="321"/>
      <c r="P280" s="185"/>
      <c r="Q280" s="429"/>
      <c r="R280" s="575" t="s">
        <v>625</v>
      </c>
      <c r="S280" s="575" t="s">
        <v>2677</v>
      </c>
      <c r="U280" s="480" t="s">
        <v>1095</v>
      </c>
      <c r="V280" s="480" t="s">
        <v>3593</v>
      </c>
      <c r="AA280" s="1331"/>
    </row>
    <row r="281" spans="6:28" ht="10.5" customHeight="1">
      <c r="F281" s="677"/>
      <c r="G281" s="429" t="s">
        <v>1987</v>
      </c>
      <c r="H281" s="429" t="s">
        <v>1257</v>
      </c>
      <c r="I281" s="675" t="s">
        <v>1988</v>
      </c>
      <c r="J281" s="675" t="s">
        <v>2700</v>
      </c>
      <c r="K281" s="681" t="s">
        <v>1211</v>
      </c>
      <c r="L281" s="682" t="s">
        <v>437</v>
      </c>
      <c r="M281" s="684" t="s">
        <v>2687</v>
      </c>
      <c r="N281" s="674" t="s">
        <v>632</v>
      </c>
      <c r="O281" s="321"/>
      <c r="P281" s="185"/>
      <c r="Q281" s="429"/>
      <c r="R281" s="575" t="s">
        <v>2620</v>
      </c>
      <c r="S281" s="575" t="s">
        <v>2679</v>
      </c>
      <c r="U281" s="480" t="s">
        <v>1369</v>
      </c>
      <c r="V281" s="480" t="s">
        <v>3593</v>
      </c>
      <c r="AA281" s="1331"/>
    </row>
    <row r="282" spans="6:28" ht="10.5" customHeight="1">
      <c r="F282" s="677"/>
      <c r="G282" s="429" t="s">
        <v>1989</v>
      </c>
      <c r="H282" s="429" t="s">
        <v>1384</v>
      </c>
      <c r="I282" s="673" t="s">
        <v>1990</v>
      </c>
      <c r="J282" s="675" t="s">
        <v>2700</v>
      </c>
      <c r="K282" s="681" t="s">
        <v>1212</v>
      </c>
      <c r="L282" s="682" t="s">
        <v>437</v>
      </c>
      <c r="M282" s="684" t="s">
        <v>2687</v>
      </c>
      <c r="N282" s="674" t="s">
        <v>566</v>
      </c>
      <c r="O282" s="321"/>
      <c r="P282" s="185"/>
      <c r="Q282" s="429"/>
      <c r="R282" s="575" t="s">
        <v>629</v>
      </c>
      <c r="S282" s="575" t="s">
        <v>2260</v>
      </c>
      <c r="U282" s="480" t="s">
        <v>184</v>
      </c>
      <c r="V282" s="480" t="s">
        <v>3593</v>
      </c>
      <c r="AA282" s="1331"/>
    </row>
    <row r="283" spans="6:28" ht="10.5" customHeight="1">
      <c r="F283" s="677"/>
      <c r="G283" s="429" t="s">
        <v>1991</v>
      </c>
      <c r="H283" s="429" t="s">
        <v>1257</v>
      </c>
      <c r="I283" s="675" t="s">
        <v>1992</v>
      </c>
      <c r="J283" s="673" t="s">
        <v>2700</v>
      </c>
      <c r="K283" s="681" t="s">
        <v>1213</v>
      </c>
      <c r="L283" s="682" t="s">
        <v>437</v>
      </c>
      <c r="M283" s="684" t="s">
        <v>2687</v>
      </c>
      <c r="N283" s="674" t="s">
        <v>1198</v>
      </c>
      <c r="O283" s="321"/>
      <c r="P283" s="185"/>
      <c r="Q283" s="429"/>
      <c r="R283" s="575" t="s">
        <v>2992</v>
      </c>
      <c r="S283" s="575" t="s">
        <v>1139</v>
      </c>
      <c r="U283" s="480" t="s">
        <v>1632</v>
      </c>
      <c r="V283" s="480" t="s">
        <v>3593</v>
      </c>
      <c r="AA283" s="1331"/>
    </row>
    <row r="284" spans="6:28" ht="10.5" customHeight="1">
      <c r="F284" s="677"/>
      <c r="G284" s="429" t="s">
        <v>1993</v>
      </c>
      <c r="H284" s="429" t="s">
        <v>1384</v>
      </c>
      <c r="I284" s="675" t="s">
        <v>1369</v>
      </c>
      <c r="J284" s="675" t="s">
        <v>2701</v>
      </c>
      <c r="K284" s="681" t="s">
        <v>2667</v>
      </c>
      <c r="L284" s="682" t="s">
        <v>438</v>
      </c>
      <c r="M284" s="683" t="s">
        <v>1239</v>
      </c>
      <c r="N284" s="674" t="s">
        <v>777</v>
      </c>
      <c r="O284" s="321"/>
      <c r="P284" s="185"/>
      <c r="Q284" s="429"/>
      <c r="R284" s="575" t="s">
        <v>631</v>
      </c>
      <c r="S284" s="575" t="s">
        <v>1694</v>
      </c>
      <c r="U284" s="480" t="s">
        <v>391</v>
      </c>
      <c r="V284" s="480" t="s">
        <v>3593</v>
      </c>
      <c r="AA284" s="1331"/>
    </row>
    <row r="285" spans="6:28" ht="10.5" customHeight="1">
      <c r="F285" s="677"/>
      <c r="G285" s="429" t="s">
        <v>1994</v>
      </c>
      <c r="H285" s="429" t="s">
        <v>1360</v>
      </c>
      <c r="I285" s="675" t="s">
        <v>1995</v>
      </c>
      <c r="J285" s="675" t="s">
        <v>2700</v>
      </c>
      <c r="K285" s="681" t="s">
        <v>1214</v>
      </c>
      <c r="L285" s="682" t="s">
        <v>437</v>
      </c>
      <c r="M285" s="684" t="s">
        <v>2687</v>
      </c>
      <c r="N285" s="674" t="s">
        <v>38</v>
      </c>
      <c r="O285" s="321"/>
      <c r="P285" s="185"/>
      <c r="Q285" s="429"/>
      <c r="R285" s="575" t="s">
        <v>565</v>
      </c>
      <c r="S285" s="575" t="s">
        <v>685</v>
      </c>
      <c r="U285" s="480" t="s">
        <v>393</v>
      </c>
      <c r="V285" s="480" t="s">
        <v>3593</v>
      </c>
      <c r="AA285" s="1331"/>
    </row>
    <row r="286" spans="6:28" ht="10.5" customHeight="1">
      <c r="F286" s="677"/>
      <c r="G286" s="429" t="s">
        <v>2081</v>
      </c>
      <c r="H286" s="429" t="s">
        <v>1384</v>
      </c>
      <c r="I286" s="673" t="s">
        <v>2082</v>
      </c>
      <c r="J286" s="675" t="s">
        <v>2700</v>
      </c>
      <c r="K286" s="681" t="s">
        <v>1215</v>
      </c>
      <c r="L286" s="682" t="s">
        <v>437</v>
      </c>
      <c r="M286" s="684" t="s">
        <v>2687</v>
      </c>
      <c r="N286" s="674" t="s">
        <v>2039</v>
      </c>
      <c r="O286" s="321"/>
      <c r="P286" s="185"/>
      <c r="Q286" s="429"/>
      <c r="R286" s="575" t="s">
        <v>567</v>
      </c>
      <c r="S286" s="575" t="s">
        <v>165</v>
      </c>
      <c r="U286" s="480" t="s">
        <v>1665</v>
      </c>
      <c r="V286" s="480" t="s">
        <v>3593</v>
      </c>
      <c r="AA286" s="1331"/>
    </row>
    <row r="287" spans="6:28" ht="10.5" customHeight="1">
      <c r="F287" s="677"/>
      <c r="G287" s="429" t="s">
        <v>2083</v>
      </c>
      <c r="H287" s="429" t="s">
        <v>1360</v>
      </c>
      <c r="I287" s="675" t="s">
        <v>1578</v>
      </c>
      <c r="J287" s="673" t="s">
        <v>2701</v>
      </c>
      <c r="K287" s="681" t="s">
        <v>1744</v>
      </c>
      <c r="L287" s="682" t="s">
        <v>438</v>
      </c>
      <c r="M287" s="683" t="s">
        <v>1239</v>
      </c>
      <c r="N287" s="674" t="s">
        <v>2041</v>
      </c>
      <c r="O287" s="321"/>
      <c r="P287" s="185"/>
      <c r="Q287" s="429"/>
      <c r="R287" s="575" t="s">
        <v>776</v>
      </c>
      <c r="S287" s="575" t="s">
        <v>1145</v>
      </c>
      <c r="U287" s="480" t="s">
        <v>1126</v>
      </c>
      <c r="V287" s="480" t="s">
        <v>3593</v>
      </c>
      <c r="AA287" s="1331"/>
    </row>
    <row r="288" spans="6:28" ht="10.5" customHeight="1">
      <c r="F288" s="677"/>
      <c r="G288" s="429" t="s">
        <v>2084</v>
      </c>
      <c r="H288" s="429" t="s">
        <v>1384</v>
      </c>
      <c r="I288" s="675" t="s">
        <v>795</v>
      </c>
      <c r="J288" s="675" t="s">
        <v>2701</v>
      </c>
      <c r="K288" s="681" t="s">
        <v>2664</v>
      </c>
      <c r="L288" s="682" t="s">
        <v>438</v>
      </c>
      <c r="M288" s="683" t="s">
        <v>1239</v>
      </c>
      <c r="N288" s="674" t="s">
        <v>347</v>
      </c>
      <c r="O288" s="321"/>
      <c r="P288" s="185"/>
      <c r="Q288" s="429"/>
      <c r="R288" s="575" t="s">
        <v>778</v>
      </c>
      <c r="S288" s="575" t="s">
        <v>123</v>
      </c>
      <c r="U288" s="480" t="s">
        <v>3588</v>
      </c>
      <c r="V288" s="480" t="s">
        <v>3593</v>
      </c>
      <c r="AA288" s="1331"/>
    </row>
    <row r="289" spans="6:27" ht="10.5" customHeight="1">
      <c r="F289" s="677"/>
      <c r="G289" s="429" t="s">
        <v>2085</v>
      </c>
      <c r="H289" s="429" t="s">
        <v>1257</v>
      </c>
      <c r="I289" s="675" t="s">
        <v>105</v>
      </c>
      <c r="J289" s="675" t="s">
        <v>2700</v>
      </c>
      <c r="K289" s="681" t="s">
        <v>1216</v>
      </c>
      <c r="L289" s="682" t="s">
        <v>437</v>
      </c>
      <c r="M289" s="684" t="s">
        <v>2687</v>
      </c>
      <c r="N289" s="674" t="s">
        <v>349</v>
      </c>
      <c r="O289" s="321"/>
      <c r="P289" s="185"/>
      <c r="Q289" s="429"/>
      <c r="R289" s="575" t="s">
        <v>39</v>
      </c>
      <c r="S289" s="575" t="s">
        <v>181</v>
      </c>
      <c r="U289" s="480" t="s">
        <v>3589</v>
      </c>
      <c r="V289" s="480" t="s">
        <v>3593</v>
      </c>
      <c r="AA289" s="1331"/>
    </row>
    <row r="290" spans="6:27" ht="10.5" customHeight="1">
      <c r="F290" s="677"/>
      <c r="G290" s="429" t="s">
        <v>106</v>
      </c>
      <c r="H290" s="429" t="s">
        <v>1384</v>
      </c>
      <c r="I290" s="675" t="s">
        <v>107</v>
      </c>
      <c r="J290" s="675" t="s">
        <v>2700</v>
      </c>
      <c r="K290" s="681" t="s">
        <v>1217</v>
      </c>
      <c r="L290" s="682" t="s">
        <v>437</v>
      </c>
      <c r="M290" s="684" t="s">
        <v>2687</v>
      </c>
      <c r="N290" s="674" t="s">
        <v>351</v>
      </c>
      <c r="O290" s="321"/>
      <c r="P290" s="185"/>
      <c r="Q290" s="429"/>
      <c r="R290" s="575" t="s">
        <v>2040</v>
      </c>
      <c r="S290" s="575" t="s">
        <v>2324</v>
      </c>
      <c r="U290" s="480" t="s">
        <v>540</v>
      </c>
      <c r="V290" s="480" t="s">
        <v>3593</v>
      </c>
      <c r="AA290" s="1331"/>
    </row>
    <row r="291" spans="6:27" ht="10.5" customHeight="1">
      <c r="F291" s="677"/>
      <c r="G291" s="429" t="s">
        <v>108</v>
      </c>
      <c r="H291" s="429" t="s">
        <v>1257</v>
      </c>
      <c r="I291" s="675" t="s">
        <v>109</v>
      </c>
      <c r="J291" s="675" t="s">
        <v>2700</v>
      </c>
      <c r="K291" s="681" t="s">
        <v>1218</v>
      </c>
      <c r="L291" s="682" t="s">
        <v>437</v>
      </c>
      <c r="M291" s="684" t="s">
        <v>2687</v>
      </c>
      <c r="N291" s="674" t="s">
        <v>353</v>
      </c>
      <c r="O291" s="321"/>
      <c r="P291" s="185"/>
      <c r="Q291" s="429"/>
      <c r="R291" s="575" t="s">
        <v>2042</v>
      </c>
      <c r="S291" s="575" t="s">
        <v>2680</v>
      </c>
      <c r="U291" s="480" t="s">
        <v>542</v>
      </c>
      <c r="V291" s="480" t="s">
        <v>3593</v>
      </c>
      <c r="AA291" s="1331"/>
    </row>
    <row r="292" spans="6:27" ht="10.5" customHeight="1">
      <c r="F292" s="677"/>
      <c r="G292" s="429" t="s">
        <v>110</v>
      </c>
      <c r="H292" s="429" t="s">
        <v>1257</v>
      </c>
      <c r="I292" s="675" t="s">
        <v>111</v>
      </c>
      <c r="J292" s="675" t="s">
        <v>2700</v>
      </c>
      <c r="K292" s="681" t="s">
        <v>1219</v>
      </c>
      <c r="L292" s="682" t="s">
        <v>437</v>
      </c>
      <c r="M292" s="684" t="s">
        <v>2687</v>
      </c>
      <c r="N292" s="674" t="s">
        <v>355</v>
      </c>
      <c r="O292" s="321"/>
      <c r="P292" s="185"/>
      <c r="Q292" s="429"/>
      <c r="R292" s="575" t="s">
        <v>348</v>
      </c>
      <c r="S292" s="575" t="s">
        <v>2024</v>
      </c>
      <c r="U292" s="480" t="s">
        <v>548</v>
      </c>
      <c r="V292" s="480" t="s">
        <v>3593</v>
      </c>
      <c r="AA292" s="1331"/>
    </row>
    <row r="293" spans="6:27" ht="10.5" customHeight="1">
      <c r="F293" s="677"/>
      <c r="G293" s="429" t="s">
        <v>112</v>
      </c>
      <c r="H293" s="429" t="s">
        <v>1257</v>
      </c>
      <c r="I293" s="675" t="s">
        <v>113</v>
      </c>
      <c r="J293" s="675" t="s">
        <v>2700</v>
      </c>
      <c r="K293" s="681" t="s">
        <v>1220</v>
      </c>
      <c r="L293" s="682" t="s">
        <v>437</v>
      </c>
      <c r="M293" s="684" t="s">
        <v>2687</v>
      </c>
      <c r="N293" s="674" t="s">
        <v>357</v>
      </c>
      <c r="O293" s="321"/>
      <c r="P293" s="185"/>
      <c r="Q293" s="429"/>
      <c r="R293" s="575" t="s">
        <v>350</v>
      </c>
      <c r="S293" s="575" t="s">
        <v>907</v>
      </c>
      <c r="U293" s="480" t="s">
        <v>561</v>
      </c>
      <c r="V293" s="480" t="s">
        <v>3593</v>
      </c>
      <c r="AA293" s="1331"/>
    </row>
    <row r="294" spans="6:27" ht="10.5" customHeight="1">
      <c r="F294" s="677"/>
      <c r="G294" s="429" t="s">
        <v>114</v>
      </c>
      <c r="H294" s="429" t="s">
        <v>1257</v>
      </c>
      <c r="I294" s="675" t="s">
        <v>115</v>
      </c>
      <c r="J294" s="675" t="s">
        <v>2700</v>
      </c>
      <c r="K294" s="681" t="s">
        <v>2440</v>
      </c>
      <c r="L294" s="682" t="s">
        <v>437</v>
      </c>
      <c r="M294" s="684" t="s">
        <v>2687</v>
      </c>
      <c r="N294" s="674" t="s">
        <v>2014</v>
      </c>
      <c r="O294" s="321"/>
      <c r="P294" s="185"/>
      <c r="Q294" s="429"/>
      <c r="R294" s="575" t="s">
        <v>352</v>
      </c>
      <c r="S294" s="575" t="s">
        <v>184</v>
      </c>
      <c r="U294" s="480" t="s">
        <v>1694</v>
      </c>
      <c r="V294" s="480" t="s">
        <v>3593</v>
      </c>
      <c r="AA294" s="1331"/>
    </row>
    <row r="295" spans="6:27" ht="10.5" customHeight="1">
      <c r="F295" s="677"/>
      <c r="G295" s="429" t="s">
        <v>116</v>
      </c>
      <c r="H295" s="429" t="s">
        <v>1360</v>
      </c>
      <c r="I295" s="675" t="s">
        <v>117</v>
      </c>
      <c r="J295" s="675" t="s">
        <v>2700</v>
      </c>
      <c r="K295" s="681" t="s">
        <v>2441</v>
      </c>
      <c r="L295" s="682" t="s">
        <v>437</v>
      </c>
      <c r="M295" s="684" t="s">
        <v>2687</v>
      </c>
      <c r="N295" s="674" t="s">
        <v>2016</v>
      </c>
      <c r="O295" s="321"/>
      <c r="P295" s="185"/>
      <c r="Q295" s="429"/>
      <c r="R295" s="575" t="s">
        <v>354</v>
      </c>
      <c r="S295" s="575" t="s">
        <v>2484</v>
      </c>
      <c r="U295" s="480" t="s">
        <v>2173</v>
      </c>
      <c r="V295" s="480" t="s">
        <v>3593</v>
      </c>
      <c r="AA295" s="1331"/>
    </row>
    <row r="296" spans="6:27" ht="10.5" customHeight="1">
      <c r="F296" s="677"/>
      <c r="G296" s="429" t="s">
        <v>2024</v>
      </c>
      <c r="H296" s="429" t="s">
        <v>1360</v>
      </c>
      <c r="I296" s="673" t="s">
        <v>348</v>
      </c>
      <c r="J296" s="675" t="s">
        <v>2701</v>
      </c>
      <c r="K296" s="681" t="s">
        <v>2442</v>
      </c>
      <c r="L296" s="682" t="s">
        <v>438</v>
      </c>
      <c r="M296" s="684" t="s">
        <v>1239</v>
      </c>
      <c r="N296" s="674" t="s">
        <v>2232</v>
      </c>
      <c r="O296" s="321"/>
      <c r="P296" s="185"/>
      <c r="Q296" s="429"/>
      <c r="R296" s="676" t="s">
        <v>356</v>
      </c>
      <c r="S296" s="676" t="s">
        <v>1951</v>
      </c>
      <c r="U296" s="480" t="s">
        <v>3590</v>
      </c>
      <c r="V296" s="480" t="s">
        <v>3593</v>
      </c>
      <c r="AA296" s="1331"/>
    </row>
    <row r="297" spans="6:27" ht="10.5" customHeight="1">
      <c r="F297" s="677"/>
      <c r="G297" s="429" t="s">
        <v>2025</v>
      </c>
      <c r="H297" s="429" t="s">
        <v>1257</v>
      </c>
      <c r="I297" s="675" t="s">
        <v>2481</v>
      </c>
      <c r="J297" s="673" t="s">
        <v>2700</v>
      </c>
      <c r="K297" s="681" t="s">
        <v>2443</v>
      </c>
      <c r="L297" s="682" t="s">
        <v>437</v>
      </c>
      <c r="M297" s="684" t="s">
        <v>2687</v>
      </c>
      <c r="N297" s="674" t="s">
        <v>158</v>
      </c>
      <c r="O297" s="321"/>
      <c r="P297" s="185"/>
      <c r="Q297" s="429"/>
      <c r="R297" s="575" t="s">
        <v>358</v>
      </c>
      <c r="S297" s="575" t="s">
        <v>180</v>
      </c>
      <c r="U297" s="480" t="s">
        <v>2328</v>
      </c>
      <c r="V297" s="480" t="s">
        <v>3593</v>
      </c>
      <c r="AA297" s="1332"/>
    </row>
    <row r="298" spans="6:27" ht="10.5" customHeight="1">
      <c r="F298" s="677"/>
      <c r="G298" s="429" t="s">
        <v>2482</v>
      </c>
      <c r="H298" s="429" t="s">
        <v>1384</v>
      </c>
      <c r="I298" s="675" t="s">
        <v>2483</v>
      </c>
      <c r="J298" s="675" t="s">
        <v>2700</v>
      </c>
      <c r="K298" s="681" t="s">
        <v>435</v>
      </c>
      <c r="L298" s="682" t="s">
        <v>437</v>
      </c>
      <c r="M298" s="684" t="s">
        <v>2687</v>
      </c>
      <c r="N298" s="674" t="s">
        <v>159</v>
      </c>
      <c r="O298" s="321"/>
      <c r="P298" s="185"/>
      <c r="Q298" s="429"/>
      <c r="R298" s="575" t="s">
        <v>2015</v>
      </c>
      <c r="S298" s="575" t="s">
        <v>108</v>
      </c>
      <c r="U298" s="480" t="s">
        <v>412</v>
      </c>
      <c r="V298" s="480" t="s">
        <v>3593</v>
      </c>
      <c r="AA298" s="1331"/>
    </row>
    <row r="299" spans="6:27" ht="10.5" customHeight="1">
      <c r="F299" s="677"/>
      <c r="G299" s="429" t="s">
        <v>2484</v>
      </c>
      <c r="H299" s="429" t="s">
        <v>1384</v>
      </c>
      <c r="I299" s="675" t="s">
        <v>2485</v>
      </c>
      <c r="J299" s="675" t="s">
        <v>2700</v>
      </c>
      <c r="K299" s="681" t="s">
        <v>436</v>
      </c>
      <c r="L299" s="682" t="s">
        <v>437</v>
      </c>
      <c r="M299" s="684" t="s">
        <v>2687</v>
      </c>
      <c r="N299" s="674" t="s">
        <v>1637</v>
      </c>
      <c r="O299" s="321"/>
      <c r="P299" s="185"/>
      <c r="Q299" s="429"/>
      <c r="R299" s="575" t="s">
        <v>201</v>
      </c>
      <c r="S299" s="575" t="s">
        <v>1724</v>
      </c>
      <c r="U299" s="480" t="s">
        <v>1909</v>
      </c>
      <c r="V299" s="480" t="s">
        <v>3593</v>
      </c>
      <c r="AA299" s="1331"/>
    </row>
    <row r="300" spans="6:27" ht="10.5" customHeight="1">
      <c r="F300" s="367"/>
      <c r="G300" s="429" t="s">
        <v>2486</v>
      </c>
      <c r="H300" s="429" t="s">
        <v>1257</v>
      </c>
      <c r="I300" s="675" t="s">
        <v>1848</v>
      </c>
      <c r="J300" s="675" t="s">
        <v>2701</v>
      </c>
      <c r="K300" s="681" t="s">
        <v>1203</v>
      </c>
      <c r="L300" s="682" t="s">
        <v>438</v>
      </c>
      <c r="M300" s="683" t="s">
        <v>1239</v>
      </c>
      <c r="N300" s="674" t="s">
        <v>822</v>
      </c>
      <c r="O300" s="321"/>
      <c r="P300" s="185"/>
      <c r="Q300" s="429"/>
      <c r="R300" s="575" t="s">
        <v>2233</v>
      </c>
      <c r="S300" s="575" t="s">
        <v>201</v>
      </c>
      <c r="U300" s="480" t="s">
        <v>2352</v>
      </c>
      <c r="V300" s="480" t="s">
        <v>3593</v>
      </c>
      <c r="AA300" s="1331"/>
    </row>
    <row r="301" spans="6:27" ht="10.5" customHeight="1">
      <c r="F301" s="367"/>
      <c r="G301" s="344"/>
      <c r="H301" s="344"/>
      <c r="I301" s="344"/>
      <c r="J301" s="415"/>
      <c r="K301" s="344"/>
      <c r="L301" s="344"/>
      <c r="M301" s="402"/>
      <c r="N301" s="674" t="s">
        <v>824</v>
      </c>
      <c r="O301" s="321"/>
      <c r="P301" s="185"/>
      <c r="Q301" s="429"/>
      <c r="R301" s="575" t="s">
        <v>716</v>
      </c>
      <c r="S301" s="575" t="s">
        <v>2256</v>
      </c>
      <c r="U301" s="480" t="s">
        <v>581</v>
      </c>
      <c r="V301" s="480" t="s">
        <v>3593</v>
      </c>
      <c r="AA301" s="1331"/>
    </row>
    <row r="302" spans="6:27" ht="10.5" customHeight="1">
      <c r="F302" s="367"/>
      <c r="G302" s="344"/>
      <c r="H302" s="344"/>
      <c r="I302" s="344"/>
      <c r="J302" s="344"/>
      <c r="K302" s="344"/>
      <c r="L302" s="344"/>
      <c r="M302" s="344"/>
      <c r="N302" s="674" t="s">
        <v>826</v>
      </c>
      <c r="O302" s="321"/>
      <c r="P302" s="185"/>
      <c r="Q302" s="429"/>
      <c r="R302" s="676" t="s">
        <v>160</v>
      </c>
      <c r="S302" s="676" t="s">
        <v>1950</v>
      </c>
      <c r="U302" s="480" t="s">
        <v>1507</v>
      </c>
      <c r="V302" s="480" t="s">
        <v>3593</v>
      </c>
      <c r="AA302" s="1331"/>
    </row>
    <row r="303" spans="6:27" ht="10.5" customHeight="1">
      <c r="F303" s="367"/>
      <c r="G303" s="344"/>
      <c r="H303" s="344"/>
      <c r="I303" s="344"/>
      <c r="J303" s="344"/>
      <c r="K303" s="344"/>
      <c r="L303" s="344"/>
      <c r="M303" s="344"/>
      <c r="N303" s="674" t="s">
        <v>2507</v>
      </c>
      <c r="O303" s="321"/>
      <c r="P303" s="185"/>
      <c r="Q303" s="429"/>
      <c r="R303" s="575" t="s">
        <v>202</v>
      </c>
      <c r="S303" s="575" t="s">
        <v>652</v>
      </c>
      <c r="U303" s="480" t="s">
        <v>1639</v>
      </c>
      <c r="V303" s="480" t="s">
        <v>3593</v>
      </c>
      <c r="AA303" s="1332"/>
    </row>
    <row r="304" spans="6:27" ht="10.5" customHeight="1">
      <c r="F304" s="367"/>
      <c r="G304" s="344"/>
      <c r="H304" s="344"/>
      <c r="I304" s="344"/>
      <c r="J304" s="344"/>
      <c r="K304" s="344"/>
      <c r="L304" s="344"/>
      <c r="M304" s="344"/>
      <c r="N304" s="674" t="s">
        <v>2508</v>
      </c>
      <c r="O304" s="321"/>
      <c r="P304" s="185"/>
      <c r="Q304" s="429"/>
      <c r="R304" s="575" t="s">
        <v>2656</v>
      </c>
      <c r="S304" s="575" t="s">
        <v>2085</v>
      </c>
      <c r="U304" s="480" t="s">
        <v>2198</v>
      </c>
      <c r="V304" s="480" t="s">
        <v>3593</v>
      </c>
      <c r="AA304" s="1331"/>
    </row>
    <row r="305" spans="6:27" ht="10.5" customHeight="1">
      <c r="F305" s="367"/>
      <c r="G305" s="344"/>
      <c r="H305" s="344"/>
      <c r="I305" s="344"/>
      <c r="J305" s="344"/>
      <c r="K305" s="344"/>
      <c r="L305" s="344"/>
      <c r="M305" s="344"/>
      <c r="N305" s="674" t="s">
        <v>2510</v>
      </c>
      <c r="O305" s="321"/>
      <c r="P305" s="185"/>
      <c r="Q305" s="429"/>
      <c r="R305" s="575" t="s">
        <v>823</v>
      </c>
      <c r="S305" s="575" t="s">
        <v>108</v>
      </c>
      <c r="U305" s="480" t="s">
        <v>2200</v>
      </c>
      <c r="V305" s="480" t="s">
        <v>3593</v>
      </c>
      <c r="AA305" s="1331"/>
    </row>
    <row r="306" spans="6:27" ht="10.5" customHeight="1">
      <c r="F306" s="367"/>
      <c r="G306" s="344"/>
      <c r="H306" s="344"/>
      <c r="I306" s="344"/>
      <c r="J306" s="344"/>
      <c r="K306" s="344"/>
      <c r="L306" s="344"/>
      <c r="M306" s="344"/>
      <c r="N306" s="674" t="s">
        <v>2512</v>
      </c>
      <c r="O306" s="321"/>
      <c r="P306" s="185"/>
      <c r="Q306" s="429"/>
      <c r="R306" s="575" t="s">
        <v>825</v>
      </c>
      <c r="S306" s="575" t="s">
        <v>124</v>
      </c>
      <c r="U306" s="480" t="s">
        <v>1496</v>
      </c>
      <c r="V306" s="480" t="s">
        <v>3593</v>
      </c>
      <c r="AA306" s="1331"/>
    </row>
    <row r="307" spans="6:27" ht="10.5" customHeight="1">
      <c r="F307" s="367"/>
      <c r="G307" s="344"/>
      <c r="H307" s="344"/>
      <c r="I307" s="344"/>
      <c r="J307" s="344"/>
      <c r="K307" s="344"/>
      <c r="L307" s="344"/>
      <c r="M307" s="344"/>
      <c r="N307" s="674" t="s">
        <v>2513</v>
      </c>
      <c r="O307" s="321"/>
      <c r="P307" s="185"/>
      <c r="Q307" s="429"/>
      <c r="R307" s="575" t="s">
        <v>827</v>
      </c>
      <c r="S307" s="575" t="s">
        <v>339</v>
      </c>
      <c r="U307" s="480" t="s">
        <v>1613</v>
      </c>
      <c r="V307" s="480" t="s">
        <v>3593</v>
      </c>
      <c r="AA307" s="1331"/>
    </row>
    <row r="308" spans="6:27" ht="10.5" customHeight="1">
      <c r="F308" s="367"/>
      <c r="G308" s="344"/>
      <c r="H308" s="344"/>
      <c r="I308" s="344"/>
      <c r="J308" s="344"/>
      <c r="K308" s="344"/>
      <c r="L308" s="344"/>
      <c r="M308" s="344"/>
      <c r="N308" s="674" t="s">
        <v>395</v>
      </c>
      <c r="O308" s="321"/>
      <c r="P308" s="185"/>
      <c r="Q308" s="429"/>
      <c r="R308" s="575" t="s">
        <v>2993</v>
      </c>
      <c r="S308" s="575" t="s">
        <v>911</v>
      </c>
      <c r="U308" s="480" t="s">
        <v>1226</v>
      </c>
      <c r="V308" s="480" t="s">
        <v>3593</v>
      </c>
      <c r="AA308" s="1331"/>
    </row>
    <row r="309" spans="6:27" ht="10.5" customHeight="1">
      <c r="F309" s="367"/>
      <c r="G309" s="344"/>
      <c r="H309" s="344"/>
      <c r="I309" s="344"/>
      <c r="J309" s="344"/>
      <c r="K309" s="344"/>
      <c r="L309" s="344"/>
      <c r="M309" s="344"/>
      <c r="N309" s="674" t="s">
        <v>49</v>
      </c>
      <c r="O309" s="321"/>
      <c r="P309" s="185"/>
      <c r="Q309" s="429"/>
      <c r="R309" s="676" t="s">
        <v>2509</v>
      </c>
      <c r="S309" s="676" t="s">
        <v>1509</v>
      </c>
      <c r="U309" s="480" t="s">
        <v>1816</v>
      </c>
      <c r="V309" s="480" t="s">
        <v>3593</v>
      </c>
      <c r="AA309" s="1331"/>
    </row>
    <row r="310" spans="6:27" ht="10.5" customHeight="1">
      <c r="F310" s="367"/>
      <c r="G310" s="344"/>
      <c r="H310" s="344"/>
      <c r="I310" s="344"/>
      <c r="J310" s="344"/>
      <c r="K310" s="344"/>
      <c r="L310" s="344"/>
      <c r="M310" s="344"/>
      <c r="N310" s="674" t="s">
        <v>51</v>
      </c>
      <c r="O310" s="321"/>
      <c r="P310" s="185"/>
      <c r="Q310" s="429"/>
      <c r="R310" s="575" t="s">
        <v>2511</v>
      </c>
      <c r="S310" s="575" t="s">
        <v>1143</v>
      </c>
      <c r="U310" s="480" t="s">
        <v>1883</v>
      </c>
      <c r="V310" s="480" t="s">
        <v>3593</v>
      </c>
      <c r="AA310" s="1332"/>
    </row>
    <row r="311" spans="6:27" ht="10.5" customHeight="1">
      <c r="F311" s="367"/>
      <c r="G311" s="344"/>
      <c r="H311" s="344"/>
      <c r="I311" s="344"/>
      <c r="J311" s="344"/>
      <c r="K311" s="344"/>
      <c r="L311" s="344"/>
      <c r="M311" s="344"/>
      <c r="N311" s="674" t="s">
        <v>1996</v>
      </c>
      <c r="O311" s="321"/>
      <c r="P311" s="185"/>
      <c r="Q311" s="429"/>
      <c r="R311" s="575" t="s">
        <v>2657</v>
      </c>
      <c r="S311" s="575" t="s">
        <v>692</v>
      </c>
      <c r="U311" s="480" t="s">
        <v>1141</v>
      </c>
      <c r="V311" s="480" t="s">
        <v>3593</v>
      </c>
      <c r="AA311" s="1331"/>
    </row>
    <row r="312" spans="6:27" ht="10.5" customHeight="1">
      <c r="F312" s="367"/>
      <c r="G312" s="344"/>
      <c r="H312" s="344"/>
      <c r="I312" s="344"/>
      <c r="J312" s="344"/>
      <c r="K312" s="344"/>
      <c r="L312" s="344"/>
      <c r="M312" s="344"/>
      <c r="N312" s="674" t="s">
        <v>1997</v>
      </c>
      <c r="O312" s="321"/>
      <c r="P312" s="185"/>
      <c r="Q312" s="429"/>
      <c r="R312" s="575" t="s">
        <v>394</v>
      </c>
      <c r="S312" s="575" t="s">
        <v>2575</v>
      </c>
      <c r="U312" s="480" t="s">
        <v>3591</v>
      </c>
      <c r="V312" s="480" t="s">
        <v>3593</v>
      </c>
      <c r="AA312" s="1331"/>
    </row>
    <row r="313" spans="6:27" ht="10.5" customHeight="1">
      <c r="F313" s="367"/>
      <c r="G313" s="344"/>
      <c r="H313" s="344"/>
      <c r="I313" s="344"/>
      <c r="J313" s="344"/>
      <c r="K313" s="344"/>
      <c r="L313" s="344"/>
      <c r="M313" s="344"/>
      <c r="N313" s="674" t="s">
        <v>1999</v>
      </c>
      <c r="O313" s="321"/>
      <c r="P313" s="185"/>
      <c r="Q313" s="429"/>
      <c r="R313" s="678" t="s">
        <v>396</v>
      </c>
      <c r="S313" s="575" t="s">
        <v>2249</v>
      </c>
      <c r="U313" s="480" t="s">
        <v>2222</v>
      </c>
      <c r="V313" s="480" t="s">
        <v>3593</v>
      </c>
      <c r="AA313" s="1331"/>
    </row>
    <row r="314" spans="6:27" ht="10.5" customHeight="1">
      <c r="F314" s="367"/>
      <c r="G314" s="344"/>
      <c r="H314" s="344"/>
      <c r="I314" s="344"/>
      <c r="J314" s="344"/>
      <c r="K314" s="344"/>
      <c r="L314" s="344"/>
      <c r="M314" s="344"/>
      <c r="N314" s="674" t="s">
        <v>2000</v>
      </c>
      <c r="O314" s="321"/>
      <c r="P314" s="185"/>
      <c r="Q314" s="429"/>
      <c r="R314" s="575" t="s">
        <v>50</v>
      </c>
      <c r="S314" s="575" t="s">
        <v>987</v>
      </c>
      <c r="U314" s="480" t="s">
        <v>1576</v>
      </c>
      <c r="V314" s="480" t="s">
        <v>3593</v>
      </c>
      <c r="AA314" s="1333"/>
    </row>
    <row r="315" spans="6:27" ht="10.5" customHeight="1">
      <c r="F315" s="367"/>
      <c r="G315" s="344"/>
      <c r="H315" s="344"/>
      <c r="I315" s="344"/>
      <c r="J315" s="344"/>
      <c r="K315" s="344"/>
      <c r="L315" s="344"/>
      <c r="M315" s="344"/>
      <c r="N315" s="674" t="s">
        <v>2001</v>
      </c>
      <c r="O315" s="321"/>
      <c r="P315" s="185"/>
      <c r="Q315" s="429"/>
      <c r="R315" s="575" t="s">
        <v>52</v>
      </c>
      <c r="S315" s="575" t="s">
        <v>652</v>
      </c>
      <c r="U315" s="480" t="s">
        <v>65</v>
      </c>
      <c r="V315" s="480" t="s">
        <v>3593</v>
      </c>
      <c r="AA315" s="1331"/>
    </row>
    <row r="316" spans="6:27" ht="10.5" customHeight="1">
      <c r="F316" s="367"/>
      <c r="G316" s="344"/>
      <c r="H316" s="344"/>
      <c r="I316" s="344"/>
      <c r="J316" s="344"/>
      <c r="K316" s="344"/>
      <c r="L316" s="344"/>
      <c r="M316" s="344"/>
      <c r="N316" s="674" t="s">
        <v>2003</v>
      </c>
      <c r="O316" s="321"/>
      <c r="P316" s="185"/>
      <c r="Q316" s="429"/>
      <c r="R316" s="575" t="s">
        <v>906</v>
      </c>
      <c r="S316" s="575" t="s">
        <v>2573</v>
      </c>
      <c r="U316" s="480" t="s">
        <v>69</v>
      </c>
      <c r="V316" s="480" t="s">
        <v>3593</v>
      </c>
      <c r="AA316" s="1331"/>
    </row>
    <row r="317" spans="6:27" ht="10.5" customHeight="1">
      <c r="F317" s="367"/>
      <c r="G317" s="344"/>
      <c r="H317" s="344"/>
      <c r="I317" s="344"/>
      <c r="J317" s="344"/>
      <c r="K317" s="344"/>
      <c r="L317" s="344"/>
      <c r="M317" s="344"/>
      <c r="N317" s="674" t="s">
        <v>744</v>
      </c>
      <c r="O317" s="321"/>
      <c r="P317" s="185"/>
      <c r="Q317" s="429"/>
      <c r="R317" s="676" t="s">
        <v>1998</v>
      </c>
      <c r="S317" s="676" t="s">
        <v>906</v>
      </c>
      <c r="U317" s="480" t="s">
        <v>71</v>
      </c>
      <c r="V317" s="480" t="s">
        <v>3593</v>
      </c>
      <c r="AA317" s="1331"/>
    </row>
    <row r="318" spans="6:27" ht="10.5" customHeight="1">
      <c r="F318" s="367"/>
      <c r="G318" s="344"/>
      <c r="H318" s="344"/>
      <c r="I318" s="344"/>
      <c r="J318" s="344"/>
      <c r="K318" s="344"/>
      <c r="L318" s="344"/>
      <c r="M318" s="344"/>
      <c r="N318" s="674" t="s">
        <v>1181</v>
      </c>
      <c r="O318" s="321"/>
      <c r="P318" s="185"/>
      <c r="Q318" s="429"/>
      <c r="R318" s="676" t="s">
        <v>2658</v>
      </c>
      <c r="S318" s="676" t="s">
        <v>652</v>
      </c>
      <c r="U318" s="480" t="s">
        <v>808</v>
      </c>
      <c r="V318" s="480" t="s">
        <v>3593</v>
      </c>
      <c r="AA318" s="1332"/>
    </row>
    <row r="319" spans="6:27" ht="10.5" customHeight="1">
      <c r="F319" s="367"/>
      <c r="G319" s="344"/>
      <c r="H319" s="344"/>
      <c r="I319" s="344"/>
      <c r="J319" s="344"/>
      <c r="K319" s="344"/>
      <c r="L319" s="344"/>
      <c r="M319" s="344"/>
      <c r="N319" s="674" t="s">
        <v>1183</v>
      </c>
      <c r="O319" s="321"/>
      <c r="P319" s="185"/>
      <c r="Q319" s="429"/>
      <c r="R319" s="575" t="s">
        <v>2994</v>
      </c>
      <c r="S319" s="575" t="s">
        <v>2570</v>
      </c>
      <c r="U319" s="480" t="s">
        <v>974</v>
      </c>
      <c r="V319" s="480" t="s">
        <v>3593</v>
      </c>
      <c r="AA319" s="1332"/>
    </row>
    <row r="320" spans="6:27" ht="10.5" customHeight="1">
      <c r="F320" s="367"/>
      <c r="G320" s="344"/>
      <c r="H320" s="344"/>
      <c r="I320" s="344"/>
      <c r="J320" s="344"/>
      <c r="K320" s="344"/>
      <c r="L320" s="344"/>
      <c r="M320" s="344"/>
      <c r="N320" s="674" t="s">
        <v>1185</v>
      </c>
      <c r="O320" s="321"/>
      <c r="P320" s="185"/>
      <c r="Q320" s="429"/>
      <c r="R320" s="575" t="s">
        <v>2002</v>
      </c>
      <c r="S320" s="575" t="s">
        <v>1509</v>
      </c>
      <c r="U320" s="480" t="s">
        <v>1080</v>
      </c>
      <c r="V320" s="480" t="s">
        <v>3593</v>
      </c>
      <c r="AA320" s="1331"/>
    </row>
    <row r="321" spans="6:27" ht="10.5" customHeight="1">
      <c r="F321" s="367"/>
      <c r="G321" s="344"/>
      <c r="H321" s="344"/>
      <c r="I321" s="344"/>
      <c r="J321" s="344"/>
      <c r="K321" s="344"/>
      <c r="L321" s="344"/>
      <c r="M321" s="344"/>
      <c r="N321" s="674" t="s">
        <v>2600</v>
      </c>
      <c r="O321" s="321"/>
      <c r="P321" s="185"/>
      <c r="Q321" s="429"/>
      <c r="R321" s="575" t="s">
        <v>2004</v>
      </c>
      <c r="S321" s="575" t="s">
        <v>1509</v>
      </c>
      <c r="U321" s="480" t="s">
        <v>2348</v>
      </c>
      <c r="V321" s="480" t="s">
        <v>3593</v>
      </c>
      <c r="AA321" s="1331"/>
    </row>
    <row r="322" spans="6:27" ht="10.5" customHeight="1">
      <c r="F322" s="367"/>
      <c r="G322" s="344"/>
      <c r="H322" s="344"/>
      <c r="I322" s="344"/>
      <c r="J322" s="344"/>
      <c r="K322" s="344"/>
      <c r="L322" s="344"/>
      <c r="M322" s="344"/>
      <c r="N322" s="674" t="s">
        <v>2602</v>
      </c>
      <c r="O322" s="321"/>
      <c r="P322" s="185"/>
      <c r="Q322" s="429"/>
      <c r="R322" s="575" t="s">
        <v>745</v>
      </c>
      <c r="S322" s="575" t="s">
        <v>123</v>
      </c>
      <c r="U322" s="480" t="s">
        <v>2608</v>
      </c>
      <c r="V322" s="480" t="s">
        <v>3593</v>
      </c>
      <c r="AA322" s="1331"/>
    </row>
    <row r="323" spans="6:27" ht="10.5" customHeight="1">
      <c r="F323" s="367"/>
      <c r="G323" s="344"/>
      <c r="H323" s="344"/>
      <c r="I323" s="344"/>
      <c r="J323" s="344"/>
      <c r="K323" s="344"/>
      <c r="L323" s="344"/>
      <c r="M323" s="344"/>
      <c r="N323" s="674" t="s">
        <v>193</v>
      </c>
      <c r="O323" s="321"/>
      <c r="P323" s="185"/>
      <c r="Q323" s="429"/>
      <c r="R323" s="575" t="s">
        <v>717</v>
      </c>
      <c r="S323" s="575" t="s">
        <v>652</v>
      </c>
      <c r="U323" s="480" t="s">
        <v>2242</v>
      </c>
      <c r="V323" s="480" t="s">
        <v>3593</v>
      </c>
      <c r="AA323" s="1331"/>
    </row>
    <row r="324" spans="6:27" ht="10.5" customHeight="1">
      <c r="F324" s="367"/>
      <c r="G324" s="344"/>
      <c r="H324" s="344"/>
      <c r="I324" s="344"/>
      <c r="J324" s="344"/>
      <c r="K324" s="344"/>
      <c r="L324" s="344"/>
      <c r="M324" s="344"/>
      <c r="N324" s="674" t="s">
        <v>195</v>
      </c>
      <c r="O324" s="321"/>
      <c r="P324" s="185"/>
      <c r="Q324" s="429"/>
      <c r="R324" s="575" t="s">
        <v>2995</v>
      </c>
      <c r="S324" s="575" t="s">
        <v>164</v>
      </c>
      <c r="U324" s="480" t="s">
        <v>1672</v>
      </c>
      <c r="V324" s="480" t="s">
        <v>3593</v>
      </c>
      <c r="AA324" s="1331"/>
    </row>
    <row r="325" spans="6:27" ht="10.5" customHeight="1">
      <c r="F325" s="367"/>
      <c r="G325" s="344"/>
      <c r="H325" s="344"/>
      <c r="I325" s="344"/>
      <c r="J325" s="344"/>
      <c r="K325" s="344"/>
      <c r="L325" s="344"/>
      <c r="M325" s="344"/>
      <c r="N325" s="674" t="s">
        <v>1893</v>
      </c>
      <c r="O325" s="321"/>
      <c r="P325" s="185"/>
      <c r="Q325" s="429"/>
      <c r="R325" s="575" t="s">
        <v>2996</v>
      </c>
      <c r="S325" s="575" t="s">
        <v>329</v>
      </c>
      <c r="U325" s="480" t="s">
        <v>2501</v>
      </c>
      <c r="V325" s="480" t="s">
        <v>3593</v>
      </c>
      <c r="AA325" s="1331"/>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3593</v>
      </c>
      <c r="AA326" s="1331"/>
    </row>
    <row r="327" spans="6:27" ht="10.5" customHeight="1">
      <c r="F327" s="367"/>
      <c r="G327" s="344"/>
      <c r="H327" s="344"/>
      <c r="I327" s="344"/>
      <c r="J327" s="344"/>
      <c r="K327" s="344"/>
      <c r="L327" s="344"/>
      <c r="M327" s="344"/>
      <c r="N327" s="674" t="s">
        <v>1965</v>
      </c>
      <c r="O327" s="321"/>
      <c r="P327" s="185"/>
      <c r="Q327" s="429"/>
      <c r="R327" s="575" t="s">
        <v>1184</v>
      </c>
      <c r="S327" s="575" t="s">
        <v>688</v>
      </c>
      <c r="U327" s="480" t="s">
        <v>173</v>
      </c>
      <c r="V327" s="480" t="s">
        <v>3593</v>
      </c>
      <c r="AA327" s="1331"/>
    </row>
    <row r="328" spans="6:27" ht="10.5" customHeight="1">
      <c r="F328" s="367"/>
      <c r="G328" s="344"/>
      <c r="H328" s="344"/>
      <c r="I328" s="344"/>
      <c r="J328" s="344"/>
      <c r="K328" s="344"/>
      <c r="L328" s="344"/>
      <c r="M328" s="344"/>
      <c r="N328" s="674" t="s">
        <v>1967</v>
      </c>
      <c r="O328" s="321"/>
      <c r="P328" s="185"/>
      <c r="Q328" s="429"/>
      <c r="R328" s="575" t="s">
        <v>2659</v>
      </c>
      <c r="S328" s="575" t="s">
        <v>2251</v>
      </c>
      <c r="U328" s="480" t="s">
        <v>1375</v>
      </c>
      <c r="V328" s="480" t="s">
        <v>3593</v>
      </c>
      <c r="AA328" s="1331"/>
    </row>
    <row r="329" spans="6:27" ht="10.5" customHeight="1">
      <c r="F329" s="367"/>
      <c r="G329" s="344"/>
      <c r="H329" s="344"/>
      <c r="I329" s="344"/>
      <c r="J329" s="344"/>
      <c r="K329" s="344"/>
      <c r="L329" s="344"/>
      <c r="M329" s="344"/>
      <c r="N329" s="674" t="s">
        <v>1968</v>
      </c>
      <c r="O329" s="321"/>
      <c r="P329" s="185"/>
      <c r="Q329" s="429"/>
      <c r="R329" s="575" t="s">
        <v>2660</v>
      </c>
      <c r="S329" s="575" t="s">
        <v>2619</v>
      </c>
      <c r="U329" s="480" t="s">
        <v>1110</v>
      </c>
      <c r="V329" s="480" t="s">
        <v>3593</v>
      </c>
      <c r="AA329" s="1331"/>
    </row>
    <row r="330" spans="6:27" ht="10.5" customHeight="1">
      <c r="F330" s="367"/>
      <c r="G330" s="344"/>
      <c r="H330" s="344"/>
      <c r="I330" s="344"/>
      <c r="J330" s="344"/>
      <c r="K330" s="344"/>
      <c r="L330" s="344"/>
      <c r="M330" s="344"/>
      <c r="N330" s="674" t="s">
        <v>1970</v>
      </c>
      <c r="O330" s="321"/>
      <c r="P330" s="185"/>
      <c r="Q330" s="429"/>
      <c r="R330" s="575" t="s">
        <v>1186</v>
      </c>
      <c r="S330" s="575" t="s">
        <v>1252</v>
      </c>
      <c r="U330" s="480" t="s">
        <v>2068</v>
      </c>
      <c r="V330" s="480" t="s">
        <v>3593</v>
      </c>
      <c r="AA330" s="1331"/>
    </row>
    <row r="331" spans="6:27" ht="10.5" customHeight="1">
      <c r="F331" s="367"/>
      <c r="G331" s="344"/>
      <c r="H331" s="344"/>
      <c r="I331" s="344"/>
      <c r="J331" s="344"/>
      <c r="K331" s="344"/>
      <c r="L331" s="344"/>
      <c r="M331" s="344"/>
      <c r="N331" s="674" t="s">
        <v>1972</v>
      </c>
      <c r="O331" s="321"/>
      <c r="P331" s="185"/>
      <c r="Q331" s="429"/>
      <c r="R331" s="575" t="s">
        <v>2601</v>
      </c>
      <c r="S331" s="575" t="s">
        <v>205</v>
      </c>
      <c r="U331" s="480" t="s">
        <v>1962</v>
      </c>
      <c r="V331" s="480" t="s">
        <v>3593</v>
      </c>
      <c r="AA331" s="1331"/>
    </row>
    <row r="332" spans="6:27" ht="10.5" customHeight="1">
      <c r="F332" s="367"/>
      <c r="G332" s="344"/>
      <c r="H332" s="344"/>
      <c r="I332" s="344"/>
      <c r="J332" s="344"/>
      <c r="K332" s="344"/>
      <c r="L332" s="344"/>
      <c r="M332" s="344"/>
      <c r="N332" s="674" t="s">
        <v>2006</v>
      </c>
      <c r="O332" s="321"/>
      <c r="P332" s="185"/>
      <c r="Q332" s="429"/>
      <c r="R332" s="575" t="s">
        <v>472</v>
      </c>
      <c r="S332" s="575" t="s">
        <v>1139</v>
      </c>
      <c r="U332" s="480" t="s">
        <v>2624</v>
      </c>
      <c r="V332" s="480" t="s">
        <v>3593</v>
      </c>
      <c r="AA332" s="1331"/>
    </row>
    <row r="333" spans="6:27" ht="10.5" customHeight="1">
      <c r="F333" s="367"/>
      <c r="G333" s="344"/>
      <c r="H333" s="344"/>
      <c r="I333" s="344"/>
      <c r="J333" s="344"/>
      <c r="K333" s="344"/>
      <c r="L333" s="344"/>
      <c r="M333" s="344"/>
      <c r="N333" s="674" t="s">
        <v>2008</v>
      </c>
      <c r="O333" s="321"/>
      <c r="P333" s="185"/>
      <c r="Q333" s="429"/>
      <c r="R333" s="676" t="s">
        <v>194</v>
      </c>
      <c r="S333" s="676" t="s">
        <v>690</v>
      </c>
      <c r="U333" s="480" t="s">
        <v>1197</v>
      </c>
      <c r="V333" s="480" t="s">
        <v>3593</v>
      </c>
      <c r="AA333" s="1331"/>
    </row>
    <row r="334" spans="6:27" ht="10.5" customHeight="1">
      <c r="F334" s="367"/>
      <c r="G334" s="344"/>
      <c r="H334" s="344"/>
      <c r="I334" s="344"/>
      <c r="J334" s="344"/>
      <c r="K334" s="344"/>
      <c r="L334" s="344"/>
      <c r="M334" s="344"/>
      <c r="N334" s="674" t="s">
        <v>2009</v>
      </c>
      <c r="O334" s="321"/>
      <c r="P334" s="185"/>
      <c r="Q334" s="429"/>
      <c r="R334" s="676" t="s">
        <v>314</v>
      </c>
      <c r="S334" s="676" t="s">
        <v>1381</v>
      </c>
      <c r="U334" s="480" t="s">
        <v>2604</v>
      </c>
      <c r="V334" s="480" t="s">
        <v>3593</v>
      </c>
      <c r="AA334" s="1332"/>
    </row>
    <row r="335" spans="6:27" ht="10.5" customHeight="1">
      <c r="F335" s="367"/>
      <c r="G335" s="344"/>
      <c r="H335" s="344"/>
      <c r="I335" s="344"/>
      <c r="J335" s="344"/>
      <c r="K335" s="344"/>
      <c r="L335" s="344"/>
      <c r="M335" s="344"/>
      <c r="N335" s="674" t="s">
        <v>2011</v>
      </c>
      <c r="O335" s="321"/>
      <c r="P335" s="185"/>
      <c r="Q335" s="429"/>
      <c r="R335" s="676" t="s">
        <v>1894</v>
      </c>
      <c r="S335" s="676" t="s">
        <v>911</v>
      </c>
      <c r="U335" s="480" t="s">
        <v>848</v>
      </c>
      <c r="V335" s="480" t="s">
        <v>3593</v>
      </c>
      <c r="AA335" s="1332"/>
    </row>
    <row r="336" spans="6:27" ht="10.5" customHeight="1">
      <c r="F336" s="367"/>
      <c r="G336" s="344"/>
      <c r="H336" s="344"/>
      <c r="I336" s="344"/>
      <c r="J336" s="344"/>
      <c r="K336" s="344"/>
      <c r="L336" s="344"/>
      <c r="M336" s="344"/>
      <c r="N336" s="674" t="s">
        <v>2013</v>
      </c>
      <c r="O336" s="321"/>
      <c r="P336" s="185"/>
      <c r="Q336" s="429"/>
      <c r="R336" s="575" t="s">
        <v>1896</v>
      </c>
      <c r="S336" s="575" t="s">
        <v>1149</v>
      </c>
      <c r="U336" s="480" t="s">
        <v>2180</v>
      </c>
      <c r="V336" s="480" t="s">
        <v>3593</v>
      </c>
      <c r="AA336" s="1332"/>
    </row>
    <row r="337" spans="6:27" ht="10.5" customHeight="1">
      <c r="F337" s="367"/>
      <c r="G337" s="344"/>
      <c r="H337" s="344"/>
      <c r="I337" s="344"/>
      <c r="J337" s="344"/>
      <c r="K337" s="344"/>
      <c r="L337" s="344"/>
      <c r="M337" s="344"/>
      <c r="N337" s="674" t="s">
        <v>433</v>
      </c>
      <c r="O337" s="321"/>
      <c r="P337" s="185"/>
      <c r="Q337" s="429"/>
      <c r="R337" s="575" t="s">
        <v>1966</v>
      </c>
      <c r="S337" s="575" t="s">
        <v>2575</v>
      </c>
      <c r="U337" s="480" t="s">
        <v>972</v>
      </c>
      <c r="V337" s="480" t="s">
        <v>3593</v>
      </c>
      <c r="AA337" s="1331"/>
    </row>
    <row r="338" spans="6:27" ht="10.5" customHeight="1">
      <c r="F338" s="367"/>
      <c r="G338" s="344"/>
      <c r="H338" s="344"/>
      <c r="I338" s="344"/>
      <c r="J338" s="344"/>
      <c r="K338" s="344"/>
      <c r="L338" s="344"/>
      <c r="M338" s="344"/>
      <c r="N338" s="674" t="s">
        <v>135</v>
      </c>
      <c r="O338" s="321"/>
      <c r="P338" s="185"/>
      <c r="Q338" s="429"/>
      <c r="R338" s="676" t="s">
        <v>1969</v>
      </c>
      <c r="S338" s="676" t="s">
        <v>688</v>
      </c>
      <c r="U338" s="480" t="s">
        <v>2588</v>
      </c>
      <c r="V338" s="480" t="s">
        <v>3593</v>
      </c>
      <c r="AA338" s="1331"/>
    </row>
    <row r="339" spans="6:27" ht="10.5" customHeight="1">
      <c r="F339" s="367"/>
      <c r="G339" s="344"/>
      <c r="H339" s="344"/>
      <c r="I339" s="344"/>
      <c r="J339" s="344"/>
      <c r="K339" s="344"/>
      <c r="L339" s="344"/>
      <c r="M339" s="344"/>
      <c r="N339" s="674" t="s">
        <v>1738</v>
      </c>
      <c r="O339" s="321"/>
      <c r="P339" s="185"/>
      <c r="Q339" s="429"/>
      <c r="R339" s="575" t="s">
        <v>1971</v>
      </c>
      <c r="S339" s="575" t="s">
        <v>1363</v>
      </c>
      <c r="U339" s="480" t="s">
        <v>1979</v>
      </c>
      <c r="V339" s="480" t="s">
        <v>3593</v>
      </c>
      <c r="AA339" s="1332"/>
    </row>
    <row r="340" spans="6:27" ht="10.5" customHeight="1">
      <c r="F340" s="367"/>
      <c r="G340" s="344"/>
      <c r="H340" s="344"/>
      <c r="I340" s="344"/>
      <c r="J340" s="344"/>
      <c r="K340" s="344"/>
      <c r="L340" s="344"/>
      <c r="M340" s="344"/>
      <c r="N340" s="674" t="s">
        <v>1814</v>
      </c>
      <c r="O340" s="321"/>
      <c r="P340" s="185"/>
      <c r="Q340" s="429"/>
      <c r="R340" s="575" t="s">
        <v>2997</v>
      </c>
      <c r="S340" s="575" t="s">
        <v>205</v>
      </c>
      <c r="U340" s="480" t="s">
        <v>1467</v>
      </c>
      <c r="V340" s="480" t="s">
        <v>3593</v>
      </c>
      <c r="AA340" s="1331"/>
    </row>
    <row r="341" spans="6:27" ht="10.5" customHeight="1">
      <c r="F341" s="367"/>
      <c r="G341" s="344"/>
      <c r="H341" s="344"/>
      <c r="I341" s="344"/>
      <c r="J341" s="344"/>
      <c r="K341" s="344"/>
      <c r="L341" s="344"/>
      <c r="M341" s="344"/>
      <c r="N341" s="674" t="s">
        <v>2358</v>
      </c>
      <c r="O341" s="321"/>
      <c r="P341" s="185"/>
      <c r="Q341" s="429"/>
      <c r="R341" s="575" t="s">
        <v>1973</v>
      </c>
      <c r="S341" s="575" t="s">
        <v>1366</v>
      </c>
      <c r="U341" s="480" t="s">
        <v>2338</v>
      </c>
      <c r="V341" s="480" t="s">
        <v>3593</v>
      </c>
      <c r="AA341" s="1331"/>
    </row>
    <row r="342" spans="6:27" ht="10.5" customHeight="1">
      <c r="F342" s="367"/>
      <c r="G342" s="344"/>
      <c r="H342" s="344"/>
      <c r="I342" s="344"/>
      <c r="J342" s="344"/>
      <c r="K342" s="344"/>
      <c r="L342" s="344"/>
      <c r="M342" s="344"/>
      <c r="N342" s="674" t="s">
        <v>2360</v>
      </c>
      <c r="O342" s="321"/>
      <c r="P342" s="185"/>
      <c r="Q342" s="429"/>
      <c r="R342" s="575" t="s">
        <v>2007</v>
      </c>
      <c r="S342" s="575" t="s">
        <v>331</v>
      </c>
      <c r="U342" s="480" t="s">
        <v>2340</v>
      </c>
      <c r="V342" s="480" t="s">
        <v>3593</v>
      </c>
      <c r="AA342" s="1331"/>
    </row>
    <row r="343" spans="6:27" ht="10.5" customHeight="1">
      <c r="F343" s="367"/>
      <c r="G343" s="344"/>
      <c r="H343" s="344"/>
      <c r="I343" s="344"/>
      <c r="J343" s="344"/>
      <c r="K343" s="344"/>
      <c r="L343" s="344"/>
      <c r="M343" s="344"/>
      <c r="N343" s="674" t="s">
        <v>1028</v>
      </c>
      <c r="O343" s="321"/>
      <c r="P343" s="185"/>
      <c r="Q343" s="429"/>
      <c r="R343" s="575" t="s">
        <v>2998</v>
      </c>
      <c r="S343" s="575" t="s">
        <v>681</v>
      </c>
      <c r="U343" s="480" t="s">
        <v>1154</v>
      </c>
      <c r="V343" s="480" t="s">
        <v>3593</v>
      </c>
      <c r="AA343" s="1331"/>
    </row>
    <row r="344" spans="6:27" ht="10.5" customHeight="1">
      <c r="F344" s="367"/>
      <c r="G344" s="344"/>
      <c r="H344" s="344"/>
      <c r="I344" s="344"/>
      <c r="J344" s="344"/>
      <c r="K344" s="344"/>
      <c r="L344" s="344"/>
      <c r="M344" s="344"/>
      <c r="N344" s="674" t="s">
        <v>703</v>
      </c>
      <c r="O344" s="321"/>
      <c r="P344" s="185"/>
      <c r="Q344" s="429"/>
      <c r="R344" s="575" t="s">
        <v>2010</v>
      </c>
      <c r="S344" s="575" t="s">
        <v>2674</v>
      </c>
      <c r="U344" s="480" t="s">
        <v>2203</v>
      </c>
      <c r="V344" s="480" t="s">
        <v>3593</v>
      </c>
      <c r="AA344" s="1331"/>
    </row>
    <row r="345" spans="6:27" ht="10.5" customHeight="1">
      <c r="F345" s="367"/>
      <c r="G345" s="344"/>
      <c r="H345" s="344"/>
      <c r="I345" s="344"/>
      <c r="J345" s="344"/>
      <c r="K345" s="344"/>
      <c r="L345" s="344"/>
      <c r="M345" s="344"/>
      <c r="N345" s="674" t="s">
        <v>590</v>
      </c>
      <c r="O345" s="321"/>
      <c r="P345" s="185"/>
      <c r="Q345" s="429"/>
      <c r="R345" s="575" t="s">
        <v>2012</v>
      </c>
      <c r="S345" s="575" t="s">
        <v>1363</v>
      </c>
      <c r="U345" s="480" t="s">
        <v>2204</v>
      </c>
      <c r="V345" s="480" t="s">
        <v>3593</v>
      </c>
      <c r="AA345" s="1331"/>
    </row>
    <row r="346" spans="6:27" ht="10.5" customHeight="1">
      <c r="F346" s="367"/>
      <c r="G346" s="344"/>
      <c r="H346" s="344"/>
      <c r="I346" s="344"/>
      <c r="J346" s="344"/>
      <c r="K346" s="344"/>
      <c r="L346" s="344"/>
      <c r="M346" s="344"/>
      <c r="N346" s="674" t="s">
        <v>699</v>
      </c>
      <c r="O346" s="321"/>
      <c r="P346" s="185"/>
      <c r="Q346" s="429"/>
      <c r="R346" s="575" t="s">
        <v>2324</v>
      </c>
      <c r="S346" s="575" t="s">
        <v>2616</v>
      </c>
      <c r="U346" s="480" t="s">
        <v>2205</v>
      </c>
      <c r="V346" s="480" t="s">
        <v>3593</v>
      </c>
      <c r="AA346" s="1331"/>
    </row>
    <row r="347" spans="6:27" ht="10.5" customHeight="1">
      <c r="F347" s="367"/>
      <c r="G347" s="344"/>
      <c r="H347" s="344"/>
      <c r="I347" s="344"/>
      <c r="J347" s="344"/>
      <c r="K347" s="344"/>
      <c r="L347" s="344"/>
      <c r="M347" s="344"/>
      <c r="N347" s="674" t="s">
        <v>2472</v>
      </c>
      <c r="O347" s="321"/>
      <c r="P347" s="185"/>
      <c r="Q347" s="429"/>
      <c r="R347" s="575" t="s">
        <v>2661</v>
      </c>
      <c r="S347" s="575" t="s">
        <v>2251</v>
      </c>
      <c r="U347" s="480" t="s">
        <v>2413</v>
      </c>
      <c r="V347" s="480" t="s">
        <v>3593</v>
      </c>
      <c r="AA347" s="1331"/>
    </row>
    <row r="348" spans="6:27" ht="10.5" customHeight="1">
      <c r="F348" s="367"/>
      <c r="G348" s="344"/>
      <c r="H348" s="344"/>
      <c r="I348" s="344"/>
      <c r="J348" s="344"/>
      <c r="K348" s="344"/>
      <c r="L348" s="344"/>
      <c r="M348" s="344"/>
      <c r="N348" s="674" t="s">
        <v>228</v>
      </c>
      <c r="O348" s="321"/>
      <c r="P348" s="185"/>
      <c r="Q348" s="429"/>
      <c r="R348" s="575" t="s">
        <v>2662</v>
      </c>
      <c r="S348" s="575" t="s">
        <v>2572</v>
      </c>
      <c r="U348" s="480" t="s">
        <v>2415</v>
      </c>
      <c r="V348" s="480" t="s">
        <v>3593</v>
      </c>
      <c r="AA348" s="1331"/>
    </row>
    <row r="349" spans="6:27" ht="10.5" customHeight="1">
      <c r="F349" s="367"/>
      <c r="G349" s="344"/>
      <c r="H349" s="344"/>
      <c r="I349" s="344"/>
      <c r="J349" s="344"/>
      <c r="K349" s="344"/>
      <c r="L349" s="344"/>
      <c r="M349" s="344"/>
      <c r="N349" s="674" t="s">
        <v>812</v>
      </c>
      <c r="O349" s="321"/>
      <c r="P349" s="185"/>
      <c r="Q349" s="429"/>
      <c r="R349" s="575" t="s">
        <v>434</v>
      </c>
      <c r="S349" s="575" t="s">
        <v>1252</v>
      </c>
      <c r="U349" s="480" t="s">
        <v>2341</v>
      </c>
      <c r="V349" s="480" t="s">
        <v>3593</v>
      </c>
      <c r="AA349" s="1331"/>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3593</v>
      </c>
      <c r="AA350" s="1331"/>
    </row>
    <row r="351" spans="6:27" ht="10.5" customHeight="1">
      <c r="F351" s="367"/>
      <c r="G351" s="344"/>
      <c r="H351" s="344"/>
      <c r="I351" s="344"/>
      <c r="J351" s="344"/>
      <c r="K351" s="344"/>
      <c r="L351" s="344"/>
      <c r="M351" s="344"/>
      <c r="N351" s="674" t="s">
        <v>240</v>
      </c>
      <c r="O351" s="321"/>
      <c r="P351" s="185"/>
      <c r="Q351" s="429"/>
      <c r="R351" s="575" t="s">
        <v>2663</v>
      </c>
      <c r="S351" s="575" t="s">
        <v>2083</v>
      </c>
      <c r="U351" s="480" t="s">
        <v>1750</v>
      </c>
      <c r="V351" s="480" t="s">
        <v>3593</v>
      </c>
      <c r="AA351" s="1332"/>
    </row>
    <row r="352" spans="6:27" ht="10.5" customHeight="1">
      <c r="F352" s="367"/>
      <c r="G352" s="344"/>
      <c r="H352" s="344"/>
      <c r="I352" s="344"/>
      <c r="J352" s="344"/>
      <c r="K352" s="344"/>
      <c r="L352" s="344"/>
      <c r="M352" s="344"/>
      <c r="N352" s="674" t="s">
        <v>242</v>
      </c>
      <c r="O352" s="321"/>
      <c r="P352" s="185"/>
      <c r="Q352" s="429"/>
      <c r="R352" s="575" t="s">
        <v>1739</v>
      </c>
      <c r="S352" s="575" t="s">
        <v>2570</v>
      </c>
      <c r="U352" s="480" t="s">
        <v>1115</v>
      </c>
      <c r="V352" s="480" t="s">
        <v>3593</v>
      </c>
      <c r="AA352" s="1331"/>
    </row>
    <row r="353" spans="6:27" ht="10.5" customHeight="1">
      <c r="F353" s="367"/>
      <c r="G353" s="344"/>
      <c r="H353" s="344"/>
      <c r="I353" s="344"/>
      <c r="J353" s="344"/>
      <c r="K353" s="344"/>
      <c r="L353" s="344"/>
      <c r="M353" s="344"/>
      <c r="N353" s="674" t="s">
        <v>244</v>
      </c>
      <c r="O353" s="321"/>
      <c r="P353" s="185"/>
      <c r="Q353" s="429"/>
      <c r="R353" s="575" t="s">
        <v>2359</v>
      </c>
      <c r="S353" s="575" t="s">
        <v>683</v>
      </c>
      <c r="U353" s="480" t="s">
        <v>1757</v>
      </c>
      <c r="V353" s="480" t="s">
        <v>3593</v>
      </c>
      <c r="AA353" s="1331"/>
    </row>
    <row r="354" spans="6:27" ht="10.5" customHeight="1">
      <c r="F354" s="367"/>
      <c r="G354" s="344"/>
      <c r="H354" s="344"/>
      <c r="I354" s="344"/>
      <c r="J354" s="344"/>
      <c r="K354" s="344"/>
      <c r="L354" s="344"/>
      <c r="M354" s="344"/>
      <c r="N354" s="674" t="s">
        <v>817</v>
      </c>
      <c r="O354" s="321"/>
      <c r="P354" s="185"/>
      <c r="Q354" s="429"/>
      <c r="R354" s="575" t="s">
        <v>2361</v>
      </c>
      <c r="S354" s="575" t="s">
        <v>1364</v>
      </c>
      <c r="U354" s="480" t="s">
        <v>1758</v>
      </c>
      <c r="V354" s="480" t="s">
        <v>3593</v>
      </c>
      <c r="AA354" s="1331"/>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3593</v>
      </c>
      <c r="AA355" s="1331"/>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3593</v>
      </c>
      <c r="AA356" s="1331"/>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3593</v>
      </c>
      <c r="AA357" s="1331"/>
    </row>
    <row r="358" spans="6:27" ht="10.5" customHeight="1">
      <c r="F358" s="367"/>
      <c r="G358" s="344"/>
      <c r="H358" s="344"/>
      <c r="I358" s="344"/>
      <c r="J358" s="344"/>
      <c r="K358" s="344"/>
      <c r="L358" s="344"/>
      <c r="M358" s="344"/>
      <c r="N358" s="674" t="s">
        <v>1266</v>
      </c>
      <c r="O358" s="321"/>
      <c r="P358" s="185"/>
      <c r="Q358" s="429"/>
      <c r="R358" s="575" t="s">
        <v>2473</v>
      </c>
      <c r="S358" s="575" t="s">
        <v>162</v>
      </c>
      <c r="U358" s="480" t="s">
        <v>1766</v>
      </c>
      <c r="V358" s="480" t="s">
        <v>3593</v>
      </c>
      <c r="AA358" s="1331"/>
    </row>
    <row r="359" spans="6:27" ht="10.5" customHeight="1">
      <c r="F359" s="367"/>
      <c r="G359" s="344"/>
      <c r="H359" s="344"/>
      <c r="I359" s="344"/>
      <c r="J359" s="344"/>
      <c r="K359" s="344"/>
      <c r="L359" s="344"/>
      <c r="M359" s="344"/>
      <c r="N359" s="674" t="s">
        <v>1268</v>
      </c>
      <c r="O359" s="321"/>
      <c r="P359" s="185"/>
      <c r="Q359" s="429"/>
      <c r="R359" s="575" t="s">
        <v>229</v>
      </c>
      <c r="S359" s="575" t="s">
        <v>2569</v>
      </c>
      <c r="U359" s="480" t="s">
        <v>1768</v>
      </c>
      <c r="V359" s="480" t="s">
        <v>3593</v>
      </c>
      <c r="AA359" s="1331"/>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3593</v>
      </c>
      <c r="AA360" s="1331"/>
    </row>
    <row r="361" spans="6:27" ht="10.5" customHeight="1">
      <c r="F361" s="367"/>
      <c r="G361" s="344"/>
      <c r="H361" s="344"/>
      <c r="I361" s="344"/>
      <c r="J361" s="344"/>
      <c r="K361" s="344"/>
      <c r="L361" s="344"/>
      <c r="M361" s="344"/>
      <c r="N361" s="674" t="s">
        <v>2547</v>
      </c>
      <c r="O361" s="321"/>
      <c r="P361" s="185"/>
      <c r="Q361" s="429"/>
      <c r="R361" s="575" t="s">
        <v>2446</v>
      </c>
      <c r="S361" s="575" t="s">
        <v>2567</v>
      </c>
      <c r="U361" s="480" t="s">
        <v>1773</v>
      </c>
      <c r="V361" s="480" t="s">
        <v>3593</v>
      </c>
      <c r="AA361" s="1331"/>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3593</v>
      </c>
      <c r="AA362" s="1331"/>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3593</v>
      </c>
      <c r="AA363" s="1331"/>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3593</v>
      </c>
      <c r="AA364" s="1331"/>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3593</v>
      </c>
      <c r="AA365" s="1331"/>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3593</v>
      </c>
      <c r="AA366" s="1331"/>
    </row>
    <row r="367" spans="6:27" ht="10.5" customHeight="1">
      <c r="F367" s="367"/>
      <c r="G367" s="344"/>
      <c r="H367" s="344"/>
      <c r="I367" s="344"/>
      <c r="J367" s="344"/>
      <c r="K367" s="344"/>
      <c r="L367" s="344"/>
      <c r="M367" s="344"/>
      <c r="N367" s="674" t="s">
        <v>705</v>
      </c>
      <c r="O367" s="321"/>
      <c r="P367" s="185"/>
      <c r="Q367" s="429"/>
      <c r="R367" s="575" t="s">
        <v>1265</v>
      </c>
      <c r="S367" s="575" t="s">
        <v>2575</v>
      </c>
      <c r="U367" s="480" t="s">
        <v>1598</v>
      </c>
      <c r="V367" s="480" t="s">
        <v>3593</v>
      </c>
      <c r="AA367" s="1331"/>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3593</v>
      </c>
      <c r="AA368" s="1331"/>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3593</v>
      </c>
      <c r="AA369" s="1331"/>
    </row>
    <row r="370" spans="6:27" ht="10.5" customHeight="1">
      <c r="F370" s="367"/>
      <c r="G370" s="344"/>
      <c r="H370" s="344"/>
      <c r="I370" s="344"/>
      <c r="J370" s="344"/>
      <c r="K370" s="344"/>
      <c r="L370" s="344"/>
      <c r="M370" s="344"/>
      <c r="N370" s="674" t="s">
        <v>1807</v>
      </c>
      <c r="O370" s="321"/>
      <c r="P370" s="185"/>
      <c r="Q370" s="429"/>
      <c r="R370" s="575" t="s">
        <v>932</v>
      </c>
      <c r="S370" s="575" t="s">
        <v>2322</v>
      </c>
      <c r="U370" s="480" t="s">
        <v>1605</v>
      </c>
      <c r="V370" s="480" t="s">
        <v>3593</v>
      </c>
      <c r="AA370" s="1331"/>
    </row>
    <row r="371" spans="6:27" ht="10.5" customHeight="1">
      <c r="F371" s="367"/>
      <c r="G371" s="344"/>
      <c r="H371" s="344"/>
      <c r="I371" s="344"/>
      <c r="J371" s="344"/>
      <c r="K371" s="344"/>
      <c r="L371" s="344"/>
      <c r="M371" s="344"/>
      <c r="N371" s="674" t="s">
        <v>1034</v>
      </c>
      <c r="O371" s="321"/>
      <c r="P371" s="185"/>
      <c r="Q371" s="429"/>
      <c r="R371" s="575" t="s">
        <v>2548</v>
      </c>
      <c r="S371" s="575" t="s">
        <v>1952</v>
      </c>
      <c r="U371" s="480" t="s">
        <v>2468</v>
      </c>
      <c r="V371" s="480" t="s">
        <v>3593</v>
      </c>
      <c r="AA371" s="1331"/>
    </row>
    <row r="372" spans="6:27" ht="10.5" customHeight="1">
      <c r="F372" s="367"/>
      <c r="G372" s="344"/>
      <c r="H372" s="344"/>
      <c r="I372" s="344"/>
      <c r="J372" s="344"/>
      <c r="K372" s="344"/>
      <c r="L372" s="344"/>
      <c r="M372" s="344"/>
      <c r="N372" s="674" t="s">
        <v>1035</v>
      </c>
      <c r="O372" s="321"/>
      <c r="P372" s="185"/>
      <c r="Q372" s="429"/>
      <c r="R372" s="575" t="s">
        <v>935</v>
      </c>
      <c r="S372" s="575" t="s">
        <v>2258</v>
      </c>
      <c r="U372" s="480" t="s">
        <v>866</v>
      </c>
      <c r="V372" s="480" t="s">
        <v>3593</v>
      </c>
      <c r="AA372" s="1331"/>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3593</v>
      </c>
      <c r="AA373" s="1331"/>
    </row>
    <row r="374" spans="6:27" ht="10.5" customHeight="1">
      <c r="F374" s="367"/>
      <c r="G374" s="344"/>
      <c r="H374" s="344"/>
      <c r="I374" s="344"/>
      <c r="J374" s="344"/>
      <c r="K374" s="344"/>
      <c r="L374" s="344"/>
      <c r="M374" s="344"/>
      <c r="N374" s="674" t="s">
        <v>1016</v>
      </c>
      <c r="O374" s="321"/>
      <c r="P374" s="185"/>
      <c r="Q374" s="429"/>
      <c r="R374" s="575" t="s">
        <v>939</v>
      </c>
      <c r="S374" s="575" t="s">
        <v>690</v>
      </c>
      <c r="AA374" s="1332"/>
    </row>
    <row r="375" spans="6:27" ht="10.5" customHeight="1">
      <c r="F375" s="367"/>
      <c r="G375" s="344"/>
      <c r="H375" s="344"/>
      <c r="I375" s="344"/>
      <c r="J375" s="344"/>
      <c r="K375" s="344"/>
      <c r="L375" s="344"/>
      <c r="M375" s="344"/>
      <c r="N375" s="674" t="s">
        <v>1018</v>
      </c>
      <c r="O375" s="321"/>
      <c r="P375" s="185"/>
      <c r="Q375" s="429"/>
      <c r="R375" s="575" t="s">
        <v>941</v>
      </c>
      <c r="S375" s="575" t="s">
        <v>324</v>
      </c>
      <c r="AA375" s="1331"/>
    </row>
    <row r="376" spans="6:27" ht="10.5" customHeight="1">
      <c r="F376" s="367"/>
      <c r="G376" s="344"/>
      <c r="H376" s="344"/>
      <c r="I376" s="344"/>
      <c r="J376" s="344"/>
      <c r="K376" s="344"/>
      <c r="L376" s="344"/>
      <c r="M376" s="344"/>
      <c r="N376" s="674" t="s">
        <v>1020</v>
      </c>
      <c r="O376" s="321"/>
      <c r="P376" s="185"/>
      <c r="Q376" s="429"/>
      <c r="R376" s="575" t="s">
        <v>943</v>
      </c>
      <c r="S376" s="575" t="s">
        <v>1378</v>
      </c>
      <c r="AA376" s="1331"/>
    </row>
    <row r="377" spans="6:27" ht="10.5" customHeight="1">
      <c r="F377" s="367"/>
      <c r="G377" s="344"/>
      <c r="H377" s="344"/>
      <c r="I377" s="344"/>
      <c r="J377" s="344"/>
      <c r="K377" s="344"/>
      <c r="L377" s="344"/>
      <c r="M377" s="344"/>
      <c r="N377" s="674" t="s">
        <v>1022</v>
      </c>
      <c r="O377" s="321"/>
      <c r="P377" s="185"/>
      <c r="Q377" s="429"/>
      <c r="R377" s="676" t="s">
        <v>706</v>
      </c>
      <c r="S377" s="676" t="s">
        <v>2262</v>
      </c>
      <c r="AA377" s="1331"/>
    </row>
    <row r="378" spans="6:27" ht="10.5" customHeight="1">
      <c r="F378" s="367"/>
      <c r="G378" s="344"/>
      <c r="H378" s="344"/>
      <c r="I378" s="344"/>
      <c r="J378" s="344"/>
      <c r="K378" s="344"/>
      <c r="L378" s="344"/>
      <c r="M378" s="344"/>
      <c r="N378" s="674" t="s">
        <v>594</v>
      </c>
      <c r="O378" s="321"/>
      <c r="P378" s="185"/>
      <c r="Q378" s="429"/>
      <c r="R378" s="575" t="s">
        <v>57</v>
      </c>
      <c r="S378" s="575" t="s">
        <v>114</v>
      </c>
      <c r="AA378" s="1332"/>
    </row>
    <row r="379" spans="6:27" ht="10.5" customHeight="1">
      <c r="F379" s="367"/>
      <c r="G379" s="344"/>
      <c r="H379" s="344"/>
      <c r="I379" s="344"/>
      <c r="J379" s="344"/>
      <c r="K379" s="344"/>
      <c r="L379" s="344"/>
      <c r="M379" s="344"/>
      <c r="N379" s="674" t="s">
        <v>385</v>
      </c>
      <c r="O379" s="321"/>
      <c r="P379" s="185"/>
      <c r="Q379" s="429"/>
      <c r="R379" s="575" t="s">
        <v>996</v>
      </c>
      <c r="S379" s="575" t="s">
        <v>2084</v>
      </c>
      <c r="AA379" s="1331"/>
    </row>
    <row r="380" spans="6:27" ht="10.5" customHeight="1">
      <c r="F380" s="367"/>
      <c r="G380" s="344"/>
      <c r="H380" s="344"/>
      <c r="I380" s="344"/>
      <c r="J380" s="344"/>
      <c r="K380" s="344"/>
      <c r="L380" s="344"/>
      <c r="M380" s="344"/>
      <c r="N380" s="674" t="s">
        <v>387</v>
      </c>
      <c r="O380" s="321"/>
      <c r="P380" s="185"/>
      <c r="Q380" s="429"/>
      <c r="R380" s="575" t="s">
        <v>693</v>
      </c>
      <c r="S380" s="575" t="s">
        <v>2484</v>
      </c>
      <c r="AA380" s="1331"/>
    </row>
    <row r="381" spans="6:27" ht="10.5" customHeight="1">
      <c r="F381" s="367"/>
      <c r="G381" s="344"/>
      <c r="H381" s="344"/>
      <c r="I381" s="344"/>
      <c r="J381" s="344"/>
      <c r="K381" s="344"/>
      <c r="L381" s="344"/>
      <c r="M381" s="344"/>
      <c r="N381" s="674" t="s">
        <v>389</v>
      </c>
      <c r="O381" s="321"/>
      <c r="P381" s="185"/>
      <c r="Q381" s="429"/>
      <c r="R381" s="575" t="s">
        <v>1036</v>
      </c>
      <c r="S381" s="575" t="s">
        <v>1256</v>
      </c>
      <c r="AA381" s="1331"/>
    </row>
    <row r="382" spans="6:27" ht="10.5" customHeight="1">
      <c r="F382" s="367"/>
      <c r="G382" s="344"/>
      <c r="H382" s="344"/>
      <c r="I382" s="344"/>
      <c r="J382" s="344"/>
      <c r="K382" s="344"/>
      <c r="L382" s="344"/>
      <c r="M382" s="344"/>
      <c r="N382" s="674" t="s">
        <v>620</v>
      </c>
      <c r="O382" s="321"/>
      <c r="P382" s="185"/>
      <c r="Q382" s="429"/>
      <c r="R382" s="575" t="s">
        <v>1038</v>
      </c>
      <c r="S382" s="575" t="s">
        <v>2619</v>
      </c>
      <c r="AA382" s="1331"/>
    </row>
    <row r="383" spans="6:27" ht="10.5" customHeight="1">
      <c r="F383" s="367"/>
      <c r="G383" s="344"/>
      <c r="H383" s="344"/>
      <c r="I383" s="344"/>
      <c r="J383" s="344"/>
      <c r="K383" s="344"/>
      <c r="L383" s="344"/>
      <c r="M383" s="344"/>
      <c r="N383" s="674" t="s">
        <v>1470</v>
      </c>
      <c r="O383" s="321"/>
      <c r="P383" s="185"/>
      <c r="Q383" s="429"/>
      <c r="R383" s="676" t="s">
        <v>1017</v>
      </c>
      <c r="S383" s="676" t="s">
        <v>443</v>
      </c>
      <c r="AA383" s="1331"/>
    </row>
    <row r="384" spans="6:27" ht="10.5" customHeight="1">
      <c r="F384" s="367"/>
      <c r="G384" s="344"/>
      <c r="H384" s="344"/>
      <c r="I384" s="344"/>
      <c r="J384" s="344"/>
      <c r="K384" s="344"/>
      <c r="L384" s="344"/>
      <c r="M384" s="344"/>
      <c r="N384" s="674" t="s">
        <v>1651</v>
      </c>
      <c r="O384" s="321"/>
      <c r="P384" s="185"/>
      <c r="Q384" s="429"/>
      <c r="R384" s="575" t="s">
        <v>1019</v>
      </c>
      <c r="S384" s="575" t="s">
        <v>123</v>
      </c>
      <c r="AA384" s="1332"/>
    </row>
    <row r="385" spans="6:27" ht="10.5" customHeight="1">
      <c r="F385" s="367"/>
      <c r="G385" s="344"/>
      <c r="H385" s="344"/>
      <c r="I385" s="344"/>
      <c r="J385" s="344"/>
      <c r="K385" s="344"/>
      <c r="L385" s="344"/>
      <c r="M385" s="344"/>
      <c r="N385" s="674" t="s">
        <v>1044</v>
      </c>
      <c r="O385" s="321"/>
      <c r="P385" s="185"/>
      <c r="Q385" s="429"/>
      <c r="R385" s="575" t="s">
        <v>1021</v>
      </c>
      <c r="S385" s="575" t="s">
        <v>697</v>
      </c>
      <c r="AA385" s="1331"/>
    </row>
    <row r="386" spans="6:27" ht="10.5" customHeight="1">
      <c r="F386" s="367"/>
      <c r="G386" s="344"/>
      <c r="H386" s="344"/>
      <c r="I386" s="344"/>
      <c r="J386" s="344"/>
      <c r="K386" s="344"/>
      <c r="L386" s="344"/>
      <c r="M386" s="344"/>
      <c r="N386" s="674" t="s">
        <v>1046</v>
      </c>
      <c r="O386" s="321"/>
      <c r="P386" s="185"/>
      <c r="Q386" s="429"/>
      <c r="R386" s="575" t="s">
        <v>1023</v>
      </c>
      <c r="S386" s="575" t="s">
        <v>1952</v>
      </c>
      <c r="AA386" s="1331"/>
    </row>
    <row r="387" spans="6:27" ht="10.5" customHeight="1">
      <c r="F387" s="367"/>
      <c r="G387" s="344"/>
      <c r="H387" s="344"/>
      <c r="I387" s="344"/>
      <c r="J387" s="344"/>
      <c r="K387" s="344"/>
      <c r="L387" s="344"/>
      <c r="M387" s="344"/>
      <c r="N387" s="674" t="s">
        <v>1048</v>
      </c>
      <c r="O387" s="321"/>
      <c r="P387" s="185"/>
      <c r="Q387" s="429"/>
      <c r="R387" s="575" t="s">
        <v>1084</v>
      </c>
      <c r="S387" s="575" t="s">
        <v>652</v>
      </c>
      <c r="AA387" s="1331"/>
    </row>
    <row r="388" spans="6:27" ht="10.5" customHeight="1">
      <c r="F388" s="367"/>
      <c r="G388" s="344"/>
      <c r="H388" s="344"/>
      <c r="I388" s="344"/>
      <c r="J388" s="344"/>
      <c r="K388" s="344"/>
      <c r="L388" s="344"/>
      <c r="M388" s="344"/>
      <c r="N388" s="674" t="s">
        <v>1740</v>
      </c>
      <c r="O388" s="321"/>
      <c r="P388" s="185"/>
      <c r="Q388" s="429"/>
      <c r="R388" s="575" t="s">
        <v>595</v>
      </c>
      <c r="S388" s="575" t="s">
        <v>2251</v>
      </c>
      <c r="AA388" s="1331"/>
    </row>
    <row r="389" spans="6:27" ht="10.5" customHeight="1">
      <c r="F389" s="367"/>
      <c r="G389" s="344"/>
      <c r="H389" s="344"/>
      <c r="I389" s="344"/>
      <c r="J389" s="344"/>
      <c r="K389" s="344"/>
      <c r="L389" s="344"/>
      <c r="M389" s="344"/>
      <c r="N389" s="674" t="s">
        <v>1741</v>
      </c>
      <c r="O389" s="321"/>
      <c r="P389" s="185"/>
      <c r="Q389" s="429"/>
      <c r="R389" s="575" t="s">
        <v>386</v>
      </c>
      <c r="S389" s="575" t="s">
        <v>2616</v>
      </c>
      <c r="AA389" s="1331"/>
    </row>
    <row r="390" spans="6:27" ht="10.5" customHeight="1">
      <c r="F390" s="367"/>
      <c r="G390" s="344"/>
      <c r="H390" s="344"/>
      <c r="I390" s="344"/>
      <c r="J390" s="344"/>
      <c r="K390" s="344"/>
      <c r="L390" s="344"/>
      <c r="M390" s="344"/>
      <c r="N390" s="674" t="s">
        <v>1742</v>
      </c>
      <c r="O390" s="321"/>
      <c r="P390" s="185"/>
      <c r="Q390" s="429"/>
      <c r="R390" s="575" t="s">
        <v>388</v>
      </c>
      <c r="S390" s="575" t="s">
        <v>1512</v>
      </c>
      <c r="AA390" s="1331"/>
    </row>
    <row r="391" spans="6:27" ht="10.5" customHeight="1">
      <c r="F391" s="367"/>
      <c r="G391" s="344"/>
      <c r="H391" s="344"/>
      <c r="I391" s="344"/>
      <c r="J391" s="344"/>
      <c r="K391" s="344"/>
      <c r="L391" s="344"/>
      <c r="M391" s="344"/>
      <c r="N391" s="674" t="s">
        <v>895</v>
      </c>
      <c r="O391" s="321"/>
      <c r="P391" s="185"/>
      <c r="Q391" s="429"/>
      <c r="R391" s="575" t="s">
        <v>1085</v>
      </c>
      <c r="S391" s="575" t="s">
        <v>1985</v>
      </c>
      <c r="AA391" s="1331"/>
    </row>
    <row r="392" spans="6:27" ht="10.5" customHeight="1">
      <c r="F392" s="367"/>
      <c r="G392" s="344"/>
      <c r="H392" s="344"/>
      <c r="I392" s="344"/>
      <c r="J392" s="344"/>
      <c r="K392" s="344"/>
      <c r="L392" s="344"/>
      <c r="M392" s="344"/>
      <c r="N392" s="674" t="s">
        <v>897</v>
      </c>
      <c r="O392" s="321"/>
      <c r="P392" s="185"/>
      <c r="Q392" s="429"/>
      <c r="R392" s="575" t="s">
        <v>390</v>
      </c>
      <c r="S392" s="575" t="s">
        <v>910</v>
      </c>
      <c r="AA392" s="1331"/>
    </row>
    <row r="393" spans="6:27" ht="10.5" customHeight="1">
      <c r="F393" s="367"/>
      <c r="G393" s="344"/>
      <c r="H393" s="344"/>
      <c r="I393" s="344"/>
      <c r="J393" s="344"/>
      <c r="K393" s="344"/>
      <c r="L393" s="344"/>
      <c r="M393" s="344"/>
      <c r="N393" s="674" t="s">
        <v>899</v>
      </c>
      <c r="O393" s="321"/>
      <c r="P393" s="185"/>
      <c r="Q393" s="429"/>
      <c r="R393" s="575" t="s">
        <v>1471</v>
      </c>
      <c r="S393" s="575" t="s">
        <v>2324</v>
      </c>
      <c r="AA393" s="1331"/>
    </row>
    <row r="394" spans="6:27" ht="10.5" customHeight="1">
      <c r="F394" s="367"/>
      <c r="G394" s="344"/>
      <c r="H394" s="344"/>
      <c r="I394" s="344"/>
      <c r="J394" s="344"/>
      <c r="K394" s="344"/>
      <c r="L394" s="344"/>
      <c r="M394" s="344"/>
      <c r="N394" s="674" t="s">
        <v>446</v>
      </c>
      <c r="O394" s="321"/>
      <c r="P394" s="185"/>
      <c r="Q394" s="429"/>
      <c r="R394" s="575" t="s">
        <v>1652</v>
      </c>
      <c r="S394" s="575" t="s">
        <v>180</v>
      </c>
      <c r="AA394" s="1331"/>
    </row>
    <row r="395" spans="6:27" ht="10.5" customHeight="1">
      <c r="F395" s="367"/>
      <c r="G395" s="344"/>
      <c r="H395" s="344"/>
      <c r="I395" s="344"/>
      <c r="J395" s="344"/>
      <c r="K395" s="344"/>
      <c r="L395" s="344"/>
      <c r="M395" s="344"/>
      <c r="N395" s="674" t="s">
        <v>1788</v>
      </c>
      <c r="O395" s="321"/>
      <c r="P395" s="185"/>
      <c r="Q395" s="429"/>
      <c r="R395" s="575" t="s">
        <v>1045</v>
      </c>
      <c r="S395" s="575" t="s">
        <v>328</v>
      </c>
      <c r="AA395" s="1331"/>
    </row>
    <row r="396" spans="6:27" ht="10.5" customHeight="1">
      <c r="F396" s="367"/>
      <c r="G396" s="344"/>
      <c r="H396" s="344"/>
      <c r="I396" s="344"/>
      <c r="J396" s="344"/>
      <c r="K396" s="344"/>
      <c r="L396" s="344"/>
      <c r="M396" s="344"/>
      <c r="N396" s="674" t="s">
        <v>2367</v>
      </c>
      <c r="O396" s="321"/>
      <c r="P396" s="185"/>
      <c r="Q396" s="429"/>
      <c r="R396" s="676" t="s">
        <v>1047</v>
      </c>
      <c r="S396" s="676" t="s">
        <v>332</v>
      </c>
      <c r="AA396" s="1331"/>
    </row>
    <row r="397" spans="6:27" ht="10.5" customHeight="1">
      <c r="F397" s="367"/>
      <c r="G397" s="344"/>
      <c r="H397" s="344"/>
      <c r="I397" s="344"/>
      <c r="J397" s="344"/>
      <c r="K397" s="344"/>
      <c r="L397" s="344"/>
      <c r="M397" s="344"/>
      <c r="N397" s="674" t="s">
        <v>2079</v>
      </c>
      <c r="O397" s="321"/>
      <c r="P397" s="185"/>
      <c r="Q397" s="429"/>
      <c r="R397" s="575" t="s">
        <v>1086</v>
      </c>
      <c r="S397" s="575" t="s">
        <v>2081</v>
      </c>
      <c r="AA397" s="1332"/>
    </row>
    <row r="398" spans="6:27" ht="10.5" customHeight="1">
      <c r="F398" s="367"/>
      <c r="G398" s="344"/>
      <c r="H398" s="344"/>
      <c r="I398" s="344"/>
      <c r="J398" s="344"/>
      <c r="K398" s="344"/>
      <c r="L398" s="344"/>
      <c r="M398" s="344"/>
      <c r="N398" s="674" t="s">
        <v>1069</v>
      </c>
      <c r="O398" s="321"/>
      <c r="P398" s="185"/>
      <c r="Q398" s="429"/>
      <c r="R398" s="575" t="s">
        <v>1049</v>
      </c>
      <c r="S398" s="575" t="s">
        <v>1252</v>
      </c>
      <c r="AA398" s="1331"/>
    </row>
    <row r="399" spans="6:27" ht="10.5" customHeight="1">
      <c r="F399" s="367"/>
      <c r="G399" s="344"/>
      <c r="H399" s="344"/>
      <c r="I399" s="344"/>
      <c r="J399" s="344"/>
      <c r="K399" s="344"/>
      <c r="L399" s="344"/>
      <c r="M399" s="344"/>
      <c r="N399" s="674" t="s">
        <v>425</v>
      </c>
      <c r="O399" s="321"/>
      <c r="P399" s="185"/>
      <c r="Q399" s="429"/>
      <c r="R399" s="575" t="s">
        <v>327</v>
      </c>
      <c r="S399" s="575" t="s">
        <v>2619</v>
      </c>
      <c r="AA399" s="1331"/>
    </row>
    <row r="400" spans="6:27" ht="10.5" customHeight="1">
      <c r="F400" s="367"/>
      <c r="G400" s="344"/>
      <c r="H400" s="344"/>
      <c r="I400" s="344"/>
      <c r="J400" s="344"/>
      <c r="K400" s="344"/>
      <c r="L400" s="344"/>
      <c r="M400" s="344"/>
      <c r="N400" s="674" t="s">
        <v>427</v>
      </c>
      <c r="O400" s="321"/>
      <c r="P400" s="185"/>
      <c r="Q400" s="429"/>
      <c r="R400" s="575" t="s">
        <v>2999</v>
      </c>
      <c r="S400" s="575" t="s">
        <v>1849</v>
      </c>
      <c r="AA400" s="1331"/>
    </row>
    <row r="401" spans="6:27" ht="10.5" customHeight="1">
      <c r="F401" s="367"/>
      <c r="G401" s="344"/>
      <c r="H401" s="344"/>
      <c r="I401" s="344"/>
      <c r="J401" s="344"/>
      <c r="K401" s="344"/>
      <c r="L401" s="344"/>
      <c r="M401" s="344"/>
      <c r="N401" s="674" t="s">
        <v>428</v>
      </c>
      <c r="O401" s="321"/>
      <c r="P401" s="185"/>
      <c r="Q401" s="429"/>
      <c r="R401" s="575" t="s">
        <v>1743</v>
      </c>
      <c r="S401" s="575" t="s">
        <v>2616</v>
      </c>
      <c r="AA401" s="1331"/>
    </row>
    <row r="402" spans="6:27" ht="10.5" customHeight="1">
      <c r="F402" s="367"/>
      <c r="G402" s="344"/>
      <c r="H402" s="344"/>
      <c r="I402" s="344"/>
      <c r="J402" s="344"/>
      <c r="K402" s="344"/>
      <c r="L402" s="344"/>
      <c r="M402" s="344"/>
      <c r="N402" s="674" t="s">
        <v>2017</v>
      </c>
      <c r="O402" s="321"/>
      <c r="P402" s="185"/>
      <c r="Q402" s="429"/>
      <c r="R402" s="575" t="s">
        <v>896</v>
      </c>
      <c r="S402" s="575" t="s">
        <v>108</v>
      </c>
      <c r="AA402" s="1331"/>
    </row>
    <row r="403" spans="6:27" ht="10.5" customHeight="1">
      <c r="F403" s="367"/>
      <c r="G403" s="344"/>
      <c r="H403" s="344"/>
      <c r="I403" s="344"/>
      <c r="J403" s="344"/>
      <c r="K403" s="344"/>
      <c r="L403" s="344"/>
      <c r="M403" s="344"/>
      <c r="N403" s="674" t="s">
        <v>509</v>
      </c>
      <c r="O403" s="321"/>
      <c r="P403" s="185"/>
      <c r="Q403" s="429"/>
      <c r="R403" s="575" t="s">
        <v>898</v>
      </c>
      <c r="S403" s="575" t="s">
        <v>329</v>
      </c>
      <c r="AA403" s="1331"/>
    </row>
    <row r="404" spans="6:27" ht="10.5" customHeight="1">
      <c r="F404" s="367"/>
      <c r="G404" s="344"/>
      <c r="H404" s="344"/>
      <c r="I404" s="344"/>
      <c r="J404" s="344"/>
      <c r="K404" s="344"/>
      <c r="L404" s="344"/>
      <c r="M404" s="344"/>
      <c r="N404" s="674" t="s">
        <v>2239</v>
      </c>
      <c r="O404" s="321"/>
      <c r="P404" s="185"/>
      <c r="Q404" s="429"/>
      <c r="R404" s="575" t="s">
        <v>1806</v>
      </c>
      <c r="S404" s="575" t="s">
        <v>1137</v>
      </c>
      <c r="AA404" s="1331"/>
    </row>
    <row r="405" spans="6:27" ht="10.5" customHeight="1">
      <c r="F405" s="367"/>
      <c r="G405" s="344"/>
      <c r="H405" s="344"/>
      <c r="I405" s="344"/>
      <c r="J405" s="344"/>
      <c r="K405" s="344"/>
      <c r="L405" s="344"/>
      <c r="M405" s="344"/>
      <c r="N405" s="674" t="s">
        <v>1704</v>
      </c>
      <c r="O405" s="321"/>
      <c r="P405" s="185"/>
      <c r="Q405" s="429"/>
      <c r="R405" s="575" t="s">
        <v>655</v>
      </c>
      <c r="S405" s="575" t="s">
        <v>339</v>
      </c>
      <c r="AA405" s="1331"/>
    </row>
    <row r="406" spans="6:27" ht="10.5" customHeight="1">
      <c r="F406" s="367"/>
      <c r="G406" s="344"/>
      <c r="H406" s="344"/>
      <c r="I406" s="344"/>
      <c r="J406" s="344"/>
      <c r="K406" s="344"/>
      <c r="L406" s="344"/>
      <c r="M406" s="344"/>
      <c r="N406" s="674" t="s">
        <v>1706</v>
      </c>
      <c r="O406" s="321"/>
      <c r="P406" s="185"/>
      <c r="Q406" s="429"/>
      <c r="R406" s="575" t="s">
        <v>1789</v>
      </c>
      <c r="S406" s="575" t="s">
        <v>116</v>
      </c>
      <c r="AA406" s="1331"/>
    </row>
    <row r="407" spans="6:27" ht="10.5" customHeight="1">
      <c r="F407" s="367"/>
      <c r="G407" s="344"/>
      <c r="H407" s="344"/>
      <c r="I407" s="344"/>
      <c r="J407" s="344"/>
      <c r="K407" s="344"/>
      <c r="L407" s="344"/>
      <c r="M407" s="344"/>
      <c r="N407" s="674" t="s">
        <v>319</v>
      </c>
      <c r="O407" s="321"/>
      <c r="P407" s="185"/>
      <c r="Q407" s="429"/>
      <c r="R407" s="575" t="s">
        <v>2368</v>
      </c>
      <c r="S407" s="575" t="s">
        <v>904</v>
      </c>
      <c r="AA407" s="1331"/>
    </row>
    <row r="408" spans="6:27" ht="10.5" customHeight="1">
      <c r="F408" s="367"/>
      <c r="G408" s="344"/>
      <c r="H408" s="344"/>
      <c r="I408" s="344"/>
      <c r="J408" s="344"/>
      <c r="K408" s="344"/>
      <c r="L408" s="344"/>
      <c r="M408" s="344"/>
      <c r="N408" s="674" t="s">
        <v>321</v>
      </c>
      <c r="O408" s="321"/>
      <c r="P408" s="185"/>
      <c r="Q408" s="429"/>
      <c r="R408" s="575" t="s">
        <v>3000</v>
      </c>
      <c r="S408" s="575" t="s">
        <v>164</v>
      </c>
      <c r="AA408" s="1331"/>
    </row>
    <row r="409" spans="6:27" ht="10.5" customHeight="1">
      <c r="F409" s="367"/>
      <c r="G409" s="344"/>
      <c r="H409" s="344"/>
      <c r="I409" s="344"/>
      <c r="J409" s="344"/>
      <c r="K409" s="344"/>
      <c r="L409" s="344"/>
      <c r="M409" s="344"/>
      <c r="N409" s="674" t="s">
        <v>975</v>
      </c>
      <c r="O409" s="321"/>
      <c r="P409" s="185"/>
      <c r="Q409" s="429"/>
      <c r="R409" s="575" t="s">
        <v>2080</v>
      </c>
      <c r="S409" s="575" t="s">
        <v>1147</v>
      </c>
      <c r="AA409" s="1331"/>
    </row>
    <row r="410" spans="6:27" ht="10.5" customHeight="1">
      <c r="F410" s="367"/>
      <c r="G410" s="344"/>
      <c r="H410" s="344"/>
      <c r="I410" s="344"/>
      <c r="J410" s="344"/>
      <c r="K410" s="344"/>
      <c r="L410" s="344"/>
      <c r="M410" s="344"/>
      <c r="N410" s="674" t="s">
        <v>2401</v>
      </c>
      <c r="O410" s="321"/>
      <c r="P410" s="185"/>
      <c r="Q410" s="429"/>
      <c r="R410" s="676" t="s">
        <v>3001</v>
      </c>
      <c r="S410" s="676" t="s">
        <v>332</v>
      </c>
      <c r="AA410" s="1331"/>
    </row>
    <row r="411" spans="6:27" ht="10.5" customHeight="1">
      <c r="F411" s="367"/>
      <c r="G411" s="344"/>
      <c r="H411" s="344"/>
      <c r="I411" s="344"/>
      <c r="J411" s="344"/>
      <c r="K411" s="344"/>
      <c r="L411" s="344"/>
      <c r="M411" s="344"/>
      <c r="N411" s="674" t="s">
        <v>2402</v>
      </c>
      <c r="O411" s="321"/>
      <c r="P411" s="185"/>
      <c r="Q411" s="429"/>
      <c r="R411" s="575" t="s">
        <v>1070</v>
      </c>
      <c r="S411" s="575" t="s">
        <v>1985</v>
      </c>
      <c r="AA411" s="1332"/>
    </row>
    <row r="412" spans="6:27" ht="10.5" customHeight="1">
      <c r="F412" s="367"/>
      <c r="G412" s="344"/>
      <c r="H412" s="344"/>
      <c r="I412" s="344"/>
      <c r="J412" s="344"/>
      <c r="K412" s="344"/>
      <c r="L412" s="344"/>
      <c r="M412" s="344"/>
      <c r="N412" s="674" t="s">
        <v>2383</v>
      </c>
      <c r="O412" s="321"/>
      <c r="P412" s="185"/>
      <c r="Q412" s="429"/>
      <c r="R412" s="676" t="s">
        <v>426</v>
      </c>
      <c r="S412" s="676" t="s">
        <v>189</v>
      </c>
      <c r="AA412" s="1331"/>
    </row>
    <row r="413" spans="6:27" ht="10.5" customHeight="1">
      <c r="F413" s="367"/>
      <c r="G413" s="344"/>
      <c r="H413" s="344"/>
      <c r="I413" s="344"/>
      <c r="J413" s="344"/>
      <c r="K413" s="344"/>
      <c r="L413" s="344"/>
      <c r="M413" s="344"/>
      <c r="N413" s="674" t="s">
        <v>2384</v>
      </c>
      <c r="O413" s="321"/>
      <c r="P413" s="185"/>
      <c r="Q413" s="429"/>
      <c r="R413" s="575" t="s">
        <v>1087</v>
      </c>
      <c r="S413" s="575" t="s">
        <v>1134</v>
      </c>
      <c r="AA413" s="1332"/>
    </row>
    <row r="414" spans="6:27" ht="10.5" customHeight="1">
      <c r="F414" s="367"/>
      <c r="G414" s="344"/>
      <c r="H414" s="344"/>
      <c r="I414" s="344"/>
      <c r="J414" s="344"/>
      <c r="K414" s="344"/>
      <c r="L414" s="344"/>
      <c r="M414" s="344"/>
      <c r="N414" s="674" t="s">
        <v>2386</v>
      </c>
      <c r="O414" s="321"/>
      <c r="P414" s="185"/>
      <c r="Q414" s="429"/>
      <c r="R414" s="676" t="s">
        <v>429</v>
      </c>
      <c r="S414" s="676" t="s">
        <v>2247</v>
      </c>
      <c r="AA414" s="1331"/>
    </row>
    <row r="415" spans="6:27" ht="10.5" customHeight="1">
      <c r="F415" s="367"/>
      <c r="G415" s="344"/>
      <c r="H415" s="344"/>
      <c r="I415" s="344"/>
      <c r="J415" s="344"/>
      <c r="K415" s="344"/>
      <c r="L415" s="344"/>
      <c r="M415" s="344"/>
      <c r="N415" s="674" t="s">
        <v>528</v>
      </c>
      <c r="O415" s="321"/>
      <c r="P415" s="185"/>
      <c r="Q415" s="429"/>
      <c r="R415" s="575" t="s">
        <v>2018</v>
      </c>
      <c r="S415" s="575" t="s">
        <v>1512</v>
      </c>
      <c r="AA415" s="1332"/>
    </row>
    <row r="416" spans="6:27" ht="10.5" customHeight="1">
      <c r="F416" s="367"/>
      <c r="G416" s="344"/>
      <c r="H416" s="344"/>
      <c r="I416" s="344"/>
      <c r="J416" s="344"/>
      <c r="K416" s="344"/>
      <c r="L416" s="344"/>
      <c r="M416" s="344"/>
      <c r="N416" s="674" t="s">
        <v>191</v>
      </c>
      <c r="O416" s="321"/>
      <c r="P416" s="185"/>
      <c r="Q416" s="429"/>
      <c r="R416" s="575" t="s">
        <v>510</v>
      </c>
      <c r="S416" s="575" t="s">
        <v>2680</v>
      </c>
      <c r="AA416" s="1331"/>
    </row>
    <row r="417" spans="6:27" ht="10.5" customHeight="1">
      <c r="F417" s="367"/>
      <c r="G417" s="344"/>
      <c r="H417" s="344"/>
      <c r="I417" s="344"/>
      <c r="J417" s="344"/>
      <c r="K417" s="344"/>
      <c r="L417" s="344"/>
      <c r="M417" s="344"/>
      <c r="N417" s="674" t="s">
        <v>2192</v>
      </c>
      <c r="O417" s="321"/>
      <c r="P417" s="185"/>
      <c r="Q417" s="429"/>
      <c r="R417" s="575" t="s">
        <v>2240</v>
      </c>
      <c r="S417" s="575" t="s">
        <v>1372</v>
      </c>
      <c r="AA417" s="1331"/>
    </row>
    <row r="418" spans="6:27" ht="10.5" customHeight="1">
      <c r="F418" s="367"/>
      <c r="G418" s="344"/>
      <c r="H418" s="344"/>
      <c r="I418" s="344"/>
      <c r="J418" s="344"/>
      <c r="K418" s="344"/>
      <c r="L418" s="344"/>
      <c r="M418" s="344"/>
      <c r="N418" s="674" t="s">
        <v>2050</v>
      </c>
      <c r="O418" s="321"/>
      <c r="P418" s="185"/>
      <c r="Q418" s="429"/>
      <c r="R418" s="575" t="s">
        <v>1705</v>
      </c>
      <c r="S418" s="575" t="s">
        <v>1989</v>
      </c>
      <c r="AA418" s="1331"/>
    </row>
    <row r="419" spans="6:27" ht="10.5" customHeight="1">
      <c r="F419" s="367"/>
      <c r="G419" s="344"/>
      <c r="H419" s="344"/>
      <c r="I419" s="344"/>
      <c r="J419" s="344"/>
      <c r="K419" s="344"/>
      <c r="L419" s="344"/>
      <c r="M419" s="344"/>
      <c r="N419" s="674" t="s">
        <v>2052</v>
      </c>
      <c r="O419" s="321"/>
      <c r="P419" s="185"/>
      <c r="Q419" s="429"/>
      <c r="R419" s="575" t="s">
        <v>1707</v>
      </c>
      <c r="S419" s="575" t="s">
        <v>169</v>
      </c>
      <c r="AA419" s="1331"/>
    </row>
    <row r="420" spans="6:27" ht="10.5" customHeight="1">
      <c r="F420" s="367"/>
      <c r="G420" s="344"/>
      <c r="H420" s="344"/>
      <c r="I420" s="344"/>
      <c r="J420" s="344"/>
      <c r="K420" s="344"/>
      <c r="L420" s="344"/>
      <c r="M420" s="344"/>
      <c r="N420" s="674" t="s">
        <v>1187</v>
      </c>
      <c r="O420" s="321"/>
      <c r="P420" s="185"/>
      <c r="Q420" s="429"/>
      <c r="R420" s="575" t="s">
        <v>320</v>
      </c>
      <c r="S420" s="575" t="s">
        <v>162</v>
      </c>
      <c r="AA420" s="1331"/>
    </row>
    <row r="421" spans="6:27" ht="10.5" customHeight="1">
      <c r="F421" s="367"/>
      <c r="G421" s="344"/>
      <c r="H421" s="344"/>
      <c r="I421" s="344"/>
      <c r="J421" s="344"/>
      <c r="K421" s="344"/>
      <c r="L421" s="344"/>
      <c r="M421" s="344"/>
      <c r="N421" s="674" t="s">
        <v>1189</v>
      </c>
      <c r="O421" s="321"/>
      <c r="P421" s="185"/>
      <c r="Q421" s="429"/>
      <c r="R421" s="575" t="s">
        <v>322</v>
      </c>
      <c r="S421" s="575" t="s">
        <v>1359</v>
      </c>
      <c r="AA421" s="1331"/>
    </row>
    <row r="422" spans="6:27" ht="10.5" customHeight="1">
      <c r="F422" s="367"/>
      <c r="G422" s="344"/>
      <c r="H422" s="344"/>
      <c r="I422" s="344"/>
      <c r="J422" s="344"/>
      <c r="K422" s="344"/>
      <c r="L422" s="344"/>
      <c r="M422" s="344"/>
      <c r="N422" s="674" t="s">
        <v>1151</v>
      </c>
      <c r="O422" s="321"/>
      <c r="P422" s="185"/>
      <c r="Q422" s="429"/>
      <c r="R422" s="575" t="s">
        <v>976</v>
      </c>
      <c r="S422" s="575" t="s">
        <v>2570</v>
      </c>
      <c r="AA422" s="1331"/>
    </row>
    <row r="423" spans="6:27" ht="10.5" customHeight="1">
      <c r="F423" s="367"/>
      <c r="G423" s="344"/>
      <c r="H423" s="344"/>
      <c r="I423" s="344"/>
      <c r="J423" s="344"/>
      <c r="K423" s="344"/>
      <c r="L423" s="344"/>
      <c r="M423" s="344"/>
      <c r="N423" s="674" t="s">
        <v>1152</v>
      </c>
      <c r="O423" s="321"/>
      <c r="P423" s="185"/>
      <c r="Q423" s="429"/>
      <c r="R423" s="575" t="s">
        <v>2403</v>
      </c>
      <c r="S423" s="575" t="s">
        <v>336</v>
      </c>
      <c r="AA423" s="1331"/>
    </row>
    <row r="424" spans="6:27" ht="10.5" customHeight="1">
      <c r="F424" s="367"/>
      <c r="G424" s="344"/>
      <c r="H424" s="344"/>
      <c r="I424" s="344"/>
      <c r="J424" s="344"/>
      <c r="K424" s="344"/>
      <c r="L424" s="344"/>
      <c r="M424" s="344"/>
      <c r="N424" s="674" t="s">
        <v>74</v>
      </c>
      <c r="O424" s="321"/>
      <c r="P424" s="185"/>
      <c r="Q424" s="429"/>
      <c r="R424" s="575" t="s">
        <v>3002</v>
      </c>
      <c r="S424" s="575" t="s">
        <v>2264</v>
      </c>
      <c r="AA424" s="1331"/>
    </row>
    <row r="425" spans="6:27" ht="10.5" customHeight="1">
      <c r="F425" s="367"/>
      <c r="G425" s="344"/>
      <c r="H425" s="344"/>
      <c r="I425" s="344"/>
      <c r="J425" s="344"/>
      <c r="K425" s="344"/>
      <c r="L425" s="344"/>
      <c r="M425" s="344"/>
      <c r="N425" s="674" t="s">
        <v>381</v>
      </c>
      <c r="O425" s="321"/>
      <c r="P425" s="185"/>
      <c r="Q425" s="429"/>
      <c r="R425" s="678" t="s">
        <v>2385</v>
      </c>
      <c r="S425" s="575" t="s">
        <v>184</v>
      </c>
      <c r="AA425" s="1331"/>
    </row>
    <row r="426" spans="6:27" ht="10.5" customHeight="1">
      <c r="F426" s="367"/>
      <c r="G426" s="344"/>
      <c r="H426" s="344"/>
      <c r="I426" s="344"/>
      <c r="J426" s="344"/>
      <c r="K426" s="344"/>
      <c r="L426" s="344"/>
      <c r="M426" s="344"/>
      <c r="N426" s="674" t="s">
        <v>2329</v>
      </c>
      <c r="O426" s="321"/>
      <c r="P426" s="185"/>
      <c r="Q426" s="429"/>
      <c r="R426" s="575" t="s">
        <v>2387</v>
      </c>
      <c r="S426" s="575" t="s">
        <v>1369</v>
      </c>
      <c r="AA426" s="1333"/>
    </row>
    <row r="427" spans="6:27" ht="10.5" customHeight="1">
      <c r="F427" s="367"/>
      <c r="G427" s="344"/>
      <c r="H427" s="344"/>
      <c r="I427" s="344"/>
      <c r="J427" s="344"/>
      <c r="K427" s="344"/>
      <c r="L427" s="344"/>
      <c r="M427" s="344"/>
      <c r="N427" s="674" t="s">
        <v>1886</v>
      </c>
      <c r="O427" s="321"/>
      <c r="P427" s="185"/>
      <c r="Q427" s="429"/>
      <c r="R427" s="575" t="s">
        <v>529</v>
      </c>
      <c r="S427" s="575" t="s">
        <v>184</v>
      </c>
      <c r="AA427" s="1331"/>
    </row>
    <row r="428" spans="6:27" ht="10.5" customHeight="1">
      <c r="F428" s="367"/>
      <c r="G428" s="344"/>
      <c r="H428" s="344"/>
      <c r="I428" s="344"/>
      <c r="J428" s="344"/>
      <c r="K428" s="344"/>
      <c r="L428" s="344"/>
      <c r="M428" s="344"/>
      <c r="N428" s="674" t="s">
        <v>1821</v>
      </c>
      <c r="O428" s="321"/>
      <c r="P428" s="185"/>
      <c r="Q428" s="429"/>
      <c r="R428" s="575" t="s">
        <v>1088</v>
      </c>
      <c r="S428" s="575" t="s">
        <v>1577</v>
      </c>
      <c r="AA428" s="1331"/>
    </row>
    <row r="429" spans="6:27" ht="10.5" customHeight="1">
      <c r="F429" s="367"/>
      <c r="G429" s="344"/>
      <c r="H429" s="344"/>
      <c r="I429" s="344"/>
      <c r="J429" s="344"/>
      <c r="K429" s="344"/>
      <c r="L429" s="344"/>
      <c r="M429" s="344"/>
      <c r="N429" s="674" t="s">
        <v>286</v>
      </c>
      <c r="O429" s="321"/>
      <c r="P429" s="185"/>
      <c r="Q429" s="429"/>
      <c r="R429" s="575" t="s">
        <v>192</v>
      </c>
      <c r="S429" s="575" t="s">
        <v>2249</v>
      </c>
      <c r="AA429" s="1331"/>
    </row>
    <row r="430" spans="6:27" ht="10.5" customHeight="1">
      <c r="F430" s="367"/>
      <c r="G430" s="344"/>
      <c r="H430" s="344"/>
      <c r="I430" s="344"/>
      <c r="J430" s="344"/>
      <c r="K430" s="344"/>
      <c r="L430" s="344"/>
      <c r="M430" s="344"/>
      <c r="N430" s="674" t="s">
        <v>2436</v>
      </c>
      <c r="O430" s="321"/>
      <c r="P430" s="185"/>
      <c r="Q430" s="429"/>
      <c r="R430" s="676" t="s">
        <v>1089</v>
      </c>
      <c r="S430" s="676" t="s">
        <v>2569</v>
      </c>
      <c r="AA430" s="1331"/>
    </row>
    <row r="431" spans="6:27" ht="10.5" customHeight="1">
      <c r="F431" s="367"/>
      <c r="G431" s="344"/>
      <c r="H431" s="344"/>
      <c r="I431" s="344"/>
      <c r="J431" s="344"/>
      <c r="K431" s="344"/>
      <c r="L431" s="344"/>
      <c r="M431" s="344"/>
      <c r="N431" s="674" t="s">
        <v>486</v>
      </c>
      <c r="O431" s="321"/>
      <c r="P431" s="185"/>
      <c r="Q431" s="429"/>
      <c r="R431" s="575" t="s">
        <v>2049</v>
      </c>
      <c r="S431" s="575" t="s">
        <v>2484</v>
      </c>
      <c r="AA431" s="1332"/>
    </row>
    <row r="432" spans="6:27" ht="10.5" customHeight="1">
      <c r="F432" s="367"/>
      <c r="G432" s="344"/>
      <c r="H432" s="344"/>
      <c r="I432" s="344"/>
      <c r="J432" s="344"/>
      <c r="K432" s="344"/>
      <c r="L432" s="344"/>
      <c r="M432" s="344"/>
      <c r="N432" s="674" t="s">
        <v>487</v>
      </c>
      <c r="O432" s="321"/>
      <c r="P432" s="185"/>
      <c r="Q432" s="429"/>
      <c r="R432" s="575" t="s">
        <v>1090</v>
      </c>
      <c r="S432" s="575" t="s">
        <v>164</v>
      </c>
      <c r="AA432" s="1331"/>
    </row>
    <row r="433" spans="6:27" ht="10.5" customHeight="1">
      <c r="F433" s="367"/>
      <c r="G433" s="344"/>
      <c r="H433" s="344"/>
      <c r="I433" s="344"/>
      <c r="J433" s="344"/>
      <c r="K433" s="344"/>
      <c r="L433" s="344"/>
      <c r="M433" s="344"/>
      <c r="N433" s="674" t="s">
        <v>489</v>
      </c>
      <c r="O433" s="321"/>
      <c r="P433" s="185"/>
      <c r="Q433" s="429"/>
      <c r="R433" s="575" t="s">
        <v>2051</v>
      </c>
      <c r="S433" s="575" t="s">
        <v>2484</v>
      </c>
      <c r="AA433" s="1331"/>
    </row>
    <row r="434" spans="6:27" ht="10.5" customHeight="1">
      <c r="F434" s="367"/>
      <c r="G434" s="344"/>
      <c r="H434" s="344"/>
      <c r="I434" s="344"/>
      <c r="J434" s="344"/>
      <c r="K434" s="344"/>
      <c r="L434" s="344"/>
      <c r="M434" s="344"/>
      <c r="N434" s="674" t="s">
        <v>491</v>
      </c>
      <c r="O434" s="321"/>
      <c r="P434" s="185"/>
      <c r="Q434" s="429"/>
      <c r="R434" s="575" t="s">
        <v>336</v>
      </c>
      <c r="S434" s="575" t="s">
        <v>1380</v>
      </c>
      <c r="AA434" s="1331"/>
    </row>
    <row r="435" spans="6:27" ht="10.5" customHeight="1">
      <c r="F435" s="367"/>
      <c r="G435" s="344"/>
      <c r="H435" s="344"/>
      <c r="I435" s="344"/>
      <c r="J435" s="344"/>
      <c r="K435" s="344"/>
      <c r="L435" s="344"/>
      <c r="M435" s="344"/>
      <c r="N435" s="674" t="s">
        <v>1287</v>
      </c>
      <c r="O435" s="321"/>
      <c r="P435" s="185"/>
      <c r="Q435" s="429"/>
      <c r="R435" s="575" t="s">
        <v>1188</v>
      </c>
      <c r="S435" s="575" t="s">
        <v>904</v>
      </c>
      <c r="AA435" s="1331"/>
    </row>
    <row r="436" spans="6:27" ht="10.5" customHeight="1">
      <c r="F436" s="367"/>
      <c r="G436" s="344"/>
      <c r="H436" s="344"/>
      <c r="I436" s="344"/>
      <c r="J436" s="344"/>
      <c r="K436" s="344"/>
      <c r="L436" s="344"/>
      <c r="M436" s="344"/>
      <c r="N436" s="674" t="s">
        <v>1289</v>
      </c>
      <c r="O436" s="321"/>
      <c r="P436" s="185"/>
      <c r="Q436" s="429"/>
      <c r="R436" s="575" t="s">
        <v>1150</v>
      </c>
      <c r="S436" s="575" t="s">
        <v>907</v>
      </c>
      <c r="AA436" s="1331"/>
    </row>
    <row r="437" spans="6:27" ht="10.5" customHeight="1">
      <c r="F437" s="367"/>
      <c r="G437" s="344"/>
      <c r="H437" s="344"/>
      <c r="I437" s="344"/>
      <c r="J437" s="344"/>
      <c r="K437" s="344"/>
      <c r="L437" s="344"/>
      <c r="M437" s="344"/>
      <c r="N437" s="674" t="s">
        <v>2069</v>
      </c>
      <c r="O437" s="321"/>
      <c r="P437" s="185"/>
      <c r="Q437" s="429"/>
      <c r="R437" s="575" t="s">
        <v>338</v>
      </c>
      <c r="S437" s="575" t="s">
        <v>1131</v>
      </c>
      <c r="AA437" s="1331"/>
    </row>
    <row r="438" spans="6:27" ht="10.5" customHeight="1">
      <c r="F438" s="367"/>
      <c r="G438" s="344"/>
      <c r="H438" s="344"/>
      <c r="I438" s="344"/>
      <c r="J438" s="344"/>
      <c r="K438" s="344"/>
      <c r="L438" s="344"/>
      <c r="M438" s="344"/>
      <c r="N438" s="674" t="s">
        <v>2070</v>
      </c>
      <c r="O438" s="321"/>
      <c r="P438" s="185"/>
      <c r="Q438" s="429"/>
      <c r="R438" s="575" t="s">
        <v>341</v>
      </c>
      <c r="S438" s="575" t="s">
        <v>336</v>
      </c>
      <c r="AA438" s="1331"/>
    </row>
    <row r="439" spans="6:27" ht="10.5" customHeight="1">
      <c r="F439" s="367"/>
      <c r="G439" s="344"/>
      <c r="H439" s="344"/>
      <c r="I439" s="344"/>
      <c r="J439" s="344"/>
      <c r="K439" s="344"/>
      <c r="L439" s="344"/>
      <c r="M439" s="344"/>
      <c r="N439" s="674" t="s">
        <v>77</v>
      </c>
      <c r="O439" s="321"/>
      <c r="P439" s="185"/>
      <c r="Q439" s="429"/>
      <c r="R439" s="676" t="s">
        <v>75</v>
      </c>
      <c r="S439" s="676" t="s">
        <v>1993</v>
      </c>
      <c r="AA439" s="1331"/>
    </row>
    <row r="440" spans="6:27" ht="10.5" customHeight="1">
      <c r="F440" s="367"/>
      <c r="G440" s="344"/>
      <c r="H440" s="344"/>
      <c r="I440" s="344"/>
      <c r="J440" s="344"/>
      <c r="K440" s="344"/>
      <c r="L440" s="344"/>
      <c r="M440" s="344"/>
      <c r="N440" s="674" t="s">
        <v>79</v>
      </c>
      <c r="O440" s="321"/>
      <c r="P440" s="185"/>
      <c r="Q440" s="429"/>
      <c r="R440" s="676" t="s">
        <v>2330</v>
      </c>
      <c r="S440" s="676" t="s">
        <v>1380</v>
      </c>
      <c r="AA440" s="1332"/>
    </row>
    <row r="441" spans="6:27" ht="10.5" customHeight="1">
      <c r="F441" s="367"/>
      <c r="G441" s="344"/>
      <c r="H441" s="344"/>
      <c r="I441" s="344"/>
      <c r="J441" s="344"/>
      <c r="K441" s="344"/>
      <c r="L441" s="344"/>
      <c r="M441" s="344"/>
      <c r="N441" s="674" t="s">
        <v>2497</v>
      </c>
      <c r="O441" s="321"/>
      <c r="P441" s="185"/>
      <c r="Q441" s="429"/>
      <c r="R441" s="575" t="s">
        <v>1820</v>
      </c>
      <c r="S441" s="575" t="s">
        <v>2084</v>
      </c>
      <c r="AA441" s="1332"/>
    </row>
    <row r="442" spans="6:27" ht="10.5" customHeight="1">
      <c r="F442" s="367"/>
      <c r="G442" s="344"/>
      <c r="H442" s="344"/>
      <c r="I442" s="344"/>
      <c r="J442" s="344"/>
      <c r="K442" s="344"/>
      <c r="L442" s="344"/>
      <c r="M442" s="344"/>
      <c r="N442" s="674" t="s">
        <v>2278</v>
      </c>
      <c r="O442" s="321"/>
      <c r="P442" s="185"/>
      <c r="Q442" s="429"/>
      <c r="R442" s="575" t="s">
        <v>1822</v>
      </c>
      <c r="S442" s="575" t="s">
        <v>110</v>
      </c>
      <c r="AA442" s="1331"/>
    </row>
    <row r="443" spans="6:27" ht="10.5" customHeight="1">
      <c r="F443" s="367"/>
      <c r="G443" s="344"/>
      <c r="H443" s="344"/>
      <c r="I443" s="344"/>
      <c r="J443" s="344"/>
      <c r="K443" s="344"/>
      <c r="L443" s="344"/>
      <c r="M443" s="344"/>
      <c r="N443" s="674" t="s">
        <v>2279</v>
      </c>
      <c r="O443" s="321"/>
      <c r="P443" s="185"/>
      <c r="Q443" s="429"/>
      <c r="R443" s="575" t="s">
        <v>718</v>
      </c>
      <c r="S443" s="575" t="s">
        <v>1252</v>
      </c>
      <c r="AA443" s="1331"/>
    </row>
    <row r="444" spans="6:27" ht="10.5" customHeight="1">
      <c r="F444" s="367"/>
      <c r="G444" s="344"/>
      <c r="H444" s="344"/>
      <c r="I444" s="344"/>
      <c r="J444" s="344"/>
      <c r="K444" s="344"/>
      <c r="L444" s="344"/>
      <c r="M444" s="344"/>
      <c r="N444" s="674" t="s">
        <v>1001</v>
      </c>
      <c r="O444" s="321"/>
      <c r="P444" s="185"/>
      <c r="Q444" s="429"/>
      <c r="R444" s="575" t="s">
        <v>2435</v>
      </c>
      <c r="S444" s="575" t="s">
        <v>2569</v>
      </c>
      <c r="AA444" s="1331"/>
    </row>
    <row r="445" spans="6:27" ht="10.5" customHeight="1">
      <c r="F445" s="367"/>
      <c r="G445" s="344"/>
      <c r="H445" s="344"/>
      <c r="I445" s="344"/>
      <c r="J445" s="344"/>
      <c r="K445" s="344"/>
      <c r="L445" s="344"/>
      <c r="M445" s="344"/>
      <c r="N445" s="674" t="s">
        <v>1003</v>
      </c>
      <c r="O445" s="321"/>
      <c r="P445" s="185"/>
      <c r="Q445" s="429"/>
      <c r="R445" s="575" t="s">
        <v>2437</v>
      </c>
      <c r="S445" s="575" t="s">
        <v>2258</v>
      </c>
      <c r="AA445" s="1331"/>
    </row>
    <row r="446" spans="6:27" ht="10.5" customHeight="1">
      <c r="F446" s="367"/>
      <c r="G446" s="344"/>
      <c r="H446" s="344"/>
      <c r="I446" s="344"/>
      <c r="J446" s="344"/>
      <c r="K446" s="344"/>
      <c r="L446" s="344"/>
      <c r="M446" s="344"/>
      <c r="N446" s="674" t="s">
        <v>1547</v>
      </c>
      <c r="O446" s="321"/>
      <c r="P446" s="185"/>
      <c r="Q446" s="429"/>
      <c r="R446" s="575" t="s">
        <v>488</v>
      </c>
      <c r="S446" s="575" t="s">
        <v>2572</v>
      </c>
      <c r="AA446" s="1331"/>
    </row>
    <row r="447" spans="6:27" ht="10.5" customHeight="1">
      <c r="F447" s="367"/>
      <c r="G447" s="344"/>
      <c r="H447" s="344"/>
      <c r="I447" s="344"/>
      <c r="J447" s="344"/>
      <c r="K447" s="344"/>
      <c r="L447" s="344"/>
      <c r="M447" s="344"/>
      <c r="N447" s="674" t="s">
        <v>1548</v>
      </c>
      <c r="O447" s="321"/>
      <c r="P447" s="185"/>
      <c r="Q447" s="429"/>
      <c r="R447" s="575" t="s">
        <v>490</v>
      </c>
      <c r="S447" s="575" t="s">
        <v>1378</v>
      </c>
      <c r="AA447" s="1331"/>
    </row>
    <row r="448" spans="6:27" ht="10.5" customHeight="1">
      <c r="F448" s="367"/>
      <c r="G448" s="344"/>
      <c r="H448" s="344"/>
      <c r="I448" s="344"/>
      <c r="J448" s="344"/>
      <c r="K448" s="344"/>
      <c r="L448" s="344"/>
      <c r="M448" s="344"/>
      <c r="N448" s="674" t="s">
        <v>1550</v>
      </c>
      <c r="O448" s="321"/>
      <c r="P448" s="185"/>
      <c r="Q448" s="429"/>
      <c r="R448" s="575" t="s">
        <v>1091</v>
      </c>
      <c r="S448" s="575" t="s">
        <v>1383</v>
      </c>
      <c r="AA448" s="1331"/>
    </row>
    <row r="449" spans="6:27" ht="10.5" customHeight="1">
      <c r="F449" s="367"/>
      <c r="G449" s="344"/>
      <c r="H449" s="344"/>
      <c r="I449" s="344"/>
      <c r="J449" s="344"/>
      <c r="K449" s="344"/>
      <c r="L449" s="344"/>
      <c r="M449" s="344"/>
      <c r="N449" s="674" t="s">
        <v>1552</v>
      </c>
      <c r="O449" s="321"/>
      <c r="P449" s="185"/>
      <c r="Q449" s="429"/>
      <c r="R449" s="575" t="s">
        <v>492</v>
      </c>
      <c r="S449" s="575" t="s">
        <v>1383</v>
      </c>
      <c r="AA449" s="1331"/>
    </row>
    <row r="450" spans="6:27" ht="10.5" customHeight="1">
      <c r="F450" s="367"/>
      <c r="G450" s="344"/>
      <c r="H450" s="344"/>
      <c r="I450" s="344"/>
      <c r="J450" s="344"/>
      <c r="K450" s="344"/>
      <c r="L450" s="344"/>
      <c r="M450" s="344"/>
      <c r="N450" s="674" t="s">
        <v>1554</v>
      </c>
      <c r="O450" s="321"/>
      <c r="P450" s="185"/>
      <c r="Q450" s="429"/>
      <c r="R450" s="676" t="s">
        <v>1288</v>
      </c>
      <c r="S450" s="676" t="s">
        <v>1363</v>
      </c>
      <c r="AA450" s="1331"/>
    </row>
    <row r="451" spans="6:27" ht="10.5" customHeight="1">
      <c r="F451" s="367"/>
      <c r="G451" s="344"/>
      <c r="H451" s="344"/>
      <c r="I451" s="344"/>
      <c r="J451" s="344"/>
      <c r="K451" s="344"/>
      <c r="L451" s="344"/>
      <c r="M451" s="344"/>
      <c r="N451" s="674" t="s">
        <v>2419</v>
      </c>
      <c r="O451" s="321"/>
      <c r="P451" s="185"/>
      <c r="Q451" s="429"/>
      <c r="R451" s="575" t="s">
        <v>1290</v>
      </c>
      <c r="S451" s="575" t="s">
        <v>345</v>
      </c>
      <c r="AA451" s="1332"/>
    </row>
    <row r="452" spans="6:27" ht="10.5" customHeight="1">
      <c r="F452" s="367"/>
      <c r="G452" s="344"/>
      <c r="H452" s="344"/>
      <c r="I452" s="344"/>
      <c r="J452" s="344"/>
      <c r="K452" s="344"/>
      <c r="L452" s="344"/>
      <c r="M452" s="344"/>
      <c r="N452" s="674" t="s">
        <v>2684</v>
      </c>
      <c r="O452" s="321"/>
      <c r="P452" s="185"/>
      <c r="Q452" s="429"/>
      <c r="R452" s="575" t="s">
        <v>3003</v>
      </c>
      <c r="S452" s="575" t="s">
        <v>2620</v>
      </c>
      <c r="AA452" s="1331"/>
    </row>
    <row r="453" spans="6:27" ht="10.5" customHeight="1">
      <c r="F453" s="367"/>
      <c r="G453" s="344"/>
      <c r="H453" s="344"/>
      <c r="I453" s="344"/>
      <c r="J453" s="344"/>
      <c r="K453" s="344"/>
      <c r="L453" s="344"/>
      <c r="M453" s="344"/>
      <c r="N453" s="674" t="s">
        <v>1328</v>
      </c>
      <c r="O453" s="321"/>
      <c r="P453" s="185"/>
      <c r="Q453" s="429"/>
      <c r="R453" s="575" t="s">
        <v>2071</v>
      </c>
      <c r="S453" s="575" t="s">
        <v>2083</v>
      </c>
      <c r="AA453" s="1331"/>
    </row>
    <row r="454" spans="6:27" ht="10.5" customHeight="1">
      <c r="F454" s="367"/>
      <c r="G454" s="344"/>
      <c r="H454" s="344"/>
      <c r="I454" s="344"/>
      <c r="J454" s="344"/>
      <c r="K454" s="344"/>
      <c r="L454" s="344"/>
      <c r="M454" s="344"/>
      <c r="N454" s="674" t="s">
        <v>1565</v>
      </c>
      <c r="O454" s="321"/>
      <c r="P454" s="185"/>
      <c r="Q454" s="429"/>
      <c r="R454" s="575" t="s">
        <v>78</v>
      </c>
      <c r="S454" s="575" t="s">
        <v>1989</v>
      </c>
      <c r="AA454" s="1331"/>
    </row>
    <row r="455" spans="6:27" ht="10.5" customHeight="1">
      <c r="F455" s="367"/>
      <c r="G455" s="344"/>
      <c r="H455" s="344"/>
      <c r="I455" s="344"/>
      <c r="J455" s="344"/>
      <c r="K455" s="344"/>
      <c r="L455" s="344"/>
      <c r="M455" s="344"/>
      <c r="N455" s="674" t="s">
        <v>851</v>
      </c>
      <c r="O455" s="321"/>
      <c r="P455" s="185"/>
      <c r="Q455" s="429"/>
      <c r="R455" s="575" t="s">
        <v>656</v>
      </c>
      <c r="S455" s="575" t="s">
        <v>2569</v>
      </c>
      <c r="AA455" s="1331"/>
    </row>
    <row r="456" spans="6:27" ht="10.5" customHeight="1">
      <c r="F456" s="367"/>
      <c r="G456" s="344"/>
      <c r="H456" s="344"/>
      <c r="I456" s="344"/>
      <c r="J456" s="344"/>
      <c r="K456" s="344"/>
      <c r="L456" s="344"/>
      <c r="M456" s="344"/>
      <c r="N456" s="674" t="s">
        <v>852</v>
      </c>
      <c r="O456" s="321"/>
      <c r="P456" s="185"/>
      <c r="Q456" s="429"/>
      <c r="R456" s="575" t="s">
        <v>80</v>
      </c>
      <c r="S456" s="575" t="s">
        <v>180</v>
      </c>
      <c r="AA456" s="1331"/>
    </row>
    <row r="457" spans="6:27" ht="10.5" customHeight="1">
      <c r="F457" s="367"/>
      <c r="G457" s="344"/>
      <c r="H457" s="344"/>
      <c r="I457" s="344"/>
      <c r="J457" s="344"/>
      <c r="K457" s="344"/>
      <c r="L457" s="344"/>
      <c r="M457" s="344"/>
      <c r="N457" s="674" t="s">
        <v>854</v>
      </c>
      <c r="O457" s="321"/>
      <c r="P457" s="185"/>
      <c r="Q457" s="429"/>
      <c r="R457" s="575" t="s">
        <v>2498</v>
      </c>
      <c r="S457" s="575" t="s">
        <v>1508</v>
      </c>
      <c r="AA457" s="1331"/>
    </row>
    <row r="458" spans="6:27" ht="10.5" customHeight="1">
      <c r="F458" s="367"/>
      <c r="G458" s="344"/>
      <c r="H458" s="344"/>
      <c r="I458" s="344"/>
      <c r="J458" s="344"/>
      <c r="K458" s="344"/>
      <c r="L458" s="344"/>
      <c r="M458" s="344"/>
      <c r="N458" s="674" t="s">
        <v>855</v>
      </c>
      <c r="O458" s="321"/>
      <c r="P458" s="185"/>
      <c r="Q458" s="429"/>
      <c r="R458" s="575" t="s">
        <v>1092</v>
      </c>
      <c r="S458" s="575" t="s">
        <v>1577</v>
      </c>
      <c r="AA458" s="1331"/>
    </row>
    <row r="459" spans="6:27" ht="10.5" customHeight="1">
      <c r="F459" s="367"/>
      <c r="G459" s="344"/>
      <c r="H459" s="344"/>
      <c r="I459" s="344"/>
      <c r="J459" s="344"/>
      <c r="K459" s="344"/>
      <c r="L459" s="344"/>
      <c r="M459" s="344"/>
      <c r="N459" s="674" t="s">
        <v>121</v>
      </c>
      <c r="O459" s="321"/>
      <c r="P459" s="185"/>
      <c r="Q459" s="429"/>
      <c r="R459" s="575" t="s">
        <v>1093</v>
      </c>
      <c r="S459" s="575" t="s">
        <v>1148</v>
      </c>
      <c r="AA459" s="1331"/>
    </row>
    <row r="460" spans="6:27" ht="10.5" customHeight="1">
      <c r="F460" s="367"/>
      <c r="G460" s="344"/>
      <c r="H460" s="344"/>
      <c r="I460" s="344"/>
      <c r="J460" s="344"/>
      <c r="K460" s="344"/>
      <c r="L460" s="344"/>
      <c r="M460" s="344"/>
      <c r="N460" s="674" t="s">
        <v>260</v>
      </c>
      <c r="O460" s="321"/>
      <c r="P460" s="185"/>
      <c r="Q460" s="429"/>
      <c r="R460" s="575" t="s">
        <v>637</v>
      </c>
      <c r="S460" s="575" t="s">
        <v>686</v>
      </c>
      <c r="AA460" s="1331"/>
    </row>
    <row r="461" spans="6:27" ht="10.5" customHeight="1">
      <c r="F461" s="367"/>
      <c r="G461" s="344"/>
      <c r="H461" s="344"/>
      <c r="I461" s="344"/>
      <c r="J461" s="344"/>
      <c r="K461" s="344"/>
      <c r="L461" s="344"/>
      <c r="M461" s="344"/>
      <c r="N461" s="674" t="s">
        <v>1562</v>
      </c>
      <c r="O461" s="321"/>
      <c r="P461" s="185"/>
      <c r="Q461" s="429"/>
      <c r="R461" s="575" t="s">
        <v>1002</v>
      </c>
      <c r="S461" s="575" t="s">
        <v>123</v>
      </c>
      <c r="AA461" s="1331"/>
    </row>
    <row r="462" spans="6:27" ht="10.5" customHeight="1">
      <c r="F462" s="367"/>
      <c r="G462" s="344"/>
      <c r="H462" s="344"/>
      <c r="I462" s="344"/>
      <c r="J462" s="344"/>
      <c r="K462" s="344"/>
      <c r="L462" s="344"/>
      <c r="M462" s="344"/>
      <c r="N462" s="674" t="s">
        <v>255</v>
      </c>
      <c r="O462" s="321"/>
      <c r="P462" s="185"/>
      <c r="Q462" s="429"/>
      <c r="R462" s="575" t="s">
        <v>1004</v>
      </c>
      <c r="S462" s="575" t="s">
        <v>1381</v>
      </c>
      <c r="AA462" s="1331"/>
    </row>
    <row r="463" spans="6:27" ht="10.5" customHeight="1">
      <c r="F463" s="367"/>
      <c r="G463" s="344"/>
      <c r="H463" s="344"/>
      <c r="I463" s="344"/>
      <c r="J463" s="344"/>
      <c r="K463" s="344"/>
      <c r="L463" s="344"/>
      <c r="M463" s="344"/>
      <c r="N463" s="674" t="s">
        <v>1567</v>
      </c>
      <c r="O463" s="321"/>
      <c r="P463" s="185"/>
      <c r="Q463" s="429"/>
      <c r="R463" s="575" t="s">
        <v>1549</v>
      </c>
      <c r="S463" s="575" t="s">
        <v>1511</v>
      </c>
      <c r="AA463" s="1331"/>
    </row>
    <row r="464" spans="6:27" ht="10.5" customHeight="1">
      <c r="F464" s="367"/>
      <c r="G464" s="344"/>
      <c r="H464" s="344"/>
      <c r="I464" s="344"/>
      <c r="J464" s="344"/>
      <c r="K464" s="344"/>
      <c r="L464" s="344"/>
      <c r="M464" s="344"/>
      <c r="N464" s="674" t="s">
        <v>1569</v>
      </c>
      <c r="O464" s="321"/>
      <c r="P464" s="185"/>
      <c r="Q464" s="429"/>
      <c r="R464" s="575" t="s">
        <v>1551</v>
      </c>
      <c r="S464" s="575" t="s">
        <v>2617</v>
      </c>
      <c r="AA464" s="1331"/>
    </row>
    <row r="465" spans="6:27" ht="10.5" customHeight="1">
      <c r="F465" s="367"/>
      <c r="G465" s="344"/>
      <c r="H465" s="344"/>
      <c r="I465" s="344"/>
      <c r="J465" s="344"/>
      <c r="K465" s="344"/>
      <c r="L465" s="344"/>
      <c r="M465" s="344"/>
      <c r="N465" s="674" t="s">
        <v>1444</v>
      </c>
      <c r="O465" s="321"/>
      <c r="P465" s="185"/>
      <c r="Q465" s="429"/>
      <c r="R465" s="575" t="s">
        <v>1553</v>
      </c>
      <c r="S465" s="575" t="s">
        <v>2256</v>
      </c>
      <c r="AA465" s="1331"/>
    </row>
    <row r="466" spans="6:27" ht="10.5" customHeight="1">
      <c r="F466" s="367"/>
      <c r="G466" s="344"/>
      <c r="H466" s="344"/>
      <c r="I466" s="344"/>
      <c r="J466" s="344"/>
      <c r="K466" s="344"/>
      <c r="L466" s="344"/>
      <c r="M466" s="344"/>
      <c r="N466" s="674" t="s">
        <v>1446</v>
      </c>
      <c r="O466" s="321"/>
      <c r="P466" s="185"/>
      <c r="Q466" s="429"/>
      <c r="R466" s="575" t="s">
        <v>2418</v>
      </c>
      <c r="S466" s="575" t="s">
        <v>2679</v>
      </c>
      <c r="AA466" s="1331"/>
    </row>
    <row r="467" spans="6:27" ht="10.5" customHeight="1">
      <c r="F467" s="367"/>
      <c r="G467" s="344"/>
      <c r="H467" s="344"/>
      <c r="I467" s="344"/>
      <c r="J467" s="344"/>
      <c r="K467" s="344"/>
      <c r="L467" s="344"/>
      <c r="M467" s="344"/>
      <c r="N467" s="674" t="s">
        <v>1448</v>
      </c>
      <c r="O467" s="321"/>
      <c r="P467" s="185"/>
      <c r="Q467" s="429"/>
      <c r="R467" s="575" t="s">
        <v>2420</v>
      </c>
      <c r="S467" s="575" t="s">
        <v>123</v>
      </c>
      <c r="AA467" s="1331"/>
    </row>
    <row r="468" spans="6:27" ht="10.5" customHeight="1">
      <c r="F468" s="367"/>
      <c r="G468" s="344"/>
      <c r="H468" s="344"/>
      <c r="I468" s="344"/>
      <c r="J468" s="344"/>
      <c r="K468" s="344"/>
      <c r="L468" s="344"/>
      <c r="M468" s="344"/>
      <c r="N468" s="674" t="s">
        <v>1449</v>
      </c>
      <c r="O468" s="321"/>
      <c r="P468" s="185"/>
      <c r="Q468" s="429"/>
      <c r="R468" s="676" t="s">
        <v>1327</v>
      </c>
      <c r="S468" s="676" t="s">
        <v>987</v>
      </c>
      <c r="AA468" s="1331"/>
    </row>
    <row r="469" spans="6:27" ht="10.5" customHeight="1">
      <c r="F469" s="367"/>
      <c r="G469" s="344"/>
      <c r="H469" s="344"/>
      <c r="I469" s="344"/>
      <c r="J469" s="344"/>
      <c r="K469" s="344"/>
      <c r="L469" s="344"/>
      <c r="M469" s="344"/>
      <c r="N469" s="674" t="s">
        <v>1451</v>
      </c>
      <c r="O469" s="321"/>
      <c r="P469" s="185"/>
      <c r="Q469" s="429"/>
      <c r="R469" s="575" t="s">
        <v>1094</v>
      </c>
      <c r="S469" s="575" t="s">
        <v>2081</v>
      </c>
      <c r="AA469" s="1332"/>
    </row>
    <row r="470" spans="6:27" ht="10.5" customHeight="1">
      <c r="F470" s="367"/>
      <c r="G470" s="344"/>
      <c r="H470" s="344"/>
      <c r="I470" s="344"/>
      <c r="J470" s="344"/>
      <c r="K470" s="344"/>
      <c r="L470" s="344"/>
      <c r="M470" s="344"/>
      <c r="N470" s="674" t="s">
        <v>1453</v>
      </c>
      <c r="O470" s="321"/>
      <c r="P470" s="185"/>
      <c r="Q470" s="429"/>
      <c r="R470" s="575" t="s">
        <v>1329</v>
      </c>
      <c r="S470" s="575" t="s">
        <v>1513</v>
      </c>
      <c r="AA470" s="1331"/>
    </row>
    <row r="471" spans="6:27" ht="10.5" customHeight="1">
      <c r="F471" s="367"/>
      <c r="G471" s="344"/>
      <c r="H471" s="344"/>
      <c r="I471" s="344"/>
      <c r="J471" s="344"/>
      <c r="K471" s="344"/>
      <c r="L471" s="344"/>
      <c r="M471" s="344"/>
      <c r="N471" s="674" t="s">
        <v>1626</v>
      </c>
      <c r="O471" s="321"/>
      <c r="P471" s="185"/>
      <c r="Q471" s="429"/>
      <c r="R471" s="575" t="s">
        <v>859</v>
      </c>
      <c r="S471" s="575" t="s">
        <v>2083</v>
      </c>
      <c r="AA471" s="1331"/>
    </row>
    <row r="472" spans="6:27" ht="10.5" customHeight="1">
      <c r="F472" s="367"/>
      <c r="G472" s="344"/>
      <c r="H472" s="344"/>
      <c r="I472" s="344"/>
      <c r="J472" s="344"/>
      <c r="K472" s="344"/>
      <c r="L472" s="344"/>
      <c r="M472" s="344"/>
      <c r="N472" s="674" t="s">
        <v>1627</v>
      </c>
      <c r="O472" s="321"/>
      <c r="P472" s="185"/>
      <c r="Q472" s="429"/>
      <c r="R472" s="575" t="s">
        <v>860</v>
      </c>
      <c r="S472" s="575" t="s">
        <v>906</v>
      </c>
      <c r="AA472" s="1331"/>
    </row>
    <row r="473" spans="6:27" ht="10.5" customHeight="1">
      <c r="F473" s="367"/>
      <c r="G473" s="344"/>
      <c r="H473" s="344"/>
      <c r="I473" s="344"/>
      <c r="J473" s="344"/>
      <c r="K473" s="344"/>
      <c r="L473" s="344"/>
      <c r="M473" s="344"/>
      <c r="N473" s="674" t="s">
        <v>1628</v>
      </c>
      <c r="O473" s="321"/>
      <c r="P473" s="185"/>
      <c r="Q473" s="429"/>
      <c r="R473" s="575" t="s">
        <v>853</v>
      </c>
      <c r="S473" s="575" t="s">
        <v>652</v>
      </c>
      <c r="AA473" s="1331"/>
    </row>
    <row r="474" spans="6:27" ht="10.5" customHeight="1">
      <c r="F474" s="367"/>
      <c r="G474" s="344"/>
      <c r="H474" s="344"/>
      <c r="I474" s="344"/>
      <c r="J474" s="344"/>
      <c r="K474" s="344"/>
      <c r="L474" s="344"/>
      <c r="M474" s="344"/>
      <c r="N474" s="674" t="s">
        <v>1629</v>
      </c>
      <c r="O474" s="321"/>
      <c r="P474" s="185"/>
      <c r="Q474" s="429"/>
      <c r="R474" s="575" t="s">
        <v>856</v>
      </c>
      <c r="S474" s="575" t="s">
        <v>332</v>
      </c>
      <c r="AA474" s="1331"/>
    </row>
    <row r="475" spans="6:27" ht="10.5" customHeight="1">
      <c r="F475" s="367"/>
      <c r="G475" s="344"/>
      <c r="H475" s="344"/>
      <c r="I475" s="344"/>
      <c r="J475" s="344"/>
      <c r="K475" s="344"/>
      <c r="L475" s="344"/>
      <c r="M475" s="344"/>
      <c r="N475" s="674" t="s">
        <v>1631</v>
      </c>
      <c r="O475" s="321"/>
      <c r="P475" s="185"/>
      <c r="Q475" s="429"/>
      <c r="R475" s="575" t="s">
        <v>122</v>
      </c>
      <c r="S475" s="575" t="s">
        <v>2084</v>
      </c>
      <c r="AA475" s="1331"/>
    </row>
    <row r="476" spans="6:27" ht="10.5" customHeight="1">
      <c r="F476" s="367"/>
      <c r="G476" s="344"/>
      <c r="H476" s="344"/>
      <c r="I476" s="344"/>
      <c r="J476" s="344"/>
      <c r="K476" s="344"/>
      <c r="L476" s="344"/>
      <c r="M476" s="344"/>
      <c r="N476" s="674" t="s">
        <v>1633</v>
      </c>
      <c r="O476" s="321"/>
      <c r="P476" s="185"/>
      <c r="Q476" s="429"/>
      <c r="R476" s="575" t="s">
        <v>261</v>
      </c>
      <c r="S476" s="575" t="s">
        <v>1952</v>
      </c>
      <c r="AA476" s="1331"/>
    </row>
    <row r="477" spans="6:27" ht="10.5" customHeight="1">
      <c r="F477" s="367"/>
      <c r="G477" s="344"/>
      <c r="H477" s="344"/>
      <c r="I477" s="344"/>
      <c r="J477" s="344"/>
      <c r="K477" s="344"/>
      <c r="L477" s="344"/>
      <c r="M477" s="344"/>
      <c r="N477" s="674" t="s">
        <v>1634</v>
      </c>
      <c r="O477" s="321"/>
      <c r="P477" s="185"/>
      <c r="Q477" s="429"/>
      <c r="R477" s="676" t="s">
        <v>1563</v>
      </c>
      <c r="S477" s="676" t="s">
        <v>2083</v>
      </c>
      <c r="AA477" s="1331"/>
    </row>
    <row r="478" spans="6:27" ht="10.5" customHeight="1">
      <c r="F478" s="367"/>
      <c r="G478" s="344"/>
      <c r="H478" s="344"/>
      <c r="I478" s="344"/>
      <c r="J478" s="344"/>
      <c r="K478" s="344"/>
      <c r="L478" s="344"/>
      <c r="M478" s="344"/>
      <c r="N478" s="674" t="s">
        <v>1636</v>
      </c>
      <c r="O478" s="321"/>
      <c r="P478" s="185"/>
      <c r="Q478" s="429"/>
      <c r="R478" s="575" t="s">
        <v>1566</v>
      </c>
      <c r="S478" s="575" t="s">
        <v>341</v>
      </c>
      <c r="AA478" s="1332"/>
    </row>
    <row r="479" spans="6:27" ht="10.5" customHeight="1">
      <c r="F479" s="367"/>
      <c r="G479" s="344"/>
      <c r="H479" s="344"/>
      <c r="I479" s="344"/>
      <c r="J479" s="344"/>
      <c r="K479" s="344"/>
      <c r="L479" s="344"/>
      <c r="M479" s="344"/>
      <c r="N479" s="674" t="s">
        <v>392</v>
      </c>
      <c r="O479" s="321"/>
      <c r="P479" s="185"/>
      <c r="Q479" s="429"/>
      <c r="R479" s="575" t="s">
        <v>1568</v>
      </c>
      <c r="S479" s="575" t="s">
        <v>2569</v>
      </c>
      <c r="AA479" s="1331"/>
    </row>
    <row r="480" spans="6:27" ht="10.5" customHeight="1">
      <c r="F480" s="367"/>
      <c r="G480" s="344"/>
      <c r="H480" s="344"/>
      <c r="I480" s="344"/>
      <c r="J480" s="344"/>
      <c r="K480" s="344"/>
      <c r="L480" s="344"/>
      <c r="M480" s="344"/>
      <c r="N480" s="674" t="s">
        <v>257</v>
      </c>
      <c r="O480" s="321"/>
      <c r="P480" s="185"/>
      <c r="Q480" s="429"/>
      <c r="R480" s="575" t="s">
        <v>500</v>
      </c>
      <c r="S480" s="575" t="s">
        <v>1515</v>
      </c>
      <c r="AA480" s="1331"/>
    </row>
    <row r="481" spans="6:27" ht="10.5" customHeight="1">
      <c r="F481" s="367"/>
      <c r="G481" s="344"/>
      <c r="H481" s="344"/>
      <c r="I481" s="344"/>
      <c r="J481" s="344"/>
      <c r="K481" s="344"/>
      <c r="L481" s="344"/>
      <c r="M481" s="344"/>
      <c r="N481" s="674" t="s">
        <v>259</v>
      </c>
      <c r="O481" s="321"/>
      <c r="P481" s="185"/>
      <c r="Q481" s="429"/>
      <c r="R481" s="575" t="s">
        <v>1445</v>
      </c>
      <c r="S481" s="575" t="s">
        <v>324</v>
      </c>
      <c r="AA481" s="1331"/>
    </row>
    <row r="482" spans="6:27" ht="10.5" customHeight="1">
      <c r="F482" s="367"/>
      <c r="G482" s="344"/>
      <c r="H482" s="344"/>
      <c r="I482" s="344"/>
      <c r="J482" s="344"/>
      <c r="K482" s="344"/>
      <c r="L482" s="344"/>
      <c r="M482" s="344"/>
      <c r="N482" s="674" t="s">
        <v>15</v>
      </c>
      <c r="O482" s="321"/>
      <c r="P482" s="185"/>
      <c r="Q482" s="429"/>
      <c r="R482" s="575" t="s">
        <v>1447</v>
      </c>
      <c r="S482" s="575" t="s">
        <v>904</v>
      </c>
      <c r="AA482" s="1331"/>
    </row>
    <row r="483" spans="6:27" ht="10.5" customHeight="1">
      <c r="F483" s="367"/>
      <c r="G483" s="344"/>
      <c r="H483" s="344"/>
      <c r="I483" s="344"/>
      <c r="J483" s="344"/>
      <c r="K483" s="344"/>
      <c r="L483" s="344"/>
      <c r="M483" s="344"/>
      <c r="N483" s="674" t="s">
        <v>1123</v>
      </c>
      <c r="O483" s="321"/>
      <c r="P483" s="185"/>
      <c r="Q483" s="429"/>
      <c r="R483" s="575" t="s">
        <v>181</v>
      </c>
      <c r="S483" s="575" t="s">
        <v>2254</v>
      </c>
      <c r="AA483" s="1331"/>
    </row>
    <row r="484" spans="6:27" ht="10.5" customHeight="1">
      <c r="F484" s="367"/>
      <c r="G484" s="344"/>
      <c r="H484" s="344"/>
      <c r="I484" s="344"/>
      <c r="J484" s="344"/>
      <c r="K484" s="344"/>
      <c r="L484" s="344"/>
      <c r="M484" s="344"/>
      <c r="N484" s="674" t="s">
        <v>1125</v>
      </c>
      <c r="O484" s="321"/>
      <c r="P484" s="185"/>
      <c r="Q484" s="429"/>
      <c r="R484" s="575" t="s">
        <v>1450</v>
      </c>
      <c r="S484" s="575" t="s">
        <v>1952</v>
      </c>
      <c r="AA484" s="1331"/>
    </row>
    <row r="485" spans="6:27" ht="10.5" customHeight="1">
      <c r="F485" s="367"/>
      <c r="G485" s="344"/>
      <c r="H485" s="344"/>
      <c r="I485" s="344"/>
      <c r="J485" s="344"/>
      <c r="K485" s="344"/>
      <c r="L485" s="344"/>
      <c r="M485" s="344"/>
      <c r="N485" s="674" t="s">
        <v>1127</v>
      </c>
      <c r="O485" s="321"/>
      <c r="P485" s="185"/>
      <c r="Q485" s="429"/>
      <c r="R485" s="575" t="s">
        <v>1452</v>
      </c>
      <c r="S485" s="575" t="s">
        <v>167</v>
      </c>
      <c r="AA485" s="1331"/>
    </row>
    <row r="486" spans="6:27" ht="10.5" customHeight="1">
      <c r="F486" s="367"/>
      <c r="G486" s="344"/>
      <c r="H486" s="344"/>
      <c r="I486" s="344"/>
      <c r="J486" s="344"/>
      <c r="K486" s="344"/>
      <c r="L486" s="344"/>
      <c r="M486" s="344"/>
      <c r="N486" s="674" t="s">
        <v>269</v>
      </c>
      <c r="O486" s="321"/>
      <c r="P486" s="185"/>
      <c r="Q486" s="429"/>
      <c r="R486" s="575" t="s">
        <v>2578</v>
      </c>
      <c r="S486" s="575" t="s">
        <v>1983</v>
      </c>
      <c r="AA486" s="1331"/>
    </row>
    <row r="487" spans="6:27" ht="10.5" customHeight="1">
      <c r="F487" s="367"/>
      <c r="G487" s="344"/>
      <c r="H487" s="344"/>
      <c r="I487" s="344"/>
      <c r="J487" s="344"/>
      <c r="K487" s="344"/>
      <c r="L487" s="344"/>
      <c r="M487" s="344"/>
      <c r="N487" s="674" t="s">
        <v>271</v>
      </c>
      <c r="O487" s="321"/>
      <c r="P487" s="185"/>
      <c r="Q487" s="429"/>
      <c r="R487" s="575" t="s">
        <v>1095</v>
      </c>
      <c r="S487" s="575" t="s">
        <v>2572</v>
      </c>
      <c r="AA487" s="1331"/>
    </row>
    <row r="488" spans="6:27" ht="10.5" customHeight="1">
      <c r="F488" s="367"/>
      <c r="G488" s="344"/>
      <c r="H488" s="344"/>
      <c r="I488" s="344"/>
      <c r="J488" s="344"/>
      <c r="K488" s="344"/>
      <c r="L488" s="344"/>
      <c r="M488" s="344"/>
      <c r="N488" s="674" t="s">
        <v>1686</v>
      </c>
      <c r="O488" s="321"/>
      <c r="P488" s="185"/>
      <c r="Q488" s="429"/>
      <c r="R488" s="575" t="s">
        <v>1369</v>
      </c>
      <c r="S488" s="575" t="s">
        <v>1368</v>
      </c>
      <c r="AA488" s="1331"/>
    </row>
    <row r="489" spans="6:27" ht="10.5" customHeight="1">
      <c r="F489" s="367"/>
      <c r="G489" s="344"/>
      <c r="H489" s="344"/>
      <c r="I489" s="344"/>
      <c r="J489" s="344"/>
      <c r="K489" s="344"/>
      <c r="L489" s="344"/>
      <c r="M489" s="344"/>
      <c r="N489" s="674" t="s">
        <v>2404</v>
      </c>
      <c r="O489" s="321"/>
      <c r="P489" s="185"/>
      <c r="Q489" s="429"/>
      <c r="R489" s="575" t="s">
        <v>184</v>
      </c>
      <c r="S489" s="575" t="s">
        <v>2672</v>
      </c>
      <c r="AA489" s="1331"/>
    </row>
    <row r="490" spans="6:27" ht="10.5" customHeight="1">
      <c r="F490" s="367"/>
      <c r="G490" s="344"/>
      <c r="H490" s="344"/>
      <c r="I490" s="344"/>
      <c r="J490" s="344"/>
      <c r="K490" s="344"/>
      <c r="L490" s="344"/>
      <c r="M490" s="344"/>
      <c r="N490" s="674" t="s">
        <v>498</v>
      </c>
      <c r="O490" s="321"/>
      <c r="P490" s="185"/>
      <c r="Q490" s="429"/>
      <c r="R490" s="575" t="s">
        <v>1630</v>
      </c>
      <c r="S490" s="575" t="s">
        <v>2262</v>
      </c>
      <c r="AA490" s="1331"/>
    </row>
    <row r="491" spans="6:27" ht="10.5" customHeight="1">
      <c r="F491" s="367"/>
      <c r="G491" s="344"/>
      <c r="H491" s="344"/>
      <c r="I491" s="344"/>
      <c r="J491" s="344"/>
      <c r="K491" s="344"/>
      <c r="L491" s="344"/>
      <c r="M491" s="344"/>
      <c r="N491" s="674" t="s">
        <v>1350</v>
      </c>
      <c r="O491" s="321"/>
      <c r="P491" s="185"/>
      <c r="Q491" s="429"/>
      <c r="R491" s="575" t="s">
        <v>1632</v>
      </c>
      <c r="S491" s="575" t="s">
        <v>1952</v>
      </c>
      <c r="AA491" s="1331"/>
    </row>
    <row r="492" spans="6:27" ht="10.5" customHeight="1">
      <c r="F492" s="367"/>
      <c r="G492" s="344"/>
      <c r="H492" s="344"/>
      <c r="I492" s="344"/>
      <c r="J492" s="344"/>
      <c r="K492" s="344"/>
      <c r="L492" s="344"/>
      <c r="M492" s="344"/>
      <c r="N492" s="674" t="s">
        <v>672</v>
      </c>
      <c r="O492" s="321"/>
      <c r="P492" s="185"/>
      <c r="Q492" s="429"/>
      <c r="R492" s="575" t="s">
        <v>1635</v>
      </c>
      <c r="S492" s="575" t="s">
        <v>2677</v>
      </c>
      <c r="AA492" s="1331"/>
    </row>
    <row r="493" spans="6:27" ht="10.5" customHeight="1">
      <c r="F493" s="367"/>
      <c r="G493" s="344"/>
      <c r="H493" s="344"/>
      <c r="I493" s="344"/>
      <c r="J493" s="344"/>
      <c r="K493" s="344"/>
      <c r="L493" s="344"/>
      <c r="M493" s="344"/>
      <c r="N493" s="674" t="s">
        <v>713</v>
      </c>
      <c r="O493" s="321"/>
      <c r="P493" s="185"/>
      <c r="Q493" s="429"/>
      <c r="R493" s="575" t="s">
        <v>391</v>
      </c>
      <c r="S493" s="575" t="s">
        <v>2572</v>
      </c>
      <c r="AA493" s="1331"/>
    </row>
    <row r="494" spans="6:27" ht="10.5" customHeight="1">
      <c r="F494" s="367"/>
      <c r="G494" s="344"/>
      <c r="H494" s="344"/>
      <c r="I494" s="344"/>
      <c r="J494" s="344"/>
      <c r="K494" s="344"/>
      <c r="L494" s="344"/>
      <c r="M494" s="344"/>
      <c r="N494" s="674" t="s">
        <v>714</v>
      </c>
      <c r="O494" s="321"/>
      <c r="P494" s="185"/>
      <c r="Q494" s="429"/>
      <c r="R494" s="678" t="s">
        <v>393</v>
      </c>
      <c r="S494" s="575" t="s">
        <v>1369</v>
      </c>
      <c r="AA494" s="1331"/>
    </row>
    <row r="495" spans="6:27" ht="10.5" customHeight="1">
      <c r="F495" s="367"/>
      <c r="G495" s="344"/>
      <c r="H495" s="344"/>
      <c r="I495" s="344"/>
      <c r="J495" s="344"/>
      <c r="K495" s="344"/>
      <c r="L495" s="344"/>
      <c r="M495" s="344"/>
      <c r="N495" s="674" t="s">
        <v>541</v>
      </c>
      <c r="O495" s="321"/>
      <c r="P495" s="185"/>
      <c r="Q495" s="429"/>
      <c r="R495" s="678" t="s">
        <v>258</v>
      </c>
      <c r="S495" s="575" t="s">
        <v>2252</v>
      </c>
      <c r="AA495" s="1333"/>
    </row>
    <row r="496" spans="6:27" ht="10.5" customHeight="1">
      <c r="F496" s="367"/>
      <c r="G496" s="344"/>
      <c r="H496" s="344"/>
      <c r="I496" s="344"/>
      <c r="J496" s="344"/>
      <c r="K496" s="344"/>
      <c r="L496" s="344"/>
      <c r="M496" s="344"/>
      <c r="N496" s="674" t="s">
        <v>543</v>
      </c>
      <c r="O496" s="321"/>
      <c r="P496" s="185"/>
      <c r="Q496" s="429"/>
      <c r="R496" s="575" t="s">
        <v>1665</v>
      </c>
      <c r="S496" s="575" t="s">
        <v>2616</v>
      </c>
      <c r="AA496" s="1333"/>
    </row>
    <row r="497" spans="6:27" ht="10.5" customHeight="1">
      <c r="F497" s="367"/>
      <c r="G497" s="344"/>
      <c r="H497" s="344"/>
      <c r="I497" s="344"/>
      <c r="J497" s="344"/>
      <c r="K497" s="344"/>
      <c r="L497" s="344"/>
      <c r="M497" s="344"/>
      <c r="N497" s="674" t="s">
        <v>545</v>
      </c>
      <c r="O497" s="321"/>
      <c r="P497" s="185"/>
      <c r="Q497" s="429"/>
      <c r="R497" s="575" t="s">
        <v>3004</v>
      </c>
      <c r="S497" s="575" t="s">
        <v>341</v>
      </c>
      <c r="AA497" s="1331"/>
    </row>
    <row r="498" spans="6:27" ht="10.5" customHeight="1">
      <c r="F498" s="367"/>
      <c r="G498" s="344"/>
      <c r="H498" s="344"/>
      <c r="I498" s="344"/>
      <c r="J498" s="344"/>
      <c r="K498" s="344"/>
      <c r="L498" s="344"/>
      <c r="M498" s="344"/>
      <c r="N498" s="674" t="s">
        <v>547</v>
      </c>
      <c r="O498" s="321"/>
      <c r="P498" s="185"/>
      <c r="Q498" s="429"/>
      <c r="R498" s="575" t="s">
        <v>1124</v>
      </c>
      <c r="S498" s="575" t="s">
        <v>2679</v>
      </c>
      <c r="AA498" s="1331"/>
    </row>
    <row r="499" spans="6:27" ht="10.5" customHeight="1">
      <c r="F499" s="367"/>
      <c r="G499" s="344"/>
      <c r="H499" s="344"/>
      <c r="I499" s="344"/>
      <c r="J499" s="344"/>
      <c r="K499" s="344"/>
      <c r="L499" s="344"/>
      <c r="M499" s="344"/>
      <c r="N499" s="674" t="s">
        <v>560</v>
      </c>
      <c r="O499" s="321"/>
      <c r="P499" s="185"/>
      <c r="Q499" s="429"/>
      <c r="R499" s="575" t="s">
        <v>1126</v>
      </c>
      <c r="S499" s="575" t="s">
        <v>1359</v>
      </c>
      <c r="AA499" s="1331"/>
    </row>
    <row r="500" spans="6:27" ht="10.5" customHeight="1">
      <c r="F500" s="367"/>
      <c r="G500" s="344"/>
      <c r="H500" s="344"/>
      <c r="I500" s="344"/>
      <c r="J500" s="344"/>
      <c r="K500" s="344"/>
      <c r="L500" s="344"/>
      <c r="M500" s="344"/>
      <c r="N500" s="674" t="s">
        <v>562</v>
      </c>
      <c r="O500" s="321"/>
      <c r="P500" s="185"/>
      <c r="Q500" s="429"/>
      <c r="R500" s="676" t="s">
        <v>1128</v>
      </c>
      <c r="S500" s="676" t="s">
        <v>681</v>
      </c>
      <c r="AA500" s="1331"/>
    </row>
    <row r="501" spans="6:27" ht="10.5" customHeight="1">
      <c r="F501" s="367"/>
      <c r="G501" s="344"/>
      <c r="H501" s="344"/>
      <c r="I501" s="344"/>
      <c r="J501" s="344"/>
      <c r="K501" s="344"/>
      <c r="L501" s="344"/>
      <c r="M501" s="344"/>
      <c r="N501" s="674" t="s">
        <v>743</v>
      </c>
      <c r="O501" s="321"/>
      <c r="P501" s="185"/>
      <c r="Q501" s="429"/>
      <c r="R501" s="575" t="s">
        <v>270</v>
      </c>
      <c r="S501" s="575" t="s">
        <v>332</v>
      </c>
      <c r="AA501" s="1332"/>
    </row>
    <row r="502" spans="6:27" ht="10.5" customHeight="1">
      <c r="F502" s="367"/>
      <c r="G502" s="344"/>
      <c r="H502" s="344"/>
      <c r="I502" s="344"/>
      <c r="J502" s="344"/>
      <c r="K502" s="344"/>
      <c r="L502" s="344"/>
      <c r="M502" s="344"/>
      <c r="N502" s="674" t="s">
        <v>608</v>
      </c>
      <c r="O502" s="321"/>
      <c r="P502" s="185"/>
      <c r="Q502" s="429"/>
      <c r="R502" s="575" t="s">
        <v>272</v>
      </c>
      <c r="S502" s="575" t="s">
        <v>2484</v>
      </c>
      <c r="AA502" s="1331"/>
    </row>
    <row r="503" spans="6:27" ht="10.5" customHeight="1">
      <c r="F503" s="367"/>
      <c r="G503" s="344"/>
      <c r="H503" s="344"/>
      <c r="I503" s="344"/>
      <c r="J503" s="344"/>
      <c r="K503" s="344"/>
      <c r="L503" s="344"/>
      <c r="M503" s="344"/>
      <c r="N503" s="674" t="s">
        <v>609</v>
      </c>
      <c r="O503" s="321"/>
      <c r="P503" s="185"/>
      <c r="Q503" s="429"/>
      <c r="R503" s="676" t="s">
        <v>1687</v>
      </c>
      <c r="S503" s="676" t="s">
        <v>904</v>
      </c>
      <c r="AA503" s="1331"/>
    </row>
    <row r="504" spans="6:27" ht="10.5" customHeight="1">
      <c r="F504" s="367"/>
      <c r="G504" s="344"/>
      <c r="H504" s="344"/>
      <c r="I504" s="344"/>
      <c r="J504" s="344"/>
      <c r="K504" s="344"/>
      <c r="L504" s="344"/>
      <c r="M504" s="344"/>
      <c r="N504" s="674" t="s">
        <v>2155</v>
      </c>
      <c r="O504" s="321"/>
      <c r="P504" s="185"/>
      <c r="Q504" s="429"/>
      <c r="R504" s="575" t="s">
        <v>2405</v>
      </c>
      <c r="S504" s="575" t="s">
        <v>1134</v>
      </c>
      <c r="AA504" s="1332"/>
    </row>
    <row r="505" spans="6:27" ht="10.5" customHeight="1">
      <c r="F505" s="367"/>
      <c r="G505" s="344"/>
      <c r="H505" s="344"/>
      <c r="I505" s="344"/>
      <c r="J505" s="344"/>
      <c r="K505" s="344"/>
      <c r="L505" s="344"/>
      <c r="M505" s="344"/>
      <c r="N505" s="674" t="s">
        <v>481</v>
      </c>
      <c r="O505" s="321"/>
      <c r="P505" s="185"/>
      <c r="Q505" s="429"/>
      <c r="R505" s="575" t="s">
        <v>499</v>
      </c>
      <c r="S505" s="575" t="s">
        <v>1725</v>
      </c>
      <c r="AA505" s="1331"/>
    </row>
    <row r="506" spans="6:27" ht="10.5" customHeight="1">
      <c r="F506" s="367"/>
      <c r="G506" s="344"/>
      <c r="H506" s="344"/>
      <c r="I506" s="344"/>
      <c r="J506" s="344"/>
      <c r="K506" s="344"/>
      <c r="L506" s="344"/>
      <c r="M506" s="344"/>
      <c r="N506" s="674" t="s">
        <v>482</v>
      </c>
      <c r="O506" s="321"/>
      <c r="P506" s="185"/>
      <c r="Q506" s="429"/>
      <c r="R506" s="575" t="s">
        <v>3005</v>
      </c>
      <c r="S506" s="575" t="s">
        <v>2262</v>
      </c>
      <c r="AA506" s="1331"/>
    </row>
    <row r="507" spans="6:27" ht="10.5" customHeight="1">
      <c r="F507" s="367"/>
      <c r="G507" s="344"/>
      <c r="H507" s="344"/>
      <c r="I507" s="344"/>
      <c r="J507" s="344"/>
      <c r="K507" s="344"/>
      <c r="L507" s="344"/>
      <c r="M507" s="344"/>
      <c r="N507" s="674" t="s">
        <v>1311</v>
      </c>
      <c r="O507" s="321"/>
      <c r="P507" s="185"/>
      <c r="Q507" s="429"/>
      <c r="R507" s="575" t="s">
        <v>712</v>
      </c>
      <c r="S507" s="575" t="s">
        <v>167</v>
      </c>
      <c r="AA507" s="1331"/>
    </row>
    <row r="508" spans="6:27" ht="10.5" customHeight="1">
      <c r="F508" s="367"/>
      <c r="G508" s="344"/>
      <c r="H508" s="344"/>
      <c r="I508" s="344"/>
      <c r="J508" s="344"/>
      <c r="K508" s="344"/>
      <c r="L508" s="344"/>
      <c r="M508" s="344"/>
      <c r="N508" s="674" t="s">
        <v>1030</v>
      </c>
      <c r="O508" s="321"/>
      <c r="P508" s="185"/>
      <c r="Q508" s="429"/>
      <c r="R508" s="575" t="s">
        <v>540</v>
      </c>
      <c r="S508" s="575" t="s">
        <v>761</v>
      </c>
      <c r="AA508" s="1331"/>
    </row>
    <row r="509" spans="6:27" ht="10.5" customHeight="1">
      <c r="F509" s="367"/>
      <c r="G509" s="344"/>
      <c r="H509" s="344"/>
      <c r="I509" s="344"/>
      <c r="J509" s="344"/>
      <c r="K509" s="344"/>
      <c r="L509" s="344"/>
      <c r="M509" s="344"/>
      <c r="N509" s="674" t="s">
        <v>1032</v>
      </c>
      <c r="O509" s="321"/>
      <c r="P509" s="185"/>
      <c r="Q509" s="429"/>
      <c r="R509" s="575" t="s">
        <v>542</v>
      </c>
      <c r="S509" s="575" t="s">
        <v>1378</v>
      </c>
      <c r="AA509" s="1331"/>
    </row>
    <row r="510" spans="6:27" ht="10.5" customHeight="1">
      <c r="F510" s="367"/>
      <c r="G510" s="344"/>
      <c r="H510" s="344"/>
      <c r="I510" s="344"/>
      <c r="J510" s="344"/>
      <c r="K510" s="344"/>
      <c r="L510" s="344"/>
      <c r="M510" s="344"/>
      <c r="N510" s="674" t="s">
        <v>1033</v>
      </c>
      <c r="O510" s="321"/>
      <c r="P510" s="185"/>
      <c r="Q510" s="429"/>
      <c r="R510" s="575" t="s">
        <v>544</v>
      </c>
      <c r="S510" s="575" t="s">
        <v>1512</v>
      </c>
      <c r="AA510" s="1331"/>
    </row>
    <row r="511" spans="6:27" ht="10.5" customHeight="1">
      <c r="F511" s="367"/>
      <c r="G511" s="344"/>
      <c r="H511" s="344"/>
      <c r="I511" s="344"/>
      <c r="J511" s="344"/>
      <c r="K511" s="344"/>
      <c r="L511" s="344"/>
      <c r="M511" s="344"/>
      <c r="N511" s="674" t="s">
        <v>141</v>
      </c>
      <c r="O511" s="321"/>
      <c r="P511" s="185"/>
      <c r="Q511" s="429"/>
      <c r="R511" s="575" t="s">
        <v>546</v>
      </c>
      <c r="S511" s="575" t="s">
        <v>904</v>
      </c>
      <c r="AA511" s="1331"/>
    </row>
    <row r="512" spans="6:27" ht="10.5" customHeight="1">
      <c r="F512" s="367"/>
      <c r="G512" s="344"/>
      <c r="H512" s="344"/>
      <c r="I512" s="344"/>
      <c r="J512" s="344"/>
      <c r="K512" s="344"/>
      <c r="L512" s="344"/>
      <c r="M512" s="344"/>
      <c r="N512" s="674" t="s">
        <v>142</v>
      </c>
      <c r="O512" s="321"/>
      <c r="P512" s="185"/>
      <c r="Q512" s="429"/>
      <c r="R512" s="575" t="s">
        <v>548</v>
      </c>
      <c r="S512" s="575" t="s">
        <v>1849</v>
      </c>
      <c r="AA512" s="1331"/>
    </row>
    <row r="513" spans="6:27" ht="10.5" customHeight="1">
      <c r="F513" s="367"/>
      <c r="G513" s="344"/>
      <c r="H513" s="344"/>
      <c r="I513" s="344"/>
      <c r="J513" s="344"/>
      <c r="K513" s="344"/>
      <c r="L513" s="344"/>
      <c r="M513" s="344"/>
      <c r="N513" s="674" t="s">
        <v>144</v>
      </c>
      <c r="O513" s="321"/>
      <c r="P513" s="185"/>
      <c r="Q513" s="429"/>
      <c r="R513" s="575" t="s">
        <v>561</v>
      </c>
      <c r="S513" s="575" t="s">
        <v>343</v>
      </c>
      <c r="AA513" s="1331"/>
    </row>
    <row r="514" spans="6:27" ht="10.5" customHeight="1">
      <c r="F514" s="367"/>
      <c r="G514" s="344"/>
      <c r="H514" s="344"/>
      <c r="I514" s="344"/>
      <c r="J514" s="344"/>
      <c r="K514" s="344"/>
      <c r="L514" s="344"/>
      <c r="M514" s="344"/>
      <c r="N514" s="674" t="s">
        <v>2682</v>
      </c>
      <c r="O514" s="321"/>
      <c r="P514" s="185"/>
      <c r="Q514" s="429"/>
      <c r="R514" s="575" t="s">
        <v>563</v>
      </c>
      <c r="S514" s="575" t="s">
        <v>444</v>
      </c>
      <c r="AA514" s="1331"/>
    </row>
    <row r="515" spans="6:27" ht="10.5" customHeight="1">
      <c r="F515" s="367"/>
      <c r="G515" s="344"/>
      <c r="H515" s="344"/>
      <c r="I515" s="344"/>
      <c r="J515" s="344"/>
      <c r="K515" s="344"/>
      <c r="L515" s="344"/>
      <c r="M515" s="344"/>
      <c r="N515" s="674" t="s">
        <v>2172</v>
      </c>
      <c r="O515" s="321"/>
      <c r="P515" s="185"/>
      <c r="Q515" s="429"/>
      <c r="R515" s="676" t="s">
        <v>719</v>
      </c>
      <c r="S515" s="676" t="s">
        <v>1252</v>
      </c>
      <c r="AA515" s="1331"/>
    </row>
    <row r="516" spans="6:27" ht="10.5" customHeight="1">
      <c r="F516" s="367"/>
      <c r="G516" s="344"/>
      <c r="H516" s="344"/>
      <c r="I516" s="344"/>
      <c r="J516" s="344"/>
      <c r="K516" s="344"/>
      <c r="L516" s="344"/>
      <c r="M516" s="344"/>
      <c r="N516" s="674" t="s">
        <v>2174</v>
      </c>
      <c r="O516" s="321"/>
      <c r="P516" s="185"/>
      <c r="Q516" s="429"/>
      <c r="R516" s="575" t="s">
        <v>861</v>
      </c>
      <c r="S516" s="575" t="s">
        <v>681</v>
      </c>
      <c r="AA516" s="1332"/>
    </row>
    <row r="517" spans="6:27" ht="10.5" customHeight="1">
      <c r="F517" s="367"/>
      <c r="G517" s="344"/>
      <c r="H517" s="344"/>
      <c r="I517" s="344"/>
      <c r="J517" s="344"/>
      <c r="K517" s="344"/>
      <c r="L517" s="344"/>
      <c r="M517" s="344"/>
      <c r="N517" s="674" t="s">
        <v>610</v>
      </c>
      <c r="O517" s="321"/>
      <c r="P517" s="185"/>
      <c r="Q517" s="429"/>
      <c r="R517" s="575" t="s">
        <v>1692</v>
      </c>
      <c r="S517" s="575" t="s">
        <v>690</v>
      </c>
      <c r="AA517" s="1331"/>
    </row>
    <row r="518" spans="6:27" ht="10.5" customHeight="1">
      <c r="F518" s="367"/>
      <c r="G518" s="344"/>
      <c r="H518" s="344"/>
      <c r="I518" s="344"/>
      <c r="J518" s="344"/>
      <c r="K518" s="344"/>
      <c r="L518" s="344"/>
      <c r="M518" s="344"/>
      <c r="N518" s="674" t="s">
        <v>2423</v>
      </c>
      <c r="O518" s="321"/>
      <c r="P518" s="185"/>
      <c r="Q518" s="429"/>
      <c r="R518" s="575" t="s">
        <v>2156</v>
      </c>
      <c r="S518" s="575" t="s">
        <v>1134</v>
      </c>
      <c r="AA518" s="1331"/>
    </row>
    <row r="519" spans="6:27" ht="10.5" customHeight="1">
      <c r="F519" s="367"/>
      <c r="G519" s="344"/>
      <c r="H519" s="344"/>
      <c r="I519" s="344"/>
      <c r="J519" s="344"/>
      <c r="K519" s="344"/>
      <c r="L519" s="344"/>
      <c r="M519" s="344"/>
      <c r="N519" s="674" t="s">
        <v>731</v>
      </c>
      <c r="O519" s="321"/>
      <c r="P519" s="185"/>
      <c r="Q519" s="429"/>
      <c r="R519" s="575" t="s">
        <v>1694</v>
      </c>
      <c r="S519" s="575" t="s">
        <v>2084</v>
      </c>
      <c r="AA519" s="1331"/>
    </row>
    <row r="520" spans="6:27" ht="10.5" customHeight="1">
      <c r="F520" s="367"/>
      <c r="G520" s="344"/>
      <c r="H520" s="344"/>
      <c r="I520" s="344"/>
      <c r="J520" s="344"/>
      <c r="K520" s="344"/>
      <c r="L520" s="344"/>
      <c r="M520" s="344"/>
      <c r="N520" s="674" t="s">
        <v>733</v>
      </c>
      <c r="O520" s="321"/>
      <c r="P520" s="185"/>
      <c r="Q520" s="429"/>
      <c r="R520" s="575" t="s">
        <v>483</v>
      </c>
      <c r="S520" s="575" t="s">
        <v>1369</v>
      </c>
      <c r="AA520" s="1331"/>
    </row>
    <row r="521" spans="6:27" ht="10.5" customHeight="1">
      <c r="F521" s="367"/>
      <c r="G521" s="344"/>
      <c r="H521" s="344"/>
      <c r="I521" s="344"/>
      <c r="J521" s="344"/>
      <c r="K521" s="344"/>
      <c r="L521" s="344"/>
      <c r="M521" s="344"/>
      <c r="N521" s="674" t="s">
        <v>2364</v>
      </c>
      <c r="O521" s="321"/>
      <c r="P521" s="185"/>
      <c r="Q521" s="429"/>
      <c r="R521" s="575" t="s">
        <v>189</v>
      </c>
      <c r="S521" s="575" t="s">
        <v>164</v>
      </c>
      <c r="AA521" s="1331"/>
    </row>
    <row r="522" spans="6:27" ht="10.5" customHeight="1">
      <c r="F522" s="367"/>
      <c r="G522" s="344"/>
      <c r="H522" s="344"/>
      <c r="I522" s="344"/>
      <c r="J522" s="344"/>
      <c r="K522" s="344"/>
      <c r="L522" s="344"/>
      <c r="M522" s="344"/>
      <c r="N522" s="674" t="s">
        <v>44</v>
      </c>
      <c r="O522" s="321"/>
      <c r="P522" s="185"/>
      <c r="Q522" s="429"/>
      <c r="R522" s="575" t="s">
        <v>1312</v>
      </c>
      <c r="S522" s="575" t="s">
        <v>338</v>
      </c>
      <c r="AA522" s="1331"/>
    </row>
    <row r="523" spans="6:27" ht="10.5" customHeight="1">
      <c r="F523" s="367"/>
      <c r="G523" s="344"/>
      <c r="H523" s="344"/>
      <c r="I523" s="344"/>
      <c r="J523" s="344"/>
      <c r="K523" s="344"/>
      <c r="L523" s="344"/>
      <c r="M523" s="344"/>
      <c r="N523" s="674" t="s">
        <v>45</v>
      </c>
      <c r="O523" s="321"/>
      <c r="P523" s="185"/>
      <c r="Q523" s="429"/>
      <c r="R523" s="575" t="s">
        <v>1031</v>
      </c>
      <c r="S523" s="575" t="s">
        <v>1509</v>
      </c>
      <c r="AA523" s="1331"/>
    </row>
    <row r="524" spans="6:27" ht="10.5" customHeight="1">
      <c r="F524" s="367"/>
      <c r="G524" s="344"/>
      <c r="H524" s="344"/>
      <c r="I524" s="344"/>
      <c r="J524" s="344"/>
      <c r="K524" s="344"/>
      <c r="L524" s="344"/>
      <c r="M524" s="344"/>
      <c r="N524" s="674" t="s">
        <v>2327</v>
      </c>
      <c r="O524" s="321"/>
      <c r="P524" s="185"/>
      <c r="Q524" s="429"/>
      <c r="R524" s="575" t="s">
        <v>1097</v>
      </c>
      <c r="S524" s="575" t="s">
        <v>180</v>
      </c>
      <c r="AA524" s="1331"/>
    </row>
    <row r="525" spans="6:27" ht="10.5" customHeight="1">
      <c r="F525" s="367"/>
      <c r="G525" s="344"/>
      <c r="H525" s="344"/>
      <c r="I525" s="344"/>
      <c r="J525" s="344"/>
      <c r="K525" s="344"/>
      <c r="L525" s="344"/>
      <c r="M525" s="344"/>
      <c r="N525" s="674" t="s">
        <v>2355</v>
      </c>
      <c r="O525" s="321"/>
      <c r="P525" s="185"/>
      <c r="Q525" s="429"/>
      <c r="R525" s="575" t="s">
        <v>140</v>
      </c>
      <c r="S525" s="575" t="s">
        <v>2619</v>
      </c>
      <c r="AA525" s="1331"/>
    </row>
    <row r="526" spans="6:27" ht="10.5" customHeight="1">
      <c r="F526" s="367"/>
      <c r="G526" s="344"/>
      <c r="H526" s="344"/>
      <c r="I526" s="344"/>
      <c r="J526" s="344"/>
      <c r="K526" s="344"/>
      <c r="L526" s="344"/>
      <c r="M526" s="344"/>
      <c r="N526" s="674" t="s">
        <v>407</v>
      </c>
      <c r="O526" s="321"/>
      <c r="P526" s="185"/>
      <c r="Q526" s="429"/>
      <c r="R526" s="575" t="s">
        <v>2672</v>
      </c>
      <c r="S526" s="575" t="s">
        <v>1381</v>
      </c>
      <c r="AA526" s="1331"/>
    </row>
    <row r="527" spans="6:27" ht="10.5" customHeight="1">
      <c r="F527" s="367"/>
      <c r="G527" s="344"/>
      <c r="H527" s="344"/>
      <c r="I527" s="344"/>
      <c r="J527" s="344"/>
      <c r="K527" s="344"/>
      <c r="L527" s="344"/>
      <c r="M527" s="344"/>
      <c r="N527" s="674" t="s">
        <v>409</v>
      </c>
      <c r="O527" s="321"/>
      <c r="P527" s="185"/>
      <c r="Q527" s="429"/>
      <c r="R527" s="575" t="s">
        <v>143</v>
      </c>
      <c r="S527" s="575" t="s">
        <v>681</v>
      </c>
      <c r="AA527" s="1331"/>
    </row>
    <row r="528" spans="6:27" ht="10.5" customHeight="1">
      <c r="F528" s="367"/>
      <c r="G528" s="344"/>
      <c r="H528" s="344"/>
      <c r="I528" s="344"/>
      <c r="J528" s="344"/>
      <c r="K528" s="344"/>
      <c r="L528" s="344"/>
      <c r="M528" s="344"/>
      <c r="N528" s="674" t="s">
        <v>411</v>
      </c>
      <c r="O528" s="321"/>
      <c r="P528" s="185"/>
      <c r="Q528" s="429"/>
      <c r="R528" s="676" t="s">
        <v>145</v>
      </c>
      <c r="S528" s="676" t="s">
        <v>2569</v>
      </c>
      <c r="AA528" s="1331"/>
    </row>
    <row r="529" spans="6:27" ht="10.5" customHeight="1">
      <c r="F529" s="367"/>
      <c r="G529" s="344"/>
      <c r="H529" s="344"/>
      <c r="I529" s="344"/>
      <c r="J529" s="344"/>
      <c r="K529" s="344"/>
      <c r="L529" s="344"/>
      <c r="M529" s="344"/>
      <c r="N529" s="674" t="s">
        <v>413</v>
      </c>
      <c r="O529" s="321"/>
      <c r="P529" s="185"/>
      <c r="Q529" s="429"/>
      <c r="R529" s="676" t="s">
        <v>2683</v>
      </c>
      <c r="S529" s="676" t="s">
        <v>1373</v>
      </c>
      <c r="AA529" s="1332"/>
    </row>
    <row r="530" spans="6:27" ht="10.5" customHeight="1">
      <c r="F530" s="367"/>
      <c r="G530" s="344"/>
      <c r="H530" s="344"/>
      <c r="I530" s="344"/>
      <c r="J530" s="344"/>
      <c r="K530" s="344"/>
      <c r="L530" s="344"/>
      <c r="M530" s="344"/>
      <c r="N530" s="674" t="s">
        <v>1640</v>
      </c>
      <c r="O530" s="321"/>
      <c r="P530" s="185"/>
      <c r="Q530" s="429"/>
      <c r="R530" s="676" t="s">
        <v>2173</v>
      </c>
      <c r="S530" s="676" t="s">
        <v>2575</v>
      </c>
      <c r="AA530" s="1332"/>
    </row>
    <row r="531" spans="6:27" ht="10.5" customHeight="1">
      <c r="F531" s="367"/>
      <c r="G531" s="344"/>
      <c r="H531" s="344"/>
      <c r="I531" s="344"/>
      <c r="J531" s="344"/>
      <c r="K531" s="344"/>
      <c r="L531" s="344"/>
      <c r="M531" s="344"/>
      <c r="N531" s="674" t="s">
        <v>1642</v>
      </c>
      <c r="O531" s="321"/>
      <c r="P531" s="185"/>
      <c r="Q531" s="429"/>
      <c r="R531" s="575" t="s">
        <v>784</v>
      </c>
      <c r="S531" s="575" t="s">
        <v>124</v>
      </c>
      <c r="AA531" s="1332"/>
    </row>
    <row r="532" spans="6:27" ht="10.5" customHeight="1">
      <c r="F532" s="367"/>
      <c r="G532" s="344"/>
      <c r="H532" s="344"/>
      <c r="I532" s="344"/>
      <c r="J532" s="344"/>
      <c r="K532" s="344"/>
      <c r="L532" s="344"/>
      <c r="M532" s="344"/>
      <c r="N532" s="674" t="s">
        <v>1644</v>
      </c>
      <c r="O532" s="321"/>
      <c r="P532" s="185"/>
      <c r="Q532" s="429"/>
      <c r="R532" s="575" t="s">
        <v>785</v>
      </c>
      <c r="S532" s="575" t="s">
        <v>189</v>
      </c>
      <c r="AA532" s="1331"/>
    </row>
    <row r="533" spans="6:27" ht="10.5" customHeight="1">
      <c r="F533" s="367"/>
      <c r="G533" s="344"/>
      <c r="H533" s="344"/>
      <c r="I533" s="344"/>
      <c r="J533" s="344"/>
      <c r="K533" s="344"/>
      <c r="L533" s="344"/>
      <c r="M533" s="344"/>
      <c r="N533" s="674" t="s">
        <v>2681</v>
      </c>
      <c r="O533" s="321"/>
      <c r="P533" s="185"/>
      <c r="Q533" s="429"/>
      <c r="R533" s="575" t="s">
        <v>732</v>
      </c>
      <c r="S533" s="575" t="s">
        <v>763</v>
      </c>
      <c r="AA533" s="1331"/>
    </row>
    <row r="534" spans="6:27" ht="10.5" customHeight="1">
      <c r="F534" s="367"/>
      <c r="G534" s="344"/>
      <c r="H534" s="344"/>
      <c r="I534" s="344"/>
      <c r="J534" s="344"/>
      <c r="K534" s="344"/>
      <c r="L534" s="344"/>
      <c r="M534" s="344"/>
      <c r="N534" s="674" t="s">
        <v>2539</v>
      </c>
      <c r="O534" s="321"/>
      <c r="P534" s="185"/>
      <c r="Q534" s="429"/>
      <c r="R534" s="575" t="s">
        <v>734</v>
      </c>
      <c r="S534" s="575" t="s">
        <v>1143</v>
      </c>
      <c r="AA534" s="1331"/>
    </row>
    <row r="535" spans="6:27" ht="10.5" customHeight="1">
      <c r="F535" s="367"/>
      <c r="G535" s="344"/>
      <c r="H535" s="344"/>
      <c r="I535" s="344"/>
      <c r="J535" s="344"/>
      <c r="K535" s="344"/>
      <c r="L535" s="344"/>
      <c r="M535" s="344"/>
      <c r="N535" s="674" t="s">
        <v>1897</v>
      </c>
      <c r="O535" s="321"/>
      <c r="P535" s="185"/>
      <c r="Q535" s="429"/>
      <c r="R535" s="575" t="s">
        <v>2365</v>
      </c>
      <c r="S535" s="575" t="s">
        <v>1252</v>
      </c>
      <c r="AA535" s="1331"/>
    </row>
    <row r="536" spans="6:27" ht="10.5" customHeight="1">
      <c r="F536" s="367"/>
      <c r="G536" s="344"/>
      <c r="H536" s="344"/>
      <c r="I536" s="344"/>
      <c r="J536" s="344"/>
      <c r="K536" s="344"/>
      <c r="L536" s="344"/>
      <c r="M536" s="344"/>
      <c r="N536" s="674" t="s">
        <v>1899</v>
      </c>
      <c r="O536" s="321"/>
      <c r="P536" s="185"/>
      <c r="Q536" s="429"/>
      <c r="R536" s="575" t="s">
        <v>2365</v>
      </c>
      <c r="S536" s="575" t="s">
        <v>1252</v>
      </c>
      <c r="AA536" s="1331"/>
    </row>
    <row r="537" spans="6:27" ht="10.5" customHeight="1">
      <c r="F537" s="367"/>
      <c r="G537" s="344"/>
      <c r="H537" s="344"/>
      <c r="I537" s="344"/>
      <c r="J537" s="344"/>
      <c r="K537" s="344"/>
      <c r="L537" s="344"/>
      <c r="M537" s="344"/>
      <c r="N537" s="674" t="s">
        <v>1901</v>
      </c>
      <c r="O537" s="321"/>
      <c r="P537" s="185"/>
      <c r="Q537" s="429"/>
      <c r="R537" s="575" t="s">
        <v>46</v>
      </c>
      <c r="S537" s="575" t="s">
        <v>1372</v>
      </c>
      <c r="AA537" s="1331"/>
    </row>
    <row r="538" spans="6:27" ht="10.5" customHeight="1">
      <c r="F538" s="367"/>
      <c r="G538" s="344"/>
      <c r="H538" s="344"/>
      <c r="I538" s="344"/>
      <c r="J538" s="344"/>
      <c r="K538" s="344"/>
      <c r="L538" s="344"/>
      <c r="M538" s="344"/>
      <c r="N538" s="674" t="s">
        <v>1902</v>
      </c>
      <c r="O538" s="321"/>
      <c r="P538" s="185"/>
      <c r="Q538" s="429"/>
      <c r="R538" s="575" t="s">
        <v>2328</v>
      </c>
      <c r="S538" s="575" t="s">
        <v>1366</v>
      </c>
      <c r="AA538" s="1331"/>
    </row>
    <row r="539" spans="6:27" ht="10.5" customHeight="1">
      <c r="F539" s="367"/>
      <c r="G539" s="344"/>
      <c r="H539" s="344"/>
      <c r="I539" s="344"/>
      <c r="J539" s="344"/>
      <c r="K539" s="344"/>
      <c r="L539" s="344"/>
      <c r="M539" s="344"/>
      <c r="N539" s="674" t="s">
        <v>1904</v>
      </c>
      <c r="O539" s="321"/>
      <c r="P539" s="185"/>
      <c r="Q539" s="429"/>
      <c r="R539" s="575" t="s">
        <v>862</v>
      </c>
      <c r="S539" s="575" t="s">
        <v>180</v>
      </c>
      <c r="AA539" s="1331"/>
    </row>
    <row r="540" spans="6:27" ht="10.5" customHeight="1">
      <c r="F540" s="367"/>
      <c r="G540" s="344"/>
      <c r="H540" s="344"/>
      <c r="I540" s="344"/>
      <c r="J540" s="344"/>
      <c r="K540" s="344"/>
      <c r="L540" s="344"/>
      <c r="M540" s="344"/>
      <c r="N540" s="674" t="s">
        <v>1906</v>
      </c>
      <c r="O540" s="321"/>
      <c r="P540" s="185"/>
      <c r="Q540" s="429"/>
      <c r="R540" s="575" t="s">
        <v>1067</v>
      </c>
      <c r="S540" s="575" t="s">
        <v>1131</v>
      </c>
      <c r="AA540" s="1331"/>
    </row>
    <row r="541" spans="6:27" ht="10.5" customHeight="1">
      <c r="F541" s="367"/>
      <c r="G541" s="344"/>
      <c r="H541" s="344"/>
      <c r="I541" s="344"/>
      <c r="J541" s="344"/>
      <c r="K541" s="344"/>
      <c r="L541" s="344"/>
      <c r="M541" s="344"/>
      <c r="N541" s="674" t="s">
        <v>1908</v>
      </c>
      <c r="O541" s="321"/>
      <c r="P541" s="185"/>
      <c r="Q541" s="429"/>
      <c r="R541" s="575" t="s">
        <v>408</v>
      </c>
      <c r="S541" s="575" t="s">
        <v>2677</v>
      </c>
      <c r="AA541" s="1331"/>
    </row>
    <row r="542" spans="6:27" ht="10.5" customHeight="1">
      <c r="F542" s="367"/>
      <c r="G542" s="344"/>
      <c r="H542" s="344"/>
      <c r="I542" s="344"/>
      <c r="J542" s="344"/>
      <c r="K542" s="344"/>
      <c r="L542" s="344"/>
      <c r="M542" s="344"/>
      <c r="N542" s="674" t="s">
        <v>1910</v>
      </c>
      <c r="O542" s="321"/>
      <c r="P542" s="185"/>
      <c r="Q542" s="429"/>
      <c r="R542" s="575" t="s">
        <v>410</v>
      </c>
      <c r="S542" s="575" t="s">
        <v>2247</v>
      </c>
      <c r="AA542" s="1331"/>
    </row>
    <row r="543" spans="6:27" ht="10.5" customHeight="1">
      <c r="F543" s="367"/>
      <c r="G543" s="344"/>
      <c r="H543" s="344"/>
      <c r="I543" s="344"/>
      <c r="J543" s="344"/>
      <c r="K543" s="344"/>
      <c r="L543" s="344"/>
      <c r="M543" s="344"/>
      <c r="N543" s="674" t="s">
        <v>1911</v>
      </c>
      <c r="O543" s="321"/>
      <c r="P543" s="185"/>
      <c r="Q543" s="429"/>
      <c r="R543" s="575" t="s">
        <v>412</v>
      </c>
      <c r="S543" s="575" t="s">
        <v>2619</v>
      </c>
      <c r="AA543" s="1331"/>
    </row>
    <row r="544" spans="6:27" ht="10.5" customHeight="1">
      <c r="F544" s="367"/>
      <c r="G544" s="344"/>
      <c r="H544" s="344"/>
      <c r="I544" s="344"/>
      <c r="J544" s="344"/>
      <c r="K544" s="344"/>
      <c r="L544" s="344"/>
      <c r="M544" s="344"/>
      <c r="N544" s="674" t="s">
        <v>1877</v>
      </c>
      <c r="O544" s="321"/>
      <c r="P544" s="185"/>
      <c r="Q544" s="429"/>
      <c r="R544" s="575" t="s">
        <v>2677</v>
      </c>
      <c r="S544" s="575" t="s">
        <v>1847</v>
      </c>
      <c r="AA544" s="1331"/>
    </row>
    <row r="545" spans="6:27" ht="10.5" customHeight="1">
      <c r="F545" s="367"/>
      <c r="G545" s="344"/>
      <c r="H545" s="344"/>
      <c r="I545" s="344"/>
      <c r="J545" s="344"/>
      <c r="K545" s="344"/>
      <c r="L545" s="344"/>
      <c r="M545" s="344"/>
      <c r="N545" s="674" t="s">
        <v>1700</v>
      </c>
      <c r="O545" s="321"/>
      <c r="P545" s="185"/>
      <c r="Q545" s="429"/>
      <c r="R545" s="575" t="s">
        <v>1641</v>
      </c>
      <c r="S545" s="575" t="s">
        <v>2573</v>
      </c>
      <c r="AA545" s="1331"/>
    </row>
    <row r="546" spans="6:27" ht="10.5" customHeight="1">
      <c r="F546" s="367"/>
      <c r="G546" s="344"/>
      <c r="H546" s="344"/>
      <c r="I546" s="344"/>
      <c r="J546" s="344"/>
      <c r="K546" s="344"/>
      <c r="L546" s="344"/>
      <c r="M546" s="344"/>
      <c r="N546" s="674" t="s">
        <v>1701</v>
      </c>
      <c r="O546" s="321"/>
      <c r="P546" s="185"/>
      <c r="Q546" s="429"/>
      <c r="R546" s="575" t="s">
        <v>1643</v>
      </c>
      <c r="S546" s="575" t="s">
        <v>336</v>
      </c>
      <c r="AA546" s="1331"/>
    </row>
    <row r="547" spans="6:27" ht="10.5" customHeight="1">
      <c r="F547" s="367"/>
      <c r="G547" s="344"/>
      <c r="H547" s="344"/>
      <c r="I547" s="344"/>
      <c r="J547" s="344"/>
      <c r="K547" s="344"/>
      <c r="L547" s="344"/>
      <c r="M547" s="344"/>
      <c r="N547" s="674" t="s">
        <v>1703</v>
      </c>
      <c r="O547" s="321"/>
      <c r="P547" s="185"/>
      <c r="Q547" s="429"/>
      <c r="R547" s="575" t="s">
        <v>1493</v>
      </c>
      <c r="S547" s="575" t="s">
        <v>123</v>
      </c>
      <c r="AA547" s="1331"/>
    </row>
    <row r="548" spans="6:27" ht="10.5" customHeight="1">
      <c r="F548" s="367"/>
      <c r="G548" s="344"/>
      <c r="H548" s="344"/>
      <c r="I548" s="344"/>
      <c r="J548" s="344"/>
      <c r="K548" s="344"/>
      <c r="L548" s="344"/>
      <c r="M548" s="344"/>
      <c r="N548" s="674" t="s">
        <v>2353</v>
      </c>
      <c r="O548" s="321"/>
      <c r="P548" s="185"/>
      <c r="Q548" s="429"/>
      <c r="R548" s="676" t="s">
        <v>2538</v>
      </c>
      <c r="S548" s="676" t="s">
        <v>2575</v>
      </c>
      <c r="AA548" s="1331"/>
    </row>
    <row r="549" spans="6:27" ht="10.5" customHeight="1">
      <c r="F549" s="367"/>
      <c r="G549" s="344"/>
      <c r="H549" s="344"/>
      <c r="I549" s="344"/>
      <c r="J549" s="344"/>
      <c r="K549" s="344"/>
      <c r="L549" s="344"/>
      <c r="M549" s="344"/>
      <c r="N549" s="674" t="s">
        <v>578</v>
      </c>
      <c r="O549" s="321"/>
      <c r="P549" s="185"/>
      <c r="Q549" s="429"/>
      <c r="R549" s="575" t="s">
        <v>1098</v>
      </c>
      <c r="S549" s="575" t="s">
        <v>652</v>
      </c>
      <c r="AA549" s="1332"/>
    </row>
    <row r="550" spans="6:27" ht="10.5" customHeight="1">
      <c r="F550" s="367"/>
      <c r="G550" s="344"/>
      <c r="H550" s="344"/>
      <c r="I550" s="344"/>
      <c r="J550" s="344"/>
      <c r="K550" s="344"/>
      <c r="L550" s="344"/>
      <c r="M550" s="344"/>
      <c r="N550" s="674" t="s">
        <v>580</v>
      </c>
      <c r="O550" s="321"/>
      <c r="P550" s="185"/>
      <c r="Q550" s="429"/>
      <c r="R550" s="575" t="s">
        <v>1099</v>
      </c>
      <c r="S550" s="575" t="s">
        <v>652</v>
      </c>
      <c r="AA550" s="1331"/>
    </row>
    <row r="551" spans="6:27" ht="10.5" customHeight="1">
      <c r="F551" s="367"/>
      <c r="G551" s="344"/>
      <c r="H551" s="344"/>
      <c r="I551" s="344"/>
      <c r="J551" s="344"/>
      <c r="K551" s="344"/>
      <c r="L551" s="344"/>
      <c r="M551" s="344"/>
      <c r="N551" s="674" t="s">
        <v>582</v>
      </c>
      <c r="O551" s="321"/>
      <c r="P551" s="185"/>
      <c r="Q551" s="429"/>
      <c r="R551" s="575" t="s">
        <v>1100</v>
      </c>
      <c r="S551" s="575" t="s">
        <v>652</v>
      </c>
      <c r="AA551" s="1331"/>
    </row>
    <row r="552" spans="6:27" ht="10.5" customHeight="1">
      <c r="F552" s="367"/>
      <c r="G552" s="344"/>
      <c r="H552" s="344"/>
      <c r="I552" s="344"/>
      <c r="J552" s="344"/>
      <c r="K552" s="344"/>
      <c r="L552" s="344"/>
      <c r="M552" s="344"/>
      <c r="N552" s="674" t="s">
        <v>2131</v>
      </c>
      <c r="O552" s="321"/>
      <c r="P552" s="185"/>
      <c r="Q552" s="429"/>
      <c r="R552" s="575" t="s">
        <v>1887</v>
      </c>
      <c r="S552" s="575" t="s">
        <v>2678</v>
      </c>
      <c r="AA552" s="1331"/>
    </row>
    <row r="553" spans="6:27" ht="10.5" customHeight="1">
      <c r="F553" s="367"/>
      <c r="G553" s="344"/>
      <c r="H553" s="344"/>
      <c r="I553" s="344"/>
      <c r="J553" s="344"/>
      <c r="K553" s="344"/>
      <c r="L553" s="344"/>
      <c r="M553" s="344"/>
      <c r="N553" s="674" t="s">
        <v>1503</v>
      </c>
      <c r="O553" s="321"/>
      <c r="P553" s="185"/>
      <c r="Q553" s="429"/>
      <c r="R553" s="575" t="s">
        <v>1898</v>
      </c>
      <c r="S553" s="575" t="s">
        <v>106</v>
      </c>
      <c r="AA553" s="1331"/>
    </row>
    <row r="554" spans="6:27" ht="10.5" customHeight="1">
      <c r="F554" s="367"/>
      <c r="G554" s="344"/>
      <c r="H554" s="344"/>
      <c r="I554" s="344"/>
      <c r="J554" s="344"/>
      <c r="K554" s="344"/>
      <c r="L554" s="344"/>
      <c r="M554" s="344"/>
      <c r="N554" s="674" t="s">
        <v>1505</v>
      </c>
      <c r="O554" s="321"/>
      <c r="P554" s="185"/>
      <c r="Q554" s="429"/>
      <c r="R554" s="575" t="s">
        <v>1900</v>
      </c>
      <c r="S554" s="575" t="s">
        <v>2322</v>
      </c>
      <c r="AA554" s="1331"/>
    </row>
    <row r="555" spans="6:27" ht="10.5" customHeight="1">
      <c r="F555" s="367"/>
      <c r="G555" s="344"/>
      <c r="H555" s="344"/>
      <c r="I555" s="344"/>
      <c r="J555" s="344"/>
      <c r="K555" s="344"/>
      <c r="L555" s="344"/>
      <c r="M555" s="344"/>
      <c r="N555" s="674" t="s">
        <v>1506</v>
      </c>
      <c r="O555" s="321"/>
      <c r="P555" s="185"/>
      <c r="Q555" s="429"/>
      <c r="R555" s="575" t="s">
        <v>1903</v>
      </c>
      <c r="S555" s="575" t="s">
        <v>2322</v>
      </c>
      <c r="AA555" s="1331"/>
    </row>
    <row r="556" spans="6:27" ht="10.5" customHeight="1">
      <c r="F556" s="367"/>
      <c r="G556" s="344"/>
      <c r="H556" s="344"/>
      <c r="I556" s="344"/>
      <c r="J556" s="344"/>
      <c r="K556" s="344"/>
      <c r="L556" s="344"/>
      <c r="M556" s="344"/>
      <c r="N556" s="674" t="s">
        <v>1638</v>
      </c>
      <c r="O556" s="321"/>
      <c r="P556" s="185"/>
      <c r="Q556" s="429"/>
      <c r="R556" s="575" t="s">
        <v>1905</v>
      </c>
      <c r="S556" s="575" t="s">
        <v>324</v>
      </c>
      <c r="AA556" s="1331"/>
    </row>
    <row r="557" spans="6:27" ht="10.5" customHeight="1">
      <c r="F557" s="367"/>
      <c r="G557" s="344"/>
      <c r="H557" s="344"/>
      <c r="I557" s="344"/>
      <c r="J557" s="344"/>
      <c r="K557" s="344"/>
      <c r="L557" s="344"/>
      <c r="M557" s="344"/>
      <c r="N557" s="674" t="s">
        <v>2197</v>
      </c>
      <c r="O557" s="321"/>
      <c r="P557" s="185"/>
      <c r="Q557" s="429"/>
      <c r="R557" s="575" t="s">
        <v>1907</v>
      </c>
      <c r="S557" s="575" t="s">
        <v>1725</v>
      </c>
      <c r="AA557" s="1331"/>
    </row>
    <row r="558" spans="6:27" ht="10.5" customHeight="1">
      <c r="F558" s="367"/>
      <c r="G558" s="344"/>
      <c r="H558" s="344"/>
      <c r="I558" s="344"/>
      <c r="J558" s="344"/>
      <c r="K558" s="344"/>
      <c r="L558" s="344"/>
      <c r="M558" s="344"/>
      <c r="N558" s="674" t="s">
        <v>2199</v>
      </c>
      <c r="O558" s="321"/>
      <c r="P558" s="185"/>
      <c r="Q558" s="429"/>
      <c r="R558" s="575" t="s">
        <v>1909</v>
      </c>
      <c r="S558" s="575" t="s">
        <v>334</v>
      </c>
      <c r="AA558" s="1331"/>
    </row>
    <row r="559" spans="6:27" ht="10.5" customHeight="1">
      <c r="F559" s="367"/>
      <c r="G559" s="344"/>
      <c r="H559" s="344"/>
      <c r="I559" s="344"/>
      <c r="J559" s="344"/>
      <c r="K559" s="344"/>
      <c r="L559" s="344"/>
      <c r="M559" s="344"/>
      <c r="N559" s="674" t="s">
        <v>2201</v>
      </c>
      <c r="O559" s="321"/>
      <c r="P559" s="185"/>
      <c r="Q559" s="429"/>
      <c r="R559" s="676" t="s">
        <v>2678</v>
      </c>
      <c r="S559" s="676" t="s">
        <v>108</v>
      </c>
      <c r="AA559" s="1331"/>
    </row>
    <row r="560" spans="6:27" ht="10.5" customHeight="1">
      <c r="F560" s="367"/>
      <c r="G560" s="344"/>
      <c r="H560" s="344"/>
      <c r="I560" s="344"/>
      <c r="J560" s="344"/>
      <c r="K560" s="344"/>
      <c r="L560" s="344"/>
      <c r="M560" s="344"/>
      <c r="N560" s="674" t="s">
        <v>1495</v>
      </c>
      <c r="O560" s="321"/>
      <c r="P560" s="185"/>
      <c r="Q560" s="429"/>
      <c r="R560" s="575" t="s">
        <v>2020</v>
      </c>
      <c r="S560" s="575" t="s">
        <v>110</v>
      </c>
      <c r="AA560" s="1332"/>
    </row>
    <row r="561" spans="6:27" ht="10.5" customHeight="1">
      <c r="F561" s="367"/>
      <c r="G561" s="344"/>
      <c r="H561" s="344"/>
      <c r="I561" s="344"/>
      <c r="J561" s="344"/>
      <c r="K561" s="344"/>
      <c r="L561" s="344"/>
      <c r="M561" s="344"/>
      <c r="N561" s="674" t="s">
        <v>1497</v>
      </c>
      <c r="O561" s="321"/>
      <c r="P561" s="185"/>
      <c r="Q561" s="429"/>
      <c r="R561" s="575" t="s">
        <v>1878</v>
      </c>
      <c r="S561" s="575" t="s">
        <v>1132</v>
      </c>
      <c r="AA561" s="1331"/>
    </row>
    <row r="562" spans="6:27" ht="10.5" customHeight="1">
      <c r="F562" s="367"/>
      <c r="G562" s="344"/>
      <c r="H562" s="344"/>
      <c r="I562" s="344"/>
      <c r="J562" s="344"/>
      <c r="K562" s="344"/>
      <c r="L562" s="344"/>
      <c r="M562" s="344"/>
      <c r="N562" s="674" t="s">
        <v>1612</v>
      </c>
      <c r="O562" s="321"/>
      <c r="P562" s="185"/>
      <c r="Q562" s="429"/>
      <c r="R562" s="575" t="s">
        <v>2679</v>
      </c>
      <c r="S562" s="575" t="s">
        <v>1369</v>
      </c>
      <c r="AA562" s="1331"/>
    </row>
    <row r="563" spans="6:27" ht="10.5" customHeight="1">
      <c r="F563" s="367"/>
      <c r="G563" s="344"/>
      <c r="H563" s="344"/>
      <c r="I563" s="344"/>
      <c r="J563" s="344"/>
      <c r="K563" s="344"/>
      <c r="L563" s="344"/>
      <c r="M563" s="344"/>
      <c r="N563" s="674" t="s">
        <v>1614</v>
      </c>
      <c r="O563" s="321"/>
      <c r="P563" s="185"/>
      <c r="Q563" s="429"/>
      <c r="R563" s="575" t="s">
        <v>1702</v>
      </c>
      <c r="S563" s="575" t="s">
        <v>2247</v>
      </c>
      <c r="AA563" s="1331"/>
    </row>
    <row r="564" spans="6:27" ht="10.5" customHeight="1">
      <c r="F564" s="367"/>
      <c r="G564" s="344"/>
      <c r="H564" s="344"/>
      <c r="I564" s="344"/>
      <c r="J564" s="344"/>
      <c r="K564" s="344"/>
      <c r="L564" s="344"/>
      <c r="M564" s="344"/>
      <c r="N564" s="674" t="s">
        <v>2129</v>
      </c>
      <c r="O564" s="321"/>
      <c r="P564" s="185"/>
      <c r="Q564" s="429"/>
      <c r="R564" s="575" t="s">
        <v>863</v>
      </c>
      <c r="S564" s="575" t="s">
        <v>2254</v>
      </c>
      <c r="AA564" s="1331"/>
    </row>
    <row r="565" spans="6:27" ht="10.5" customHeight="1">
      <c r="F565" s="367"/>
      <c r="G565" s="344"/>
      <c r="H565" s="344"/>
      <c r="I565" s="344"/>
      <c r="J565" s="344"/>
      <c r="K565" s="344"/>
      <c r="L565" s="344"/>
      <c r="M565" s="344"/>
      <c r="N565" s="674" t="s">
        <v>1943</v>
      </c>
      <c r="O565" s="321"/>
      <c r="P565" s="185"/>
      <c r="Q565" s="429"/>
      <c r="R565" s="575" t="s">
        <v>2352</v>
      </c>
      <c r="S565" s="575" t="s">
        <v>1727</v>
      </c>
      <c r="AA565" s="1331"/>
    </row>
    <row r="566" spans="6:27" ht="10.5" customHeight="1">
      <c r="F566" s="367"/>
      <c r="G566" s="344"/>
      <c r="H566" s="344"/>
      <c r="I566" s="344"/>
      <c r="J566" s="344"/>
      <c r="K566" s="344"/>
      <c r="L566" s="344"/>
      <c r="M566" s="344"/>
      <c r="N566" s="674" t="s">
        <v>289</v>
      </c>
      <c r="O566" s="321"/>
      <c r="P566" s="185"/>
      <c r="Q566" s="429"/>
      <c r="R566" s="575" t="s">
        <v>2354</v>
      </c>
      <c r="S566" s="575" t="s">
        <v>2251</v>
      </c>
      <c r="AA566" s="1331"/>
    </row>
    <row r="567" spans="6:27" ht="10.5" customHeight="1">
      <c r="F567" s="367"/>
      <c r="G567" s="344"/>
      <c r="H567" s="344"/>
      <c r="I567" s="344"/>
      <c r="J567" s="344"/>
      <c r="K567" s="344"/>
      <c r="L567" s="344"/>
      <c r="M567" s="344"/>
      <c r="N567" s="674" t="s">
        <v>1748</v>
      </c>
      <c r="O567" s="321"/>
      <c r="P567" s="185"/>
      <c r="Q567" s="429"/>
      <c r="R567" s="575" t="s">
        <v>579</v>
      </c>
      <c r="S567" s="575" t="s">
        <v>2677</v>
      </c>
      <c r="AA567" s="1331"/>
    </row>
    <row r="568" spans="6:27" ht="10.5" customHeight="1">
      <c r="F568" s="367"/>
      <c r="G568" s="344"/>
      <c r="H568" s="344"/>
      <c r="I568" s="344"/>
      <c r="J568" s="344"/>
      <c r="K568" s="344"/>
      <c r="L568" s="344"/>
      <c r="M568" s="344"/>
      <c r="N568" s="674" t="s">
        <v>273</v>
      </c>
      <c r="O568" s="321"/>
      <c r="P568" s="185"/>
      <c r="Q568" s="429"/>
      <c r="R568" s="575" t="s">
        <v>581</v>
      </c>
      <c r="S568" s="575" t="s">
        <v>1252</v>
      </c>
      <c r="AA568" s="1331"/>
    </row>
    <row r="569" spans="6:27" ht="10.5" customHeight="1">
      <c r="F569" s="367"/>
      <c r="G569" s="344"/>
      <c r="H569" s="344"/>
      <c r="I569" s="344"/>
      <c r="J569" s="344"/>
      <c r="K569" s="344"/>
      <c r="L569" s="344"/>
      <c r="M569" s="344"/>
      <c r="N569" s="674" t="s">
        <v>287</v>
      </c>
      <c r="O569" s="321"/>
      <c r="P569" s="185"/>
      <c r="Q569" s="429"/>
      <c r="R569" s="575" t="s">
        <v>1101</v>
      </c>
      <c r="S569" s="575" t="s">
        <v>652</v>
      </c>
      <c r="AA569" s="1331"/>
    </row>
    <row r="570" spans="6:27" ht="10.5" customHeight="1">
      <c r="F570" s="367"/>
      <c r="G570" s="344"/>
      <c r="H570" s="344"/>
      <c r="I570" s="344"/>
      <c r="J570" s="344"/>
      <c r="K570" s="344"/>
      <c r="L570" s="344"/>
      <c r="M570" s="344"/>
      <c r="N570" s="674" t="s">
        <v>1227</v>
      </c>
      <c r="O570" s="321"/>
      <c r="P570" s="185"/>
      <c r="Q570" s="429"/>
      <c r="R570" s="575" t="s">
        <v>583</v>
      </c>
      <c r="S570" s="575" t="s">
        <v>1724</v>
      </c>
      <c r="AA570" s="1331"/>
    </row>
    <row r="571" spans="6:27" ht="10.5" customHeight="1">
      <c r="F571" s="367"/>
      <c r="G571" s="344"/>
      <c r="H571" s="344"/>
      <c r="I571" s="344"/>
      <c r="J571" s="344"/>
      <c r="K571" s="344"/>
      <c r="L571" s="344"/>
      <c r="M571" s="344"/>
      <c r="N571" s="674" t="s">
        <v>773</v>
      </c>
      <c r="O571" s="321"/>
      <c r="P571" s="185"/>
      <c r="Q571" s="429"/>
      <c r="R571" s="575" t="s">
        <v>1221</v>
      </c>
      <c r="S571" s="575" t="s">
        <v>1132</v>
      </c>
      <c r="AA571" s="1331"/>
    </row>
    <row r="572" spans="6:27" ht="10.5" customHeight="1">
      <c r="F572" s="367"/>
      <c r="G572" s="344"/>
      <c r="H572" s="344"/>
      <c r="I572" s="344"/>
      <c r="J572" s="344"/>
      <c r="K572" s="344"/>
      <c r="L572" s="344"/>
      <c r="M572" s="344"/>
      <c r="N572" s="674" t="s">
        <v>775</v>
      </c>
      <c r="O572" s="321"/>
      <c r="P572" s="185"/>
      <c r="Q572" s="429"/>
      <c r="R572" s="575" t="s">
        <v>1504</v>
      </c>
      <c r="S572" s="575" t="s">
        <v>1725</v>
      </c>
      <c r="AA572" s="1331"/>
    </row>
    <row r="573" spans="6:27" ht="10.5" customHeight="1">
      <c r="F573" s="367"/>
      <c r="G573" s="344"/>
      <c r="H573" s="344"/>
      <c r="I573" s="344"/>
      <c r="J573" s="344"/>
      <c r="K573" s="344"/>
      <c r="L573" s="344"/>
      <c r="M573" s="344"/>
      <c r="N573" s="674" t="s">
        <v>1064</v>
      </c>
      <c r="O573" s="321"/>
      <c r="P573" s="185"/>
      <c r="Q573" s="429"/>
      <c r="R573" s="575" t="s">
        <v>3006</v>
      </c>
      <c r="S573" s="575" t="s">
        <v>1368</v>
      </c>
      <c r="AA573" s="1331"/>
    </row>
    <row r="574" spans="6:27" ht="10.5" customHeight="1">
      <c r="F574" s="367"/>
      <c r="G574" s="344"/>
      <c r="H574" s="344"/>
      <c r="I574" s="344"/>
      <c r="J574" s="344"/>
      <c r="K574" s="344"/>
      <c r="L574" s="344"/>
      <c r="M574" s="344"/>
      <c r="N574" s="674" t="s">
        <v>1066</v>
      </c>
      <c r="O574" s="321"/>
      <c r="P574" s="185"/>
      <c r="Q574" s="429"/>
      <c r="R574" s="575" t="s">
        <v>1507</v>
      </c>
      <c r="S574" s="575" t="s">
        <v>683</v>
      </c>
      <c r="AA574" s="1331"/>
    </row>
    <row r="575" spans="6:27" ht="10.5" customHeight="1">
      <c r="F575" s="367"/>
      <c r="G575" s="344"/>
      <c r="H575" s="344"/>
      <c r="I575" s="344"/>
      <c r="J575" s="344"/>
      <c r="K575" s="344"/>
      <c r="L575" s="344"/>
      <c r="M575" s="344"/>
      <c r="N575" s="674" t="s">
        <v>1882</v>
      </c>
      <c r="O575" s="321"/>
      <c r="P575" s="185"/>
      <c r="Q575" s="429"/>
      <c r="R575" s="676" t="s">
        <v>3007</v>
      </c>
      <c r="S575" s="676" t="s">
        <v>123</v>
      </c>
      <c r="AA575" s="1331"/>
    </row>
    <row r="576" spans="6:27" ht="10.5" customHeight="1">
      <c r="F576" s="367"/>
      <c r="G576" s="344"/>
      <c r="H576" s="344"/>
      <c r="I576" s="344"/>
      <c r="J576" s="344"/>
      <c r="K576" s="344"/>
      <c r="L576" s="344"/>
      <c r="M576" s="344"/>
      <c r="N576" s="674" t="s">
        <v>1884</v>
      </c>
      <c r="O576" s="321"/>
      <c r="P576" s="185"/>
      <c r="Q576" s="429"/>
      <c r="R576" s="575" t="s">
        <v>1639</v>
      </c>
      <c r="S576" s="575" t="s">
        <v>1843</v>
      </c>
      <c r="AA576" s="1332"/>
    </row>
    <row r="577" spans="6:27" ht="10.5" customHeight="1">
      <c r="F577" s="367"/>
      <c r="G577" s="344"/>
      <c r="H577" s="344"/>
      <c r="I577" s="344"/>
      <c r="J577" s="344"/>
      <c r="K577" s="344"/>
      <c r="L577" s="344"/>
      <c r="M577" s="344"/>
      <c r="N577" s="674" t="s">
        <v>1885</v>
      </c>
      <c r="O577" s="321"/>
      <c r="P577" s="185"/>
      <c r="Q577" s="429"/>
      <c r="R577" s="575" t="s">
        <v>2198</v>
      </c>
      <c r="S577" s="575" t="s">
        <v>1692</v>
      </c>
      <c r="AA577" s="1331"/>
    </row>
    <row r="578" spans="6:27" ht="10.5" customHeight="1">
      <c r="F578" s="367"/>
      <c r="G578" s="344"/>
      <c r="H578" s="344"/>
      <c r="I578" s="344"/>
      <c r="J578" s="344"/>
      <c r="K578" s="344"/>
      <c r="L578" s="344"/>
      <c r="M578" s="344"/>
      <c r="N578" s="674" t="s">
        <v>1176</v>
      </c>
      <c r="O578" s="321"/>
      <c r="P578" s="185"/>
      <c r="Q578" s="429"/>
      <c r="R578" s="676" t="s">
        <v>2200</v>
      </c>
      <c r="S578" s="676" t="s">
        <v>1374</v>
      </c>
      <c r="AA578" s="1331"/>
    </row>
    <row r="579" spans="6:27" ht="10.5" customHeight="1">
      <c r="F579" s="367"/>
      <c r="G579" s="344"/>
      <c r="H579" s="344"/>
      <c r="I579" s="344"/>
      <c r="J579" s="344"/>
      <c r="K579" s="344"/>
      <c r="L579" s="344"/>
      <c r="M579" s="344"/>
      <c r="N579" s="674" t="s">
        <v>415</v>
      </c>
      <c r="O579" s="321"/>
      <c r="P579" s="185"/>
      <c r="Q579" s="429"/>
      <c r="R579" s="575" t="s">
        <v>1494</v>
      </c>
      <c r="S579" s="575" t="s">
        <v>336</v>
      </c>
      <c r="AA579" s="1332"/>
    </row>
    <row r="580" spans="6:27" ht="10.5" customHeight="1">
      <c r="F580" s="367"/>
      <c r="G580" s="344"/>
      <c r="H580" s="344"/>
      <c r="I580" s="344"/>
      <c r="J580" s="344"/>
      <c r="K580" s="344"/>
      <c r="L580" s="344"/>
      <c r="M580" s="344"/>
      <c r="N580" s="674" t="s">
        <v>4</v>
      </c>
      <c r="O580" s="321"/>
      <c r="P580" s="185"/>
      <c r="Q580" s="429"/>
      <c r="R580" s="575" t="s">
        <v>3008</v>
      </c>
      <c r="S580" s="575" t="s">
        <v>343</v>
      </c>
      <c r="AA580" s="1331"/>
    </row>
    <row r="581" spans="6:27" ht="10.5" customHeight="1">
      <c r="F581" s="367"/>
      <c r="G581" s="344"/>
      <c r="H581" s="344"/>
      <c r="I581" s="344"/>
      <c r="J581" s="344"/>
      <c r="K581" s="344"/>
      <c r="L581" s="344"/>
      <c r="M581" s="344"/>
      <c r="N581" s="674" t="s">
        <v>6</v>
      </c>
      <c r="O581" s="321"/>
      <c r="P581" s="185"/>
      <c r="Q581" s="429"/>
      <c r="R581" s="575" t="s">
        <v>1496</v>
      </c>
      <c r="S581" s="575" t="s">
        <v>333</v>
      </c>
      <c r="AA581" s="1331"/>
    </row>
    <row r="582" spans="6:27" ht="10.5" customHeight="1">
      <c r="F582" s="367"/>
      <c r="G582" s="344"/>
      <c r="H582" s="344"/>
      <c r="I582" s="344"/>
      <c r="J582" s="344"/>
      <c r="K582" s="344"/>
      <c r="L582" s="344"/>
      <c r="M582" s="344"/>
      <c r="N582" s="674" t="s">
        <v>8</v>
      </c>
      <c r="O582" s="321"/>
      <c r="P582" s="185"/>
      <c r="Q582" s="429"/>
      <c r="R582" s="676" t="s">
        <v>1102</v>
      </c>
      <c r="S582" s="676" t="s">
        <v>1727</v>
      </c>
      <c r="AA582" s="1331"/>
    </row>
    <row r="583" spans="6:27" ht="10.5" customHeight="1">
      <c r="F583" s="367"/>
      <c r="G583" s="344"/>
      <c r="H583" s="344"/>
      <c r="I583" s="344"/>
      <c r="J583" s="344"/>
      <c r="K583" s="344"/>
      <c r="L583" s="344"/>
      <c r="M583" s="344"/>
      <c r="N583" s="674" t="s">
        <v>10</v>
      </c>
      <c r="O583" s="321"/>
      <c r="P583" s="185"/>
      <c r="Q583" s="429"/>
      <c r="R583" s="676" t="s">
        <v>1498</v>
      </c>
      <c r="S583" s="676" t="s">
        <v>652</v>
      </c>
      <c r="AA583" s="1332"/>
    </row>
    <row r="584" spans="6:27" ht="10.5" customHeight="1">
      <c r="F584" s="367"/>
      <c r="G584" s="344"/>
      <c r="H584" s="344"/>
      <c r="I584" s="344"/>
      <c r="J584" s="344"/>
      <c r="K584" s="344"/>
      <c r="L584" s="344"/>
      <c r="M584" s="344"/>
      <c r="N584" s="674" t="s">
        <v>2221</v>
      </c>
      <c r="O584" s="321"/>
      <c r="P584" s="185"/>
      <c r="Q584" s="429"/>
      <c r="R584" s="575" t="s">
        <v>1613</v>
      </c>
      <c r="S584" s="575" t="s">
        <v>328</v>
      </c>
      <c r="AA584" s="1332"/>
    </row>
    <row r="585" spans="6:27" ht="10.5" customHeight="1">
      <c r="F585" s="367"/>
      <c r="G585" s="344"/>
      <c r="H585" s="344"/>
      <c r="I585" s="344"/>
      <c r="J585" s="344"/>
      <c r="K585" s="344"/>
      <c r="L585" s="344"/>
      <c r="M585" s="344"/>
      <c r="N585" s="674" t="s">
        <v>2223</v>
      </c>
      <c r="O585" s="321"/>
      <c r="P585" s="185"/>
      <c r="Q585" s="429"/>
      <c r="R585" s="575" t="s">
        <v>2130</v>
      </c>
      <c r="S585" s="575" t="s">
        <v>987</v>
      </c>
      <c r="AA585" s="1331"/>
    </row>
    <row r="586" spans="6:27" ht="10.5" customHeight="1">
      <c r="F586" s="367"/>
      <c r="G586" s="344"/>
      <c r="H586" s="344"/>
      <c r="I586" s="344"/>
      <c r="J586" s="344"/>
      <c r="K586" s="344"/>
      <c r="L586" s="344"/>
      <c r="M586" s="344"/>
      <c r="N586" s="674" t="s">
        <v>2225</v>
      </c>
      <c r="O586" s="321"/>
      <c r="P586" s="185"/>
      <c r="Q586" s="429"/>
      <c r="R586" s="575" t="s">
        <v>1944</v>
      </c>
      <c r="S586" s="575" t="s">
        <v>2025</v>
      </c>
      <c r="AA586" s="1331"/>
    </row>
    <row r="587" spans="6:27" ht="10.5" customHeight="1">
      <c r="F587" s="367"/>
      <c r="G587" s="344"/>
      <c r="H587" s="344"/>
      <c r="I587" s="344"/>
      <c r="J587" s="344"/>
      <c r="K587" s="344"/>
      <c r="L587" s="344"/>
      <c r="M587" s="344"/>
      <c r="N587" s="674" t="s">
        <v>2227</v>
      </c>
      <c r="O587" s="321"/>
      <c r="P587" s="185"/>
      <c r="Q587" s="429"/>
      <c r="R587" s="575" t="s">
        <v>290</v>
      </c>
      <c r="S587" s="575" t="s">
        <v>2025</v>
      </c>
      <c r="AA587" s="1331"/>
    </row>
    <row r="588" spans="6:27" ht="10.5" customHeight="1">
      <c r="F588" s="367"/>
      <c r="G588" s="344"/>
      <c r="H588" s="344"/>
      <c r="I588" s="344"/>
      <c r="J588" s="344"/>
      <c r="K588" s="344"/>
      <c r="L588" s="344"/>
      <c r="M588" s="344"/>
      <c r="N588" s="674" t="s">
        <v>2229</v>
      </c>
      <c r="O588" s="321"/>
      <c r="P588" s="185"/>
      <c r="Q588" s="429"/>
      <c r="R588" s="575" t="s">
        <v>1749</v>
      </c>
      <c r="S588" s="575" t="s">
        <v>2256</v>
      </c>
      <c r="AA588" s="1331"/>
    </row>
    <row r="589" spans="6:27" ht="10.5" customHeight="1">
      <c r="F589" s="367"/>
      <c r="G589" s="344"/>
      <c r="H589" s="344"/>
      <c r="I589" s="344"/>
      <c r="J589" s="344"/>
      <c r="K589" s="344"/>
      <c r="L589" s="344"/>
      <c r="M589" s="344"/>
      <c r="N589" s="674" t="s">
        <v>90</v>
      </c>
      <c r="O589" s="321"/>
      <c r="P589" s="185"/>
      <c r="Q589" s="429"/>
      <c r="R589" s="575" t="s">
        <v>274</v>
      </c>
      <c r="S589" s="575" t="s">
        <v>693</v>
      </c>
      <c r="AA589" s="1331"/>
    </row>
    <row r="590" spans="6:27" ht="10.5" customHeight="1">
      <c r="F590" s="367"/>
      <c r="G590" s="344"/>
      <c r="H590" s="344"/>
      <c r="I590" s="344"/>
      <c r="J590" s="344"/>
      <c r="K590" s="344"/>
      <c r="L590" s="344"/>
      <c r="M590" s="344"/>
      <c r="N590" s="674" t="s">
        <v>2093</v>
      </c>
      <c r="O590" s="321"/>
      <c r="P590" s="185"/>
      <c r="Q590" s="429"/>
      <c r="R590" s="575" t="s">
        <v>1226</v>
      </c>
      <c r="S590" s="575" t="s">
        <v>164</v>
      </c>
      <c r="AA590" s="1331"/>
    </row>
    <row r="591" spans="6:27" ht="10.5" customHeight="1">
      <c r="F591" s="367"/>
      <c r="G591" s="344"/>
      <c r="H591" s="344"/>
      <c r="I591" s="344"/>
      <c r="J591" s="344"/>
      <c r="K591" s="344"/>
      <c r="L591" s="344"/>
      <c r="M591" s="344"/>
      <c r="N591" s="674" t="s">
        <v>1571</v>
      </c>
      <c r="O591" s="321"/>
      <c r="P591" s="185"/>
      <c r="Q591" s="429"/>
      <c r="R591" s="575" t="s">
        <v>1228</v>
      </c>
      <c r="S591" s="575" t="s">
        <v>164</v>
      </c>
      <c r="AA591" s="1331"/>
    </row>
    <row r="592" spans="6:27" ht="10.5" customHeight="1">
      <c r="F592" s="367"/>
      <c r="G592" s="344"/>
      <c r="H592" s="344"/>
      <c r="I592" s="344"/>
      <c r="J592" s="344"/>
      <c r="K592" s="344"/>
      <c r="L592" s="344"/>
      <c r="M592" s="344"/>
      <c r="N592" s="674" t="s">
        <v>1573</v>
      </c>
      <c r="O592" s="321"/>
      <c r="P592" s="185"/>
      <c r="Q592" s="429"/>
      <c r="R592" s="575" t="s">
        <v>774</v>
      </c>
      <c r="S592" s="575" t="s">
        <v>1376</v>
      </c>
      <c r="AA592" s="1331"/>
    </row>
    <row r="593" spans="6:27" ht="10.5" customHeight="1">
      <c r="F593" s="367"/>
      <c r="G593" s="344"/>
      <c r="H593" s="344"/>
      <c r="I593" s="344"/>
      <c r="J593" s="344"/>
      <c r="K593" s="344"/>
      <c r="L593" s="344"/>
      <c r="M593" s="344"/>
      <c r="N593" s="674" t="s">
        <v>1575</v>
      </c>
      <c r="O593" s="321"/>
      <c r="P593" s="185"/>
      <c r="Q593" s="429"/>
      <c r="R593" s="575" t="s">
        <v>256</v>
      </c>
      <c r="S593" s="575" t="s">
        <v>2677</v>
      </c>
      <c r="AA593" s="1331"/>
    </row>
    <row r="594" spans="6:27" ht="10.5" customHeight="1">
      <c r="F594" s="367"/>
      <c r="G594" s="344"/>
      <c r="H594" s="344"/>
      <c r="I594" s="344"/>
      <c r="J594" s="344"/>
      <c r="K594" s="344"/>
      <c r="L594" s="344"/>
      <c r="M594" s="344"/>
      <c r="N594" s="674" t="s">
        <v>64</v>
      </c>
      <c r="O594" s="321"/>
      <c r="P594" s="185"/>
      <c r="Q594" s="429"/>
      <c r="R594" s="575" t="s">
        <v>1065</v>
      </c>
      <c r="S594" s="575" t="s">
        <v>2486</v>
      </c>
      <c r="AA594" s="1331"/>
    </row>
    <row r="595" spans="6:27" ht="10.5" customHeight="1">
      <c r="F595" s="367"/>
      <c r="G595" s="344"/>
      <c r="H595" s="344"/>
      <c r="I595" s="344"/>
      <c r="J595" s="344"/>
      <c r="K595" s="344"/>
      <c r="L595" s="344"/>
      <c r="M595" s="344"/>
      <c r="N595" s="674" t="s">
        <v>66</v>
      </c>
      <c r="O595" s="321"/>
      <c r="P595" s="185"/>
      <c r="Q595" s="429"/>
      <c r="R595" s="575" t="s">
        <v>1816</v>
      </c>
      <c r="S595" s="575" t="s">
        <v>2572</v>
      </c>
      <c r="AA595" s="1331"/>
    </row>
    <row r="596" spans="6:27" ht="10.5" customHeight="1">
      <c r="F596" s="367"/>
      <c r="G596" s="344"/>
      <c r="H596" s="344"/>
      <c r="I596" s="344"/>
      <c r="J596" s="344"/>
      <c r="K596" s="344"/>
      <c r="L596" s="344"/>
      <c r="M596" s="344"/>
      <c r="N596" s="674" t="s">
        <v>68</v>
      </c>
      <c r="O596" s="321"/>
      <c r="P596" s="185"/>
      <c r="Q596" s="429"/>
      <c r="R596" s="575" t="s">
        <v>1883</v>
      </c>
      <c r="S596" s="575" t="s">
        <v>112</v>
      </c>
      <c r="AA596" s="1331"/>
    </row>
    <row r="597" spans="6:27" ht="10.5" customHeight="1">
      <c r="F597" s="367"/>
      <c r="G597" s="344"/>
      <c r="H597" s="344"/>
      <c r="I597" s="344"/>
      <c r="J597" s="344"/>
      <c r="K597" s="344"/>
      <c r="L597" s="344"/>
      <c r="M597" s="344"/>
      <c r="N597" s="674" t="s">
        <v>70</v>
      </c>
      <c r="O597" s="321"/>
      <c r="P597" s="185"/>
      <c r="Q597" s="429"/>
      <c r="R597" s="575" t="s">
        <v>1137</v>
      </c>
      <c r="S597" s="575" t="s">
        <v>761</v>
      </c>
      <c r="AA597" s="1331"/>
    </row>
    <row r="598" spans="6:27" ht="10.5" customHeight="1">
      <c r="F598" s="367"/>
      <c r="G598" s="344"/>
      <c r="H598" s="344"/>
      <c r="I598" s="344"/>
      <c r="J598" s="344"/>
      <c r="K598" s="344"/>
      <c r="L598" s="344"/>
      <c r="M598" s="344"/>
      <c r="N598" s="674" t="s">
        <v>72</v>
      </c>
      <c r="O598" s="321"/>
      <c r="P598" s="185"/>
      <c r="Q598" s="429"/>
      <c r="R598" s="575" t="s">
        <v>1103</v>
      </c>
      <c r="S598" s="575" t="s">
        <v>989</v>
      </c>
      <c r="AA598" s="1331"/>
    </row>
    <row r="599" spans="6:27" ht="10.5" customHeight="1">
      <c r="F599" s="367"/>
      <c r="G599" s="344"/>
      <c r="H599" s="344"/>
      <c r="I599" s="344"/>
      <c r="J599" s="344"/>
      <c r="K599" s="344"/>
      <c r="L599" s="344"/>
      <c r="M599" s="344"/>
      <c r="N599" s="674" t="s">
        <v>807</v>
      </c>
      <c r="O599" s="321"/>
      <c r="P599" s="185"/>
      <c r="Q599" s="429"/>
      <c r="R599" s="575" t="s">
        <v>1141</v>
      </c>
      <c r="S599" s="575" t="s">
        <v>1373</v>
      </c>
      <c r="AA599" s="1331"/>
    </row>
    <row r="600" spans="6:27" ht="10.5" customHeight="1">
      <c r="F600" s="367"/>
      <c r="G600" s="344"/>
      <c r="H600" s="344"/>
      <c r="I600" s="344"/>
      <c r="J600" s="344"/>
      <c r="K600" s="344"/>
      <c r="L600" s="344"/>
      <c r="M600" s="344"/>
      <c r="N600" s="674" t="s">
        <v>757</v>
      </c>
      <c r="O600" s="321"/>
      <c r="P600" s="185"/>
      <c r="Q600" s="429"/>
      <c r="R600" s="575" t="s">
        <v>416</v>
      </c>
      <c r="S600" s="575" t="s">
        <v>693</v>
      </c>
      <c r="AA600" s="1331"/>
    </row>
    <row r="601" spans="6:27" ht="10.5" customHeight="1">
      <c r="F601" s="367"/>
      <c r="G601" s="344"/>
      <c r="H601" s="344"/>
      <c r="I601" s="344"/>
      <c r="J601" s="344"/>
      <c r="K601" s="344"/>
      <c r="L601" s="344"/>
      <c r="M601" s="344"/>
      <c r="N601" s="674" t="s">
        <v>759</v>
      </c>
      <c r="O601" s="321"/>
      <c r="P601" s="185"/>
      <c r="Q601" s="429"/>
      <c r="R601" s="676" t="s">
        <v>1104</v>
      </c>
      <c r="S601" s="676" t="s">
        <v>124</v>
      </c>
      <c r="AA601" s="1331"/>
    </row>
    <row r="602" spans="6:27" ht="10.5" customHeight="1">
      <c r="F602" s="367"/>
      <c r="G602" s="344"/>
      <c r="H602" s="344"/>
      <c r="I602" s="344"/>
      <c r="J602" s="344"/>
      <c r="K602" s="344"/>
      <c r="L602" s="344"/>
      <c r="M602" s="344"/>
      <c r="N602" s="674" t="s">
        <v>1222</v>
      </c>
      <c r="O602" s="321"/>
      <c r="P602" s="185"/>
      <c r="Q602" s="429"/>
      <c r="R602" s="575" t="s">
        <v>5</v>
      </c>
      <c r="S602" s="575" t="s">
        <v>1366</v>
      </c>
      <c r="AA602" s="1332"/>
    </row>
    <row r="603" spans="6:27" ht="10.5" customHeight="1">
      <c r="F603" s="367"/>
      <c r="G603" s="344"/>
      <c r="H603" s="344"/>
      <c r="I603" s="344"/>
      <c r="J603" s="344"/>
      <c r="K603" s="344"/>
      <c r="L603" s="344"/>
      <c r="M603" s="344"/>
      <c r="N603" s="674" t="s">
        <v>1078</v>
      </c>
      <c r="O603" s="321"/>
      <c r="P603" s="185"/>
      <c r="Q603" s="429"/>
      <c r="R603" s="575" t="s">
        <v>7</v>
      </c>
      <c r="S603" s="575" t="s">
        <v>2482</v>
      </c>
      <c r="AA603" s="1331"/>
    </row>
    <row r="604" spans="6:27" ht="10.5" customHeight="1">
      <c r="F604" s="367"/>
      <c r="G604" s="344"/>
      <c r="H604" s="344"/>
      <c r="I604" s="344"/>
      <c r="J604" s="344"/>
      <c r="K604" s="344"/>
      <c r="L604" s="344"/>
      <c r="M604" s="344"/>
      <c r="N604" s="674" t="s">
        <v>1079</v>
      </c>
      <c r="O604" s="321"/>
      <c r="P604" s="185"/>
      <c r="Q604" s="429"/>
      <c r="R604" s="575" t="s">
        <v>9</v>
      </c>
      <c r="S604" s="575" t="s">
        <v>1991</v>
      </c>
      <c r="AA604" s="1331"/>
    </row>
    <row r="605" spans="6:27" ht="10.5" customHeight="1">
      <c r="F605" s="367"/>
      <c r="G605" s="344"/>
      <c r="H605" s="344"/>
      <c r="I605" s="344"/>
      <c r="J605" s="344"/>
      <c r="K605" s="344"/>
      <c r="L605" s="344"/>
      <c r="M605" s="344"/>
      <c r="N605" s="674" t="s">
        <v>1081</v>
      </c>
      <c r="O605" s="321"/>
      <c r="P605" s="185"/>
      <c r="Q605" s="429"/>
      <c r="R605" s="575" t="s">
        <v>1105</v>
      </c>
      <c r="S605" s="575" t="s">
        <v>652</v>
      </c>
      <c r="AA605" s="1331"/>
    </row>
    <row r="606" spans="6:27" ht="10.5" customHeight="1">
      <c r="F606" s="367"/>
      <c r="G606" s="344"/>
      <c r="H606" s="344"/>
      <c r="I606" s="344"/>
      <c r="J606" s="344"/>
      <c r="K606" s="344"/>
      <c r="L606" s="344"/>
      <c r="M606" s="344"/>
      <c r="N606" s="674" t="s">
        <v>2345</v>
      </c>
      <c r="O606" s="321"/>
      <c r="P606" s="185"/>
      <c r="Q606" s="429"/>
      <c r="R606" s="575" t="s">
        <v>1106</v>
      </c>
      <c r="S606" s="575" t="s">
        <v>329</v>
      </c>
      <c r="AA606" s="1331"/>
    </row>
    <row r="607" spans="6:27" ht="10.5" customHeight="1">
      <c r="F607" s="367"/>
      <c r="G607" s="344"/>
      <c r="H607" s="344"/>
      <c r="I607" s="344"/>
      <c r="J607" s="344"/>
      <c r="K607" s="344"/>
      <c r="L607" s="344"/>
      <c r="M607" s="344"/>
      <c r="N607" s="674" t="s">
        <v>2347</v>
      </c>
      <c r="O607" s="321"/>
      <c r="P607" s="185"/>
      <c r="Q607" s="429"/>
      <c r="R607" s="575" t="s">
        <v>2220</v>
      </c>
      <c r="S607" s="575" t="s">
        <v>1376</v>
      </c>
      <c r="AA607" s="1331"/>
    </row>
    <row r="608" spans="6:27" ht="10.5" customHeight="1">
      <c r="F608" s="367"/>
      <c r="G608" s="344"/>
      <c r="H608" s="344"/>
      <c r="I608" s="344"/>
      <c r="J608" s="344"/>
      <c r="K608" s="344"/>
      <c r="L608" s="344"/>
      <c r="M608" s="344"/>
      <c r="N608" s="674" t="s">
        <v>1835</v>
      </c>
      <c r="O608" s="321"/>
      <c r="P608" s="185"/>
      <c r="Q608" s="429"/>
      <c r="R608" s="575" t="s">
        <v>2222</v>
      </c>
      <c r="S608" s="575" t="s">
        <v>2262</v>
      </c>
      <c r="AA608" s="1331"/>
    </row>
    <row r="609" spans="6:27" ht="10.5" customHeight="1">
      <c r="F609" s="367"/>
      <c r="G609" s="344"/>
      <c r="H609" s="344"/>
      <c r="I609" s="344"/>
      <c r="J609" s="344"/>
      <c r="K609" s="344"/>
      <c r="L609" s="344"/>
      <c r="M609" s="344"/>
      <c r="N609" s="674" t="s">
        <v>2607</v>
      </c>
      <c r="O609" s="321"/>
      <c r="P609" s="185"/>
      <c r="Q609" s="429"/>
      <c r="R609" s="575" t="s">
        <v>2224</v>
      </c>
      <c r="S609" s="575" t="s">
        <v>180</v>
      </c>
      <c r="AA609" s="1331"/>
    </row>
    <row r="610" spans="6:27" ht="10.5" customHeight="1">
      <c r="F610" s="367"/>
      <c r="G610" s="344"/>
      <c r="H610" s="344"/>
      <c r="I610" s="344"/>
      <c r="J610" s="344"/>
      <c r="K610" s="344"/>
      <c r="L610" s="344"/>
      <c r="M610" s="344"/>
      <c r="N610" s="674" t="s">
        <v>2241</v>
      </c>
      <c r="O610" s="321"/>
      <c r="P610" s="185"/>
      <c r="Q610" s="429"/>
      <c r="R610" s="575" t="s">
        <v>2226</v>
      </c>
      <c r="S610" s="575" t="s">
        <v>1509</v>
      </c>
      <c r="AA610" s="1331"/>
    </row>
    <row r="611" spans="6:27" ht="10.5" customHeight="1">
      <c r="F611" s="367"/>
      <c r="G611" s="344"/>
      <c r="H611" s="344"/>
      <c r="I611" s="344"/>
      <c r="J611" s="344"/>
      <c r="K611" s="344"/>
      <c r="L611" s="344"/>
      <c r="M611" s="344"/>
      <c r="N611" s="674" t="s">
        <v>1670</v>
      </c>
      <c r="O611" s="321"/>
      <c r="P611" s="185"/>
      <c r="Q611" s="429"/>
      <c r="R611" s="676" t="s">
        <v>2228</v>
      </c>
      <c r="S611" s="676" t="s">
        <v>693</v>
      </c>
      <c r="AA611" s="1331"/>
    </row>
    <row r="612" spans="6:27" ht="10.5" customHeight="1">
      <c r="F612" s="367"/>
      <c r="G612" s="344"/>
      <c r="H612" s="344"/>
      <c r="I612" s="344"/>
      <c r="J612" s="344"/>
      <c r="K612" s="344"/>
      <c r="L612" s="344"/>
      <c r="M612" s="344"/>
      <c r="N612" s="674" t="s">
        <v>1671</v>
      </c>
      <c r="O612" s="321"/>
      <c r="P612" s="185"/>
      <c r="Q612" s="429"/>
      <c r="R612" s="575" t="s">
        <v>91</v>
      </c>
      <c r="S612" s="575" t="s">
        <v>123</v>
      </c>
      <c r="AA612" s="1332"/>
    </row>
    <row r="613" spans="6:27" ht="10.5" customHeight="1">
      <c r="F613" s="367"/>
      <c r="G613" s="344"/>
      <c r="H613" s="344"/>
      <c r="I613" s="344"/>
      <c r="J613" s="344"/>
      <c r="K613" s="344"/>
      <c r="L613" s="344"/>
      <c r="M613" s="344"/>
      <c r="N613" s="674" t="s">
        <v>1673</v>
      </c>
      <c r="O613" s="321"/>
      <c r="P613" s="185"/>
      <c r="Q613" s="429"/>
      <c r="R613" s="575" t="s">
        <v>1570</v>
      </c>
      <c r="S613" s="575" t="s">
        <v>2264</v>
      </c>
      <c r="AA613" s="1331"/>
    </row>
    <row r="614" spans="6:27" ht="10.5" customHeight="1">
      <c r="F614" s="367"/>
      <c r="G614" s="344"/>
      <c r="H614" s="344"/>
      <c r="I614" s="344"/>
      <c r="J614" s="344"/>
      <c r="K614" s="344"/>
      <c r="L614" s="344"/>
      <c r="M614" s="344"/>
      <c r="N614" s="674" t="s">
        <v>1674</v>
      </c>
      <c r="O614" s="321"/>
      <c r="P614" s="185"/>
      <c r="Q614" s="429"/>
      <c r="R614" s="676" t="s">
        <v>1572</v>
      </c>
      <c r="S614" s="676" t="s">
        <v>205</v>
      </c>
      <c r="AA614" s="1331"/>
    </row>
    <row r="615" spans="6:27" ht="10.5" customHeight="1">
      <c r="F615" s="367"/>
      <c r="G615" s="344"/>
      <c r="H615" s="344"/>
      <c r="I615" s="344"/>
      <c r="J615" s="344"/>
      <c r="K615" s="344"/>
      <c r="L615" s="344"/>
      <c r="M615" s="344"/>
      <c r="N615" s="674" t="s">
        <v>1676</v>
      </c>
      <c r="O615" s="321"/>
      <c r="P615" s="185"/>
      <c r="Q615" s="429"/>
      <c r="R615" s="575" t="s">
        <v>1574</v>
      </c>
      <c r="S615" s="575" t="s">
        <v>1512</v>
      </c>
      <c r="AA615" s="1332"/>
    </row>
    <row r="616" spans="6:27" ht="10.5" customHeight="1">
      <c r="F616" s="367"/>
      <c r="G616" s="344"/>
      <c r="H616" s="344"/>
      <c r="I616" s="344"/>
      <c r="J616" s="344"/>
      <c r="K616" s="344"/>
      <c r="L616" s="344"/>
      <c r="M616" s="344"/>
      <c r="N616" s="674" t="s">
        <v>1677</v>
      </c>
      <c r="O616" s="321"/>
      <c r="P616" s="185"/>
      <c r="Q616" s="429"/>
      <c r="R616" s="575" t="s">
        <v>1576</v>
      </c>
      <c r="S616" s="575" t="s">
        <v>2254</v>
      </c>
      <c r="AA616" s="1331"/>
    </row>
    <row r="617" spans="6:27" ht="10.5" customHeight="1">
      <c r="F617" s="367"/>
      <c r="G617" s="344"/>
      <c r="H617" s="344"/>
      <c r="I617" s="344"/>
      <c r="J617" s="344"/>
      <c r="K617" s="344"/>
      <c r="L617" s="344"/>
      <c r="M617" s="344"/>
      <c r="N617" s="674" t="s">
        <v>1679</v>
      </c>
      <c r="O617" s="321"/>
      <c r="P617" s="185"/>
      <c r="Q617" s="429"/>
      <c r="R617" s="575" t="s">
        <v>65</v>
      </c>
      <c r="S617" s="575" t="s">
        <v>1374</v>
      </c>
      <c r="AA617" s="1331"/>
    </row>
    <row r="618" spans="6:27" ht="10.5" customHeight="1">
      <c r="F618" s="367"/>
      <c r="G618" s="344"/>
      <c r="H618" s="344"/>
      <c r="I618" s="344"/>
      <c r="J618" s="344"/>
      <c r="K618" s="344"/>
      <c r="L618" s="344"/>
      <c r="M618" s="344"/>
      <c r="N618" s="674" t="s">
        <v>2502</v>
      </c>
      <c r="O618" s="321"/>
      <c r="P618" s="185"/>
      <c r="Q618" s="429"/>
      <c r="R618" s="575" t="s">
        <v>67</v>
      </c>
      <c r="S618" s="575" t="s">
        <v>108</v>
      </c>
      <c r="AA618" s="1331"/>
    </row>
    <row r="619" spans="6:27" ht="10.5" customHeight="1">
      <c r="F619" s="367"/>
      <c r="G619" s="344"/>
      <c r="H619" s="344"/>
      <c r="I619" s="344"/>
      <c r="J619" s="344"/>
      <c r="K619" s="344"/>
      <c r="L619" s="344"/>
      <c r="M619" s="344"/>
      <c r="N619" s="674" t="s">
        <v>172</v>
      </c>
      <c r="O619" s="321"/>
      <c r="P619" s="185"/>
      <c r="Q619" s="429"/>
      <c r="R619" s="575" t="s">
        <v>69</v>
      </c>
      <c r="S619" s="575" t="s">
        <v>910</v>
      </c>
      <c r="AA619" s="1331"/>
    </row>
    <row r="620" spans="6:27" ht="10.5" customHeight="1">
      <c r="F620" s="367"/>
      <c r="G620" s="344"/>
      <c r="H620" s="344"/>
      <c r="I620" s="344"/>
      <c r="J620" s="344"/>
      <c r="K620" s="344"/>
      <c r="L620" s="344"/>
      <c r="M620" s="344"/>
      <c r="N620" s="674" t="s">
        <v>1024</v>
      </c>
      <c r="O620" s="321"/>
      <c r="P620" s="185"/>
      <c r="Q620" s="429"/>
      <c r="R620" s="575" t="s">
        <v>71</v>
      </c>
      <c r="S620" s="575" t="s">
        <v>1577</v>
      </c>
      <c r="AA620" s="1331"/>
    </row>
    <row r="621" spans="6:27" ht="10.5" customHeight="1">
      <c r="F621" s="367"/>
      <c r="G621" s="344"/>
      <c r="H621" s="344"/>
      <c r="I621" s="344"/>
      <c r="J621" s="344"/>
      <c r="K621" s="344"/>
      <c r="L621" s="344"/>
      <c r="M621" s="344"/>
      <c r="N621" s="674" t="s">
        <v>1025</v>
      </c>
      <c r="O621" s="321"/>
      <c r="P621" s="185"/>
      <c r="Q621" s="429"/>
      <c r="R621" s="575" t="s">
        <v>808</v>
      </c>
      <c r="S621" s="575" t="s">
        <v>2569</v>
      </c>
      <c r="AA621" s="1331"/>
    </row>
    <row r="622" spans="6:27" ht="10.5" customHeight="1">
      <c r="F622" s="367"/>
      <c r="G622" s="344"/>
      <c r="H622" s="344"/>
      <c r="I622" s="344"/>
      <c r="J622" s="344"/>
      <c r="K622" s="344"/>
      <c r="L622" s="344"/>
      <c r="M622" s="344"/>
      <c r="N622" s="674" t="s">
        <v>1027</v>
      </c>
      <c r="O622" s="321"/>
      <c r="P622" s="185"/>
      <c r="Q622" s="429"/>
      <c r="R622" s="676" t="s">
        <v>758</v>
      </c>
      <c r="S622" s="676" t="s">
        <v>2575</v>
      </c>
      <c r="AA622" s="1331"/>
    </row>
    <row r="623" spans="6:27" ht="10.5" customHeight="1">
      <c r="F623" s="367"/>
      <c r="G623" s="344"/>
      <c r="H623" s="344"/>
      <c r="I623" s="344"/>
      <c r="J623" s="344"/>
      <c r="K623" s="344"/>
      <c r="L623" s="344"/>
      <c r="M623" s="344"/>
      <c r="N623" s="674" t="s">
        <v>2465</v>
      </c>
      <c r="O623" s="321"/>
      <c r="P623" s="185"/>
      <c r="Q623" s="429"/>
      <c r="R623" s="575" t="s">
        <v>974</v>
      </c>
      <c r="S623" s="575" t="s">
        <v>2620</v>
      </c>
      <c r="AA623" s="1332"/>
    </row>
    <row r="624" spans="6:27" ht="10.5" customHeight="1">
      <c r="F624" s="367"/>
      <c r="G624" s="344"/>
      <c r="H624" s="344"/>
      <c r="I624" s="344"/>
      <c r="J624" s="344"/>
      <c r="K624" s="344"/>
      <c r="L624" s="344"/>
      <c r="M624" s="344"/>
      <c r="N624" s="674" t="s">
        <v>2613</v>
      </c>
      <c r="O624" s="321"/>
      <c r="P624" s="185"/>
      <c r="Q624" s="429"/>
      <c r="R624" s="575" t="s">
        <v>1107</v>
      </c>
      <c r="S624" s="575" t="s">
        <v>333</v>
      </c>
      <c r="AA624" s="1331"/>
    </row>
    <row r="625" spans="6:27" ht="10.5" customHeight="1">
      <c r="F625" s="367"/>
      <c r="G625" s="344"/>
      <c r="H625" s="344"/>
      <c r="I625" s="344"/>
      <c r="J625" s="344"/>
      <c r="K625" s="344"/>
      <c r="L625" s="344"/>
      <c r="M625" s="344"/>
      <c r="N625" s="674" t="s">
        <v>2077</v>
      </c>
      <c r="O625" s="321"/>
      <c r="P625" s="185"/>
      <c r="Q625" s="429"/>
      <c r="R625" s="575" t="s">
        <v>1223</v>
      </c>
      <c r="S625" s="575" t="s">
        <v>2025</v>
      </c>
      <c r="AA625" s="1331"/>
    </row>
    <row r="626" spans="6:27" ht="10.5" customHeight="1">
      <c r="F626" s="367"/>
      <c r="G626" s="344"/>
      <c r="H626" s="344"/>
      <c r="I626" s="344"/>
      <c r="J626" s="344"/>
      <c r="K626" s="344"/>
      <c r="L626" s="344"/>
      <c r="M626" s="344"/>
      <c r="N626" s="674" t="s">
        <v>977</v>
      </c>
      <c r="O626" s="321"/>
      <c r="P626" s="185"/>
      <c r="Q626" s="429"/>
      <c r="R626" s="575" t="s">
        <v>3009</v>
      </c>
      <c r="S626" s="575" t="s">
        <v>1845</v>
      </c>
      <c r="AA626" s="1331"/>
    </row>
    <row r="627" spans="6:27" ht="10.5" customHeight="1">
      <c r="F627" s="367"/>
      <c r="G627" s="344"/>
      <c r="H627" s="344"/>
      <c r="I627" s="344"/>
      <c r="J627" s="344"/>
      <c r="K627" s="344"/>
      <c r="L627" s="344"/>
      <c r="M627" s="344"/>
      <c r="N627" s="674" t="s">
        <v>802</v>
      </c>
      <c r="O627" s="321"/>
      <c r="P627" s="185"/>
      <c r="Q627" s="429"/>
      <c r="R627" s="676" t="s">
        <v>1080</v>
      </c>
      <c r="S627" s="676" t="s">
        <v>1135</v>
      </c>
      <c r="AA627" s="1331"/>
    </row>
    <row r="628" spans="6:27" ht="10.5" customHeight="1">
      <c r="F628" s="367"/>
      <c r="G628" s="344"/>
      <c r="H628" s="344"/>
      <c r="I628" s="344"/>
      <c r="J628" s="344"/>
      <c r="K628" s="344"/>
      <c r="L628" s="344"/>
      <c r="M628" s="344"/>
      <c r="N628" s="674" t="s">
        <v>1524</v>
      </c>
      <c r="O628" s="321"/>
      <c r="P628" s="185"/>
      <c r="Q628" s="429"/>
      <c r="R628" s="575" t="s">
        <v>2346</v>
      </c>
      <c r="S628" s="575" t="s">
        <v>2247</v>
      </c>
      <c r="AA628" s="1332"/>
    </row>
    <row r="629" spans="6:27" ht="10.5" customHeight="1">
      <c r="F629" s="367"/>
      <c r="G629" s="344"/>
      <c r="H629" s="344"/>
      <c r="I629" s="344"/>
      <c r="J629" s="344"/>
      <c r="K629" s="344"/>
      <c r="L629" s="344"/>
      <c r="M629" s="344"/>
      <c r="N629" s="674" t="s">
        <v>1526</v>
      </c>
      <c r="O629" s="321"/>
      <c r="P629" s="185"/>
      <c r="Q629" s="429"/>
      <c r="R629" s="575" t="s">
        <v>2348</v>
      </c>
      <c r="S629" s="575" t="s">
        <v>684</v>
      </c>
      <c r="AA629" s="1331"/>
    </row>
    <row r="630" spans="6:27" ht="10.5" customHeight="1">
      <c r="F630" s="367"/>
      <c r="G630" s="344"/>
      <c r="H630" s="344"/>
      <c r="I630" s="344"/>
      <c r="J630" s="344"/>
      <c r="K630" s="344"/>
      <c r="L630" s="344"/>
      <c r="M630" s="344"/>
      <c r="N630" s="674" t="s">
        <v>1528</v>
      </c>
      <c r="O630" s="321"/>
      <c r="P630" s="185"/>
      <c r="Q630" s="429"/>
      <c r="R630" s="575" t="s">
        <v>1836</v>
      </c>
      <c r="S630" s="575" t="s">
        <v>763</v>
      </c>
      <c r="AA630" s="1331"/>
    </row>
    <row r="631" spans="6:27" ht="10.5" customHeight="1">
      <c r="F631" s="367"/>
      <c r="G631" s="344"/>
      <c r="H631" s="344"/>
      <c r="I631" s="344"/>
      <c r="J631" s="344"/>
      <c r="K631" s="344"/>
      <c r="L631" s="344"/>
      <c r="M631" s="344"/>
      <c r="N631" s="674" t="s">
        <v>1354</v>
      </c>
      <c r="O631" s="321"/>
      <c r="P631" s="185"/>
      <c r="Q631" s="429"/>
      <c r="R631" s="575" t="s">
        <v>2608</v>
      </c>
      <c r="S631" s="575" t="s">
        <v>2083</v>
      </c>
      <c r="AA631" s="1331"/>
    </row>
    <row r="632" spans="6:27" ht="10.5" customHeight="1">
      <c r="F632" s="367"/>
      <c r="G632" s="344"/>
      <c r="H632" s="344"/>
      <c r="I632" s="344"/>
      <c r="J632" s="344"/>
      <c r="K632" s="344"/>
      <c r="L632" s="344"/>
      <c r="M632" s="344"/>
      <c r="N632" s="674" t="s">
        <v>1356</v>
      </c>
      <c r="O632" s="321"/>
      <c r="P632" s="185"/>
      <c r="Q632" s="429"/>
      <c r="R632" s="575" t="s">
        <v>2242</v>
      </c>
      <c r="S632" s="575" t="s">
        <v>1252</v>
      </c>
      <c r="AA632" s="1331"/>
    </row>
    <row r="633" spans="6:27" ht="10.5" customHeight="1">
      <c r="F633" s="367"/>
      <c r="G633" s="344"/>
      <c r="H633" s="344"/>
      <c r="I633" s="344"/>
      <c r="J633" s="344"/>
      <c r="K633" s="344"/>
      <c r="L633" s="344"/>
      <c r="M633" s="344"/>
      <c r="N633" s="674" t="s">
        <v>2067</v>
      </c>
      <c r="O633" s="321"/>
      <c r="P633" s="185"/>
      <c r="Q633" s="429"/>
      <c r="R633" s="676" t="s">
        <v>1672</v>
      </c>
      <c r="S633" s="676" t="s">
        <v>686</v>
      </c>
      <c r="AA633" s="1331"/>
    </row>
    <row r="634" spans="6:27" ht="10.5" customHeight="1">
      <c r="F634" s="367"/>
      <c r="G634" s="344"/>
      <c r="H634" s="344"/>
      <c r="I634" s="344"/>
      <c r="J634" s="344"/>
      <c r="K634" s="344"/>
      <c r="L634" s="344"/>
      <c r="M634" s="344"/>
      <c r="N634" s="674" t="s">
        <v>764</v>
      </c>
      <c r="O634" s="321"/>
      <c r="P634" s="185"/>
      <c r="Q634" s="429"/>
      <c r="R634" s="575" t="s">
        <v>864</v>
      </c>
      <c r="S634" s="575" t="s">
        <v>1362</v>
      </c>
      <c r="AA634" s="1332"/>
    </row>
    <row r="635" spans="6:27" ht="10.5" customHeight="1">
      <c r="F635" s="367"/>
      <c r="G635" s="344"/>
      <c r="H635" s="344"/>
      <c r="I635" s="344"/>
      <c r="J635" s="344"/>
      <c r="K635" s="344"/>
      <c r="L635" s="344"/>
      <c r="M635" s="344"/>
      <c r="N635" s="674" t="s">
        <v>1313</v>
      </c>
      <c r="O635" s="321"/>
      <c r="P635" s="185"/>
      <c r="Q635" s="429"/>
      <c r="R635" s="575" t="s">
        <v>1675</v>
      </c>
      <c r="S635" s="575" t="s">
        <v>2672</v>
      </c>
      <c r="AA635" s="1331"/>
    </row>
    <row r="636" spans="6:27" ht="10.5" customHeight="1">
      <c r="F636" s="367"/>
      <c r="G636" s="344"/>
      <c r="H636" s="344"/>
      <c r="I636" s="344"/>
      <c r="J636" s="344"/>
      <c r="K636" s="344"/>
      <c r="L636" s="344"/>
      <c r="M636" s="344"/>
      <c r="N636" s="674" t="s">
        <v>1956</v>
      </c>
      <c r="O636" s="321"/>
      <c r="P636" s="185"/>
      <c r="Q636" s="429"/>
      <c r="R636" s="575" t="s">
        <v>1678</v>
      </c>
      <c r="S636" s="575" t="s">
        <v>1692</v>
      </c>
      <c r="AA636" s="1331"/>
    </row>
    <row r="637" spans="6:27" ht="10.5" customHeight="1">
      <c r="F637" s="367"/>
      <c r="G637" s="344"/>
      <c r="H637" s="344"/>
      <c r="I637" s="344"/>
      <c r="J637" s="344"/>
      <c r="K637" s="344"/>
      <c r="L637" s="344"/>
      <c r="M637" s="344"/>
      <c r="N637" s="674" t="s">
        <v>1957</v>
      </c>
      <c r="O637" s="321"/>
      <c r="P637" s="185"/>
      <c r="Q637" s="429"/>
      <c r="R637" s="575" t="s">
        <v>1109</v>
      </c>
      <c r="S637" s="575" t="s">
        <v>1577</v>
      </c>
      <c r="AA637" s="1331"/>
    </row>
    <row r="638" spans="6:27" ht="10.5" customHeight="1">
      <c r="F638" s="367"/>
      <c r="G638" s="344"/>
      <c r="H638" s="344"/>
      <c r="I638" s="344"/>
      <c r="J638" s="344"/>
      <c r="K638" s="344"/>
      <c r="L638" s="344"/>
      <c r="M638" s="344"/>
      <c r="N638" s="674" t="s">
        <v>1959</v>
      </c>
      <c r="O638" s="321"/>
      <c r="P638" s="185"/>
      <c r="Q638" s="429"/>
      <c r="R638" s="575" t="s">
        <v>2501</v>
      </c>
      <c r="S638" s="575" t="s">
        <v>108</v>
      </c>
      <c r="AA638" s="1331"/>
    </row>
    <row r="639" spans="6:27" ht="10.5" customHeight="1">
      <c r="F639" s="367"/>
      <c r="G639" s="344"/>
      <c r="H639" s="344"/>
      <c r="I639" s="344"/>
      <c r="J639" s="344"/>
      <c r="K639" s="344"/>
      <c r="L639" s="344"/>
      <c r="M639" s="344"/>
      <c r="N639" s="674" t="s">
        <v>1961</v>
      </c>
      <c r="O639" s="321"/>
      <c r="P639" s="185"/>
      <c r="Q639" s="429"/>
      <c r="R639" s="575" t="s">
        <v>847</v>
      </c>
      <c r="S639" s="575" t="s">
        <v>1252</v>
      </c>
      <c r="AA639" s="1331"/>
    </row>
    <row r="640" spans="6:27" ht="10.5" customHeight="1">
      <c r="F640" s="367"/>
      <c r="G640" s="344"/>
      <c r="H640" s="344"/>
      <c r="I640" s="344"/>
      <c r="J640" s="344"/>
      <c r="K640" s="344"/>
      <c r="L640" s="344"/>
      <c r="M640" s="344"/>
      <c r="N640" s="674" t="s">
        <v>1963</v>
      </c>
      <c r="O640" s="321"/>
      <c r="P640" s="185"/>
      <c r="Q640" s="429"/>
      <c r="R640" s="575" t="s">
        <v>1352</v>
      </c>
      <c r="S640" s="575" t="s">
        <v>1983</v>
      </c>
      <c r="AA640" s="1331"/>
    </row>
    <row r="641" spans="6:27" ht="10.5" customHeight="1">
      <c r="F641" s="367"/>
      <c r="G641" s="344"/>
      <c r="H641" s="344"/>
      <c r="I641" s="344"/>
      <c r="J641" s="344"/>
      <c r="K641" s="344"/>
      <c r="L641" s="344"/>
      <c r="M641" s="344"/>
      <c r="N641" s="674" t="s">
        <v>519</v>
      </c>
      <c r="O641" s="321"/>
      <c r="P641" s="185"/>
      <c r="Q641" s="429"/>
      <c r="R641" s="575" t="s">
        <v>173</v>
      </c>
      <c r="S641" s="575" t="s">
        <v>1378</v>
      </c>
      <c r="AA641" s="1331"/>
    </row>
    <row r="642" spans="6:27" ht="10.5" customHeight="1">
      <c r="F642" s="367"/>
      <c r="G642" s="344"/>
      <c r="H642" s="344"/>
      <c r="I642" s="344"/>
      <c r="J642" s="344"/>
      <c r="K642" s="344"/>
      <c r="L642" s="344"/>
      <c r="M642" s="344"/>
      <c r="N642" s="674" t="s">
        <v>2623</v>
      </c>
      <c r="O642" s="321"/>
      <c r="P642" s="185"/>
      <c r="Q642" s="429"/>
      <c r="R642" s="575" t="s">
        <v>1026</v>
      </c>
      <c r="S642" s="575" t="s">
        <v>1724</v>
      </c>
      <c r="AA642" s="1331"/>
    </row>
    <row r="643" spans="6:27" ht="10.5" customHeight="1">
      <c r="F643" s="367"/>
      <c r="G643" s="344"/>
      <c r="H643" s="344"/>
      <c r="I643" s="344"/>
      <c r="J643" s="344"/>
      <c r="K643" s="344"/>
      <c r="L643" s="344"/>
      <c r="M643" s="344"/>
      <c r="N643" s="674" t="s">
        <v>2625</v>
      </c>
      <c r="O643" s="321"/>
      <c r="P643" s="185"/>
      <c r="Q643" s="429"/>
      <c r="R643" s="575" t="s">
        <v>3010</v>
      </c>
      <c r="S643" s="575" t="s">
        <v>339</v>
      </c>
      <c r="AA643" s="1331"/>
    </row>
    <row r="644" spans="6:27" ht="10.5" customHeight="1">
      <c r="F644" s="367"/>
      <c r="G644" s="344"/>
      <c r="H644" s="344"/>
      <c r="I644" s="344"/>
      <c r="J644" s="344"/>
      <c r="K644" s="344"/>
      <c r="L644" s="344"/>
      <c r="M644" s="344"/>
      <c r="N644" s="674" t="s">
        <v>1196</v>
      </c>
      <c r="O644" s="321"/>
      <c r="P644" s="185"/>
      <c r="Q644" s="429"/>
      <c r="R644" s="676" t="s">
        <v>3011</v>
      </c>
      <c r="S644" s="676" t="s">
        <v>116</v>
      </c>
      <c r="AA644" s="1331"/>
    </row>
    <row r="645" spans="6:27" ht="10.5" customHeight="1">
      <c r="F645" s="367"/>
      <c r="G645" s="344"/>
      <c r="H645" s="344"/>
      <c r="I645" s="344"/>
      <c r="J645" s="344"/>
      <c r="K645" s="344"/>
      <c r="L645" s="344"/>
      <c r="M645" s="344"/>
      <c r="N645" s="674" t="s">
        <v>2603</v>
      </c>
      <c r="O645" s="321"/>
      <c r="P645" s="185"/>
      <c r="Q645" s="429"/>
      <c r="R645" s="575" t="s">
        <v>1375</v>
      </c>
      <c r="S645" s="575" t="s">
        <v>164</v>
      </c>
      <c r="AA645" s="1332"/>
    </row>
    <row r="646" spans="6:27" ht="10.5" customHeight="1">
      <c r="F646" s="367"/>
      <c r="G646" s="344"/>
      <c r="H646" s="344"/>
      <c r="I646" s="344"/>
      <c r="J646" s="344"/>
      <c r="K646" s="344"/>
      <c r="L646" s="344"/>
      <c r="M646" s="344"/>
      <c r="N646" s="674" t="s">
        <v>2605</v>
      </c>
      <c r="O646" s="321"/>
      <c r="P646" s="185"/>
      <c r="Q646" s="429"/>
      <c r="R646" s="575" t="s">
        <v>2614</v>
      </c>
      <c r="S646" s="575" t="s">
        <v>904</v>
      </c>
      <c r="AA646" s="1331"/>
    </row>
    <row r="647" spans="6:27" ht="10.5" customHeight="1">
      <c r="F647" s="367"/>
      <c r="G647" s="344"/>
      <c r="H647" s="344"/>
      <c r="I647" s="344"/>
      <c r="J647" s="344"/>
      <c r="K647" s="344"/>
      <c r="L647" s="344"/>
      <c r="M647" s="344"/>
      <c r="N647" s="674" t="s">
        <v>1588</v>
      </c>
      <c r="O647" s="321"/>
      <c r="P647" s="185"/>
      <c r="Q647" s="429"/>
      <c r="R647" s="575" t="s">
        <v>1110</v>
      </c>
      <c r="S647" s="575" t="s">
        <v>652</v>
      </c>
      <c r="AA647" s="1331"/>
    </row>
    <row r="648" spans="6:27" ht="10.5" customHeight="1">
      <c r="F648" s="367"/>
      <c r="G648" s="344"/>
      <c r="H648" s="344"/>
      <c r="I648" s="344"/>
      <c r="J648" s="344"/>
      <c r="K648" s="344"/>
      <c r="L648" s="344"/>
      <c r="M648" s="344"/>
      <c r="N648" s="674" t="s">
        <v>1589</v>
      </c>
      <c r="O648" s="321"/>
      <c r="P648" s="185"/>
      <c r="Q648" s="429"/>
      <c r="R648" s="575" t="s">
        <v>2247</v>
      </c>
      <c r="S648" s="575" t="s">
        <v>110</v>
      </c>
      <c r="AA648" s="1331"/>
    </row>
    <row r="649" spans="6:27" ht="10.5" customHeight="1">
      <c r="F649" s="367"/>
      <c r="G649" s="344"/>
      <c r="H649" s="344"/>
      <c r="I649" s="344"/>
      <c r="J649" s="344"/>
      <c r="K649" s="344"/>
      <c r="L649" s="344"/>
      <c r="M649" s="344"/>
      <c r="N649" s="674" t="s">
        <v>2178</v>
      </c>
      <c r="O649" s="321"/>
      <c r="P649" s="185"/>
      <c r="Q649" s="429"/>
      <c r="R649" s="575" t="s">
        <v>2882</v>
      </c>
      <c r="S649" s="575" t="s">
        <v>1666</v>
      </c>
      <c r="AA649" s="1331"/>
    </row>
    <row r="650" spans="6:27" ht="10.5" customHeight="1">
      <c r="F650" s="367"/>
      <c r="G650" s="344"/>
      <c r="H650" s="344"/>
      <c r="I650" s="344"/>
      <c r="J650" s="344"/>
      <c r="K650" s="344"/>
      <c r="L650" s="344"/>
      <c r="M650" s="344"/>
      <c r="N650" s="674" t="s">
        <v>2179</v>
      </c>
      <c r="O650" s="321"/>
      <c r="P650" s="185"/>
      <c r="Q650" s="429"/>
      <c r="R650" s="575" t="s">
        <v>1525</v>
      </c>
      <c r="S650" s="575" t="s">
        <v>2619</v>
      </c>
      <c r="AA650" s="1331"/>
    </row>
    <row r="651" spans="6:27" ht="10.5" customHeight="1">
      <c r="F651" s="367"/>
      <c r="G651" s="344"/>
      <c r="H651" s="344"/>
      <c r="I651" s="344"/>
      <c r="J651" s="344"/>
      <c r="K651" s="344"/>
      <c r="L651" s="344"/>
      <c r="M651" s="344"/>
      <c r="N651" s="674" t="s">
        <v>1680</v>
      </c>
      <c r="O651" s="321"/>
      <c r="P651" s="185"/>
      <c r="Q651" s="429"/>
      <c r="R651" s="575" t="s">
        <v>3012</v>
      </c>
      <c r="S651" s="575" t="s">
        <v>2025</v>
      </c>
      <c r="AA651" s="1331"/>
    </row>
    <row r="652" spans="6:27" ht="10.5" customHeight="1">
      <c r="F652" s="367"/>
      <c r="G652" s="344"/>
      <c r="H652" s="344"/>
      <c r="I652" s="344"/>
      <c r="J652" s="344"/>
      <c r="K652" s="344"/>
      <c r="L652" s="344"/>
      <c r="M652" s="344"/>
      <c r="N652" s="674" t="s">
        <v>1682</v>
      </c>
      <c r="O652" s="321"/>
      <c r="P652" s="185"/>
      <c r="Q652" s="429"/>
      <c r="R652" s="575" t="s">
        <v>1527</v>
      </c>
      <c r="S652" s="575" t="s">
        <v>338</v>
      </c>
      <c r="AA652" s="1331"/>
    </row>
    <row r="653" spans="6:27" ht="10.5" customHeight="1">
      <c r="F653" s="367"/>
      <c r="G653" s="344"/>
      <c r="H653" s="344"/>
      <c r="I653" s="344"/>
      <c r="J653" s="344"/>
      <c r="K653" s="344"/>
      <c r="L653" s="344"/>
      <c r="M653" s="344"/>
      <c r="N653" s="674" t="s">
        <v>969</v>
      </c>
      <c r="O653" s="321"/>
      <c r="P653" s="185"/>
      <c r="Q653" s="429"/>
      <c r="R653" s="575" t="s">
        <v>1111</v>
      </c>
      <c r="S653" s="575" t="s">
        <v>684</v>
      </c>
      <c r="AA653" s="1331"/>
    </row>
    <row r="654" spans="6:27" ht="10.5" customHeight="1">
      <c r="F654" s="367"/>
      <c r="G654" s="344"/>
      <c r="H654" s="344"/>
      <c r="I654" s="344"/>
      <c r="J654" s="344"/>
      <c r="K654" s="344"/>
      <c r="L654" s="344"/>
      <c r="M654" s="344"/>
      <c r="N654" s="674" t="s">
        <v>971</v>
      </c>
      <c r="O654" s="321"/>
      <c r="P654" s="185"/>
      <c r="Q654" s="429"/>
      <c r="R654" s="575" t="s">
        <v>1355</v>
      </c>
      <c r="S654" s="575" t="s">
        <v>2260</v>
      </c>
      <c r="AA654" s="1331"/>
    </row>
    <row r="655" spans="6:27" ht="10.5" customHeight="1">
      <c r="F655" s="367"/>
      <c r="G655" s="344"/>
      <c r="H655" s="344"/>
      <c r="I655" s="344"/>
      <c r="J655" s="344"/>
      <c r="K655" s="344"/>
      <c r="L655" s="344"/>
      <c r="M655" s="344"/>
      <c r="N655" s="674" t="s">
        <v>973</v>
      </c>
      <c r="O655" s="321"/>
      <c r="P655" s="185"/>
      <c r="Q655" s="429"/>
      <c r="R655" s="575" t="s">
        <v>1357</v>
      </c>
      <c r="S655" s="575" t="s">
        <v>2619</v>
      </c>
      <c r="AA655" s="1331"/>
    </row>
    <row r="656" spans="6:27" ht="10.5" customHeight="1">
      <c r="F656" s="367"/>
      <c r="G656" s="344"/>
      <c r="H656" s="344"/>
      <c r="I656" s="344"/>
      <c r="J656" s="344"/>
      <c r="K656" s="344"/>
      <c r="L656" s="344"/>
      <c r="M656" s="344"/>
      <c r="N656" s="674" t="s">
        <v>2587</v>
      </c>
      <c r="O656" s="321"/>
      <c r="P656" s="185"/>
      <c r="Q656" s="429"/>
      <c r="R656" s="676" t="s">
        <v>2068</v>
      </c>
      <c r="S656" s="676" t="s">
        <v>1145</v>
      </c>
      <c r="AA656" s="1331"/>
    </row>
    <row r="657" spans="6:27" ht="10.5" customHeight="1">
      <c r="F657" s="367"/>
      <c r="G657" s="344"/>
      <c r="H657" s="344"/>
      <c r="I657" s="344"/>
      <c r="J657" s="344"/>
      <c r="K657" s="344"/>
      <c r="L657" s="344"/>
      <c r="M657" s="344"/>
      <c r="N657" s="674" t="s">
        <v>2589</v>
      </c>
      <c r="O657" s="321"/>
      <c r="P657" s="185"/>
      <c r="Q657" s="429"/>
      <c r="R657" s="676" t="s">
        <v>765</v>
      </c>
      <c r="S657" s="676" t="s">
        <v>328</v>
      </c>
      <c r="AA657" s="1332"/>
    </row>
    <row r="658" spans="6:27" ht="10.5" customHeight="1">
      <c r="F658" s="367"/>
      <c r="G658" s="344"/>
      <c r="H658" s="344"/>
      <c r="I658" s="344"/>
      <c r="J658" s="344"/>
      <c r="K658" s="344"/>
      <c r="L658" s="344"/>
      <c r="M658" s="344"/>
      <c r="N658" s="674" t="s">
        <v>2590</v>
      </c>
      <c r="O658" s="321"/>
      <c r="P658" s="185"/>
      <c r="Q658" s="429"/>
      <c r="R658" s="575" t="s">
        <v>1314</v>
      </c>
      <c r="S658" s="575" t="s">
        <v>697</v>
      </c>
      <c r="AA658" s="1332"/>
    </row>
    <row r="659" spans="6:27" ht="10.5" customHeight="1">
      <c r="F659" s="367"/>
      <c r="G659" s="344"/>
      <c r="H659" s="344"/>
      <c r="I659" s="344"/>
      <c r="J659" s="344"/>
      <c r="K659" s="344"/>
      <c r="L659" s="344"/>
      <c r="M659" s="344"/>
      <c r="N659" s="674" t="s">
        <v>1975</v>
      </c>
      <c r="O659" s="321"/>
      <c r="P659" s="185"/>
      <c r="Q659" s="429"/>
      <c r="R659" s="575" t="s">
        <v>1112</v>
      </c>
      <c r="S659" s="575" t="s">
        <v>164</v>
      </c>
      <c r="AA659" s="1331"/>
    </row>
    <row r="660" spans="6:27" ht="10.5" customHeight="1">
      <c r="F660" s="367"/>
      <c r="G660" s="344"/>
      <c r="H660" s="344"/>
      <c r="I660" s="344"/>
      <c r="J660" s="344"/>
      <c r="K660" s="344"/>
      <c r="L660" s="344"/>
      <c r="M660" s="344"/>
      <c r="N660" s="674" t="s">
        <v>1976</v>
      </c>
      <c r="O660" s="321"/>
      <c r="P660" s="185"/>
      <c r="Q660" s="429"/>
      <c r="R660" s="575" t="s">
        <v>1958</v>
      </c>
      <c r="S660" s="575" t="s">
        <v>1143</v>
      </c>
      <c r="AA660" s="1331"/>
    </row>
    <row r="661" spans="6:27" ht="10.5" customHeight="1">
      <c r="F661" s="367"/>
      <c r="G661" s="344"/>
      <c r="H661" s="344"/>
      <c r="I661" s="344"/>
      <c r="J661" s="344"/>
      <c r="K661" s="344"/>
      <c r="L661" s="344"/>
      <c r="M661" s="344"/>
      <c r="N661" s="674" t="s">
        <v>1978</v>
      </c>
      <c r="O661" s="321"/>
      <c r="P661" s="185"/>
      <c r="Q661" s="429"/>
      <c r="R661" s="575" t="s">
        <v>1960</v>
      </c>
      <c r="S661" s="575" t="s">
        <v>1511</v>
      </c>
      <c r="AA661" s="1331"/>
    </row>
    <row r="662" spans="6:27" ht="10.5" customHeight="1">
      <c r="F662" s="367"/>
      <c r="G662" s="344"/>
      <c r="H662" s="344"/>
      <c r="I662" s="344"/>
      <c r="J662" s="344"/>
      <c r="K662" s="344"/>
      <c r="L662" s="344"/>
      <c r="M662" s="344"/>
      <c r="N662" s="674" t="s">
        <v>668</v>
      </c>
      <c r="O662" s="321"/>
      <c r="P662" s="185"/>
      <c r="Q662" s="429"/>
      <c r="R662" s="575" t="s">
        <v>1962</v>
      </c>
      <c r="S662" s="575" t="s">
        <v>2572</v>
      </c>
      <c r="AA662" s="1331"/>
    </row>
    <row r="663" spans="6:27" ht="10.5" customHeight="1">
      <c r="F663" s="367"/>
      <c r="G663" s="344"/>
      <c r="H663" s="344"/>
      <c r="I663" s="344"/>
      <c r="J663" s="344"/>
      <c r="K663" s="344"/>
      <c r="L663" s="344"/>
      <c r="M663" s="344"/>
      <c r="N663" s="674" t="s">
        <v>670</v>
      </c>
      <c r="O663" s="321"/>
      <c r="P663" s="185"/>
      <c r="Q663" s="429"/>
      <c r="R663" s="575" t="s">
        <v>1964</v>
      </c>
      <c r="S663" s="575" t="s">
        <v>123</v>
      </c>
      <c r="AA663" s="1331"/>
    </row>
    <row r="664" spans="6:27" ht="10.5" customHeight="1">
      <c r="F664" s="367"/>
      <c r="G664" s="344"/>
      <c r="H664" s="344"/>
      <c r="I664" s="344"/>
      <c r="J664" s="344"/>
      <c r="K664" s="344"/>
      <c r="L664" s="344"/>
      <c r="M664" s="344"/>
      <c r="N664" s="674" t="s">
        <v>671</v>
      </c>
      <c r="O664" s="321"/>
      <c r="P664" s="185"/>
      <c r="Q664" s="429"/>
      <c r="R664" s="575" t="s">
        <v>520</v>
      </c>
      <c r="S664" s="575" t="s">
        <v>2084</v>
      </c>
      <c r="AA664" s="1331"/>
    </row>
    <row r="665" spans="6:27" ht="10.5" customHeight="1">
      <c r="F665" s="367"/>
      <c r="G665" s="344"/>
      <c r="H665" s="344"/>
      <c r="I665" s="344"/>
      <c r="J665" s="344"/>
      <c r="K665" s="344"/>
      <c r="L665" s="344"/>
      <c r="M665" s="344"/>
      <c r="N665" s="674" t="s">
        <v>2388</v>
      </c>
      <c r="O665" s="321"/>
      <c r="P665" s="185"/>
      <c r="Q665" s="429"/>
      <c r="R665" s="575" t="s">
        <v>2624</v>
      </c>
      <c r="S665" s="575" t="s">
        <v>1987</v>
      </c>
      <c r="AA665" s="1331"/>
    </row>
    <row r="666" spans="6:27" ht="10.5" customHeight="1">
      <c r="F666" s="367"/>
      <c r="G666" s="344"/>
      <c r="H666" s="344"/>
      <c r="I666" s="344"/>
      <c r="J666" s="344"/>
      <c r="K666" s="344"/>
      <c r="L666" s="344"/>
      <c r="M666" s="344"/>
      <c r="N666" s="674" t="s">
        <v>73</v>
      </c>
      <c r="O666" s="321"/>
      <c r="P666" s="185"/>
      <c r="Q666" s="429"/>
      <c r="R666" s="575" t="s">
        <v>2626</v>
      </c>
      <c r="S666" s="575" t="s">
        <v>2617</v>
      </c>
      <c r="AA666" s="1331"/>
    </row>
    <row r="667" spans="6:27" ht="10.5" customHeight="1">
      <c r="F667" s="367"/>
      <c r="G667" s="344"/>
      <c r="H667" s="344"/>
      <c r="I667" s="344"/>
      <c r="J667" s="344"/>
      <c r="K667" s="344"/>
      <c r="L667" s="344"/>
      <c r="M667" s="344"/>
      <c r="N667" s="674" t="s">
        <v>1468</v>
      </c>
      <c r="O667" s="321"/>
      <c r="P667" s="185"/>
      <c r="Q667" s="429"/>
      <c r="R667" s="575" t="s">
        <v>1197</v>
      </c>
      <c r="S667" s="575" t="s">
        <v>325</v>
      </c>
      <c r="AA667" s="1331"/>
    </row>
    <row r="668" spans="6:27" ht="10.5" customHeight="1">
      <c r="F668" s="367"/>
      <c r="G668" s="344"/>
      <c r="H668" s="344"/>
      <c r="I668" s="344"/>
      <c r="J668" s="344"/>
      <c r="K668" s="344"/>
      <c r="L668" s="344"/>
      <c r="M668" s="344"/>
      <c r="N668" s="674" t="s">
        <v>2337</v>
      </c>
      <c r="O668" s="321"/>
      <c r="P668" s="185"/>
      <c r="Q668" s="429"/>
      <c r="R668" s="575" t="s">
        <v>2604</v>
      </c>
      <c r="S668" s="575" t="s">
        <v>910</v>
      </c>
      <c r="AA668" s="1331"/>
    </row>
    <row r="669" spans="6:27" ht="10.5" customHeight="1">
      <c r="F669" s="367"/>
      <c r="G669" s="344"/>
      <c r="H669" s="344"/>
      <c r="I669" s="344"/>
      <c r="J669" s="344"/>
      <c r="K669" s="344"/>
      <c r="L669" s="344"/>
      <c r="M669" s="344"/>
      <c r="N669" s="674" t="s">
        <v>2339</v>
      </c>
      <c r="O669" s="321"/>
      <c r="P669" s="185"/>
      <c r="Q669" s="429"/>
      <c r="R669" s="575" t="s">
        <v>848</v>
      </c>
      <c r="S669" s="575" t="s">
        <v>1383</v>
      </c>
      <c r="AA669" s="1331"/>
    </row>
    <row r="670" spans="6:27" ht="10.5" customHeight="1">
      <c r="F670" s="367"/>
      <c r="G670" s="344"/>
      <c r="H670" s="344"/>
      <c r="I670" s="344"/>
      <c r="J670" s="344"/>
      <c r="K670" s="344"/>
      <c r="L670" s="344"/>
      <c r="M670" s="344"/>
      <c r="N670" s="674" t="s">
        <v>1871</v>
      </c>
      <c r="O670" s="321"/>
      <c r="P670" s="185"/>
      <c r="Q670" s="429"/>
      <c r="R670" s="575" t="s">
        <v>1108</v>
      </c>
      <c r="S670" s="575" t="s">
        <v>692</v>
      </c>
      <c r="AA670" s="1331"/>
    </row>
    <row r="671" spans="6:27" ht="10.5" customHeight="1">
      <c r="F671" s="367"/>
      <c r="G671" s="344"/>
      <c r="H671" s="344"/>
      <c r="I671" s="344"/>
      <c r="J671" s="344"/>
      <c r="K671" s="344"/>
      <c r="L671" s="344"/>
      <c r="M671" s="344"/>
      <c r="N671" s="674" t="s">
        <v>1155</v>
      </c>
      <c r="O671" s="321"/>
      <c r="P671" s="185"/>
      <c r="Q671" s="429"/>
      <c r="R671" s="575" t="s">
        <v>1590</v>
      </c>
      <c r="S671" s="575" t="s">
        <v>341</v>
      </c>
      <c r="AA671" s="1331"/>
    </row>
    <row r="672" spans="6:27" ht="10.5" customHeight="1">
      <c r="F672" s="367"/>
      <c r="G672" s="344"/>
      <c r="H672" s="344"/>
      <c r="I672" s="344"/>
      <c r="J672" s="344"/>
      <c r="K672" s="344"/>
      <c r="L672" s="344"/>
      <c r="M672" s="344"/>
      <c r="N672" s="674" t="s">
        <v>2125</v>
      </c>
      <c r="O672" s="321"/>
      <c r="P672" s="185"/>
      <c r="Q672" s="429"/>
      <c r="R672" s="575" t="s">
        <v>3013</v>
      </c>
      <c r="S672" s="575" t="s">
        <v>909</v>
      </c>
      <c r="AA672" s="1331"/>
    </row>
    <row r="673" spans="6:27" ht="10.5" customHeight="1">
      <c r="F673" s="367"/>
      <c r="G673" s="344"/>
      <c r="H673" s="344"/>
      <c r="I673" s="344"/>
      <c r="J673" s="344"/>
      <c r="K673" s="344"/>
      <c r="L673" s="344"/>
      <c r="M673" s="344"/>
      <c r="N673" s="674" t="s">
        <v>2043</v>
      </c>
      <c r="O673" s="321"/>
      <c r="P673" s="185"/>
      <c r="Q673" s="429"/>
      <c r="R673" s="575" t="s">
        <v>2180</v>
      </c>
      <c r="S673" s="575" t="s">
        <v>1376</v>
      </c>
      <c r="AA673" s="1331"/>
    </row>
    <row r="674" spans="6:27" ht="10.5" customHeight="1">
      <c r="F674" s="367"/>
      <c r="G674" s="344"/>
      <c r="H674" s="344"/>
      <c r="I674" s="344"/>
      <c r="J674" s="344"/>
      <c r="K674" s="344"/>
      <c r="L674" s="344"/>
      <c r="M674" s="344"/>
      <c r="N674" s="674" t="s">
        <v>2045</v>
      </c>
      <c r="O674" s="321"/>
      <c r="P674" s="185"/>
      <c r="Q674" s="429"/>
      <c r="R674" s="575" t="s">
        <v>1681</v>
      </c>
      <c r="S674" s="575" t="s">
        <v>1362</v>
      </c>
      <c r="AA674" s="1331"/>
    </row>
    <row r="675" spans="6:27" ht="10.5" customHeight="1">
      <c r="F675" s="367"/>
      <c r="G675" s="344"/>
      <c r="H675" s="344"/>
      <c r="I675" s="344"/>
      <c r="J675" s="344"/>
      <c r="K675" s="344"/>
      <c r="L675" s="344"/>
      <c r="M675" s="344"/>
      <c r="N675" s="674" t="s">
        <v>2047</v>
      </c>
      <c r="O675" s="321"/>
      <c r="P675" s="185"/>
      <c r="Q675" s="429"/>
      <c r="R675" s="575" t="s">
        <v>970</v>
      </c>
      <c r="S675" s="575" t="s">
        <v>2322</v>
      </c>
      <c r="AA675" s="1331"/>
    </row>
    <row r="676" spans="6:27" ht="10.5" customHeight="1">
      <c r="F676" s="367"/>
      <c r="G676" s="344"/>
      <c r="H676" s="344"/>
      <c r="I676" s="344"/>
      <c r="J676" s="344"/>
      <c r="K676" s="344"/>
      <c r="L676" s="344"/>
      <c r="M676" s="344"/>
      <c r="N676" s="674" t="s">
        <v>512</v>
      </c>
      <c r="O676" s="321"/>
      <c r="P676" s="185"/>
      <c r="Q676" s="429"/>
      <c r="R676" s="575" t="s">
        <v>972</v>
      </c>
      <c r="S676" s="575" t="s">
        <v>332</v>
      </c>
      <c r="AA676" s="1331"/>
    </row>
    <row r="677" spans="6:27" ht="10.5" customHeight="1">
      <c r="F677" s="367"/>
      <c r="G677" s="344"/>
      <c r="H677" s="344"/>
      <c r="I677" s="344"/>
      <c r="J677" s="344"/>
      <c r="K677" s="344"/>
      <c r="L677" s="344"/>
      <c r="M677" s="344"/>
      <c r="N677" s="674" t="s">
        <v>470</v>
      </c>
      <c r="O677" s="321"/>
      <c r="P677" s="185"/>
      <c r="Q677" s="429"/>
      <c r="R677" s="575" t="s">
        <v>2588</v>
      </c>
      <c r="S677" s="575" t="s">
        <v>652</v>
      </c>
      <c r="AA677" s="1331"/>
    </row>
    <row r="678" spans="6:27" ht="10.5" customHeight="1">
      <c r="F678" s="367"/>
      <c r="G678" s="344"/>
      <c r="H678" s="344"/>
      <c r="I678" s="344"/>
      <c r="J678" s="344"/>
      <c r="K678" s="344"/>
      <c r="L678" s="344"/>
      <c r="M678" s="344"/>
      <c r="N678" s="674" t="s">
        <v>2175</v>
      </c>
      <c r="O678" s="321"/>
      <c r="P678" s="185"/>
      <c r="Q678" s="429"/>
      <c r="R678" s="575" t="s">
        <v>1974</v>
      </c>
      <c r="S678" s="575" t="s">
        <v>123</v>
      </c>
      <c r="AA678" s="1331"/>
    </row>
    <row r="679" spans="6:27" ht="10.5" customHeight="1">
      <c r="F679" s="367"/>
      <c r="G679" s="344"/>
      <c r="H679" s="344"/>
      <c r="I679" s="344"/>
      <c r="J679" s="344"/>
      <c r="K679" s="344"/>
      <c r="L679" s="344"/>
      <c r="M679" s="344"/>
      <c r="N679" s="674" t="s">
        <v>2202</v>
      </c>
      <c r="O679" s="321"/>
      <c r="P679" s="185"/>
      <c r="Q679" s="429"/>
      <c r="R679" s="575" t="s">
        <v>1977</v>
      </c>
      <c r="S679" s="575" t="s">
        <v>2322</v>
      </c>
      <c r="AA679" s="1331"/>
    </row>
    <row r="680" spans="6:27" ht="10.5" customHeight="1">
      <c r="F680" s="367"/>
      <c r="G680" s="344"/>
      <c r="H680" s="344"/>
      <c r="I680" s="344"/>
      <c r="J680" s="344"/>
      <c r="K680" s="344"/>
      <c r="L680" s="344"/>
      <c r="M680" s="344"/>
      <c r="N680" s="2060"/>
      <c r="O680" s="2061"/>
      <c r="P680" s="2061"/>
      <c r="Q680" s="2062"/>
      <c r="R680" s="575" t="s">
        <v>1979</v>
      </c>
      <c r="S680" s="575" t="s">
        <v>167</v>
      </c>
      <c r="AA680" s="1331"/>
    </row>
    <row r="681" spans="6:27" ht="10.5" customHeight="1">
      <c r="F681" s="367"/>
      <c r="G681" s="344"/>
      <c r="H681" s="344"/>
      <c r="I681" s="344"/>
      <c r="J681" s="344"/>
      <c r="K681" s="344"/>
      <c r="L681" s="344"/>
      <c r="M681" s="344"/>
      <c r="N681" s="679"/>
      <c r="O681" s="680"/>
      <c r="P681" s="183"/>
      <c r="Q681" s="344"/>
      <c r="R681" s="575" t="s">
        <v>669</v>
      </c>
      <c r="S681" s="575" t="s">
        <v>2486</v>
      </c>
      <c r="AA681" s="1331"/>
    </row>
    <row r="682" spans="6:27" ht="10.5" customHeight="1">
      <c r="F682" s="367"/>
      <c r="G682" s="344"/>
      <c r="H682" s="344"/>
      <c r="I682" s="344"/>
      <c r="J682" s="344"/>
      <c r="K682" s="344"/>
      <c r="L682" s="344"/>
      <c r="M682" s="344"/>
      <c r="N682" s="344"/>
      <c r="O682" s="344"/>
      <c r="P682" s="344"/>
      <c r="Q682" s="344"/>
      <c r="R682" s="575" t="s">
        <v>849</v>
      </c>
      <c r="S682" s="575" t="s">
        <v>2251</v>
      </c>
      <c r="AA682" s="1331"/>
    </row>
    <row r="683" spans="6:27" ht="10.5" customHeight="1">
      <c r="F683" s="367"/>
      <c r="G683" s="344"/>
      <c r="H683" s="344"/>
      <c r="I683" s="344"/>
      <c r="J683" s="344"/>
      <c r="K683" s="680"/>
      <c r="L683" s="183"/>
      <c r="M683" s="344"/>
      <c r="N683" s="344"/>
      <c r="O683" s="344"/>
      <c r="P683" s="344"/>
      <c r="Q683" s="344"/>
      <c r="R683" s="575" t="s">
        <v>1113</v>
      </c>
      <c r="S683" s="575" t="s">
        <v>1985</v>
      </c>
      <c r="AA683" s="1331"/>
    </row>
    <row r="684" spans="6:27" ht="10.5" customHeight="1">
      <c r="F684" s="367"/>
      <c r="G684" s="344"/>
      <c r="H684" s="344"/>
      <c r="I684" s="344"/>
      <c r="J684" s="679"/>
      <c r="K684" s="680"/>
      <c r="L684" s="183"/>
      <c r="M684" s="344"/>
      <c r="N684" s="344"/>
      <c r="O684" s="344"/>
      <c r="P684" s="344"/>
      <c r="Q684" s="344"/>
      <c r="R684" s="575" t="s">
        <v>1114</v>
      </c>
      <c r="S684" s="575" t="s">
        <v>2081</v>
      </c>
      <c r="AA684" s="1331"/>
    </row>
    <row r="685" spans="6:27" ht="10.5" customHeight="1">
      <c r="F685" s="367"/>
      <c r="G685" s="344"/>
      <c r="H685" s="344"/>
      <c r="I685" s="344"/>
      <c r="J685" s="679"/>
      <c r="K685" s="680"/>
      <c r="L685" s="183"/>
      <c r="M685" s="344"/>
      <c r="N685" s="344"/>
      <c r="O685" s="344"/>
      <c r="P685" s="344"/>
      <c r="Q685" s="344"/>
      <c r="R685" s="676" t="s">
        <v>1520</v>
      </c>
      <c r="S685" s="676" t="s">
        <v>1256</v>
      </c>
      <c r="AA685" s="1331"/>
    </row>
    <row r="686" spans="6:27" ht="10.5" customHeight="1">
      <c r="F686" s="367"/>
      <c r="G686" s="344"/>
      <c r="H686" s="344"/>
      <c r="I686" s="344"/>
      <c r="J686" s="679"/>
      <c r="K686" s="680"/>
      <c r="L686" s="183"/>
      <c r="M686" s="344"/>
      <c r="N686" s="344"/>
      <c r="O686" s="344"/>
      <c r="P686" s="344"/>
      <c r="Q686" s="344"/>
      <c r="R686" s="575" t="s">
        <v>2389</v>
      </c>
      <c r="S686" s="575" t="s">
        <v>123</v>
      </c>
      <c r="AA686" s="1332"/>
    </row>
    <row r="687" spans="6:27" ht="10.5" customHeight="1">
      <c r="F687" s="367"/>
      <c r="G687" s="344"/>
      <c r="H687" s="344"/>
      <c r="I687" s="344"/>
      <c r="J687" s="679"/>
      <c r="K687" s="680"/>
      <c r="L687" s="183"/>
      <c r="M687" s="344"/>
      <c r="N687" s="344"/>
      <c r="O687" s="344"/>
      <c r="P687" s="344"/>
      <c r="Q687" s="344"/>
      <c r="R687" s="575" t="s">
        <v>1467</v>
      </c>
      <c r="S687" s="575" t="s">
        <v>2322</v>
      </c>
      <c r="AA687" s="1331"/>
    </row>
    <row r="688" spans="6:27" ht="10.5" customHeight="1">
      <c r="F688" s="367"/>
      <c r="G688" s="344"/>
      <c r="H688" s="344"/>
      <c r="I688" s="344"/>
      <c r="J688" s="679"/>
      <c r="K688" s="680"/>
      <c r="L688" s="183"/>
      <c r="M688" s="344"/>
      <c r="N688" s="344"/>
      <c r="O688" s="344"/>
      <c r="P688" s="344"/>
      <c r="Q688" s="344"/>
      <c r="R688" s="575" t="s">
        <v>2336</v>
      </c>
      <c r="S688" s="575" t="s">
        <v>1991</v>
      </c>
      <c r="AA688" s="1331"/>
    </row>
    <row r="689" spans="6:27" ht="10.5" customHeight="1">
      <c r="F689" s="367"/>
      <c r="G689" s="344"/>
      <c r="H689" s="344"/>
      <c r="I689" s="344"/>
      <c r="J689" s="679"/>
      <c r="K689" s="680"/>
      <c r="L689" s="183"/>
      <c r="M689" s="344"/>
      <c r="N689" s="344"/>
      <c r="O689" s="344"/>
      <c r="P689" s="344"/>
      <c r="Q689" s="344"/>
      <c r="R689" s="575" t="s">
        <v>2338</v>
      </c>
      <c r="S689" s="575" t="s">
        <v>2247</v>
      </c>
      <c r="AA689" s="1331"/>
    </row>
    <row r="690" spans="6:27" ht="10.5" customHeight="1">
      <c r="F690" s="367"/>
      <c r="G690" s="344"/>
      <c r="H690" s="344"/>
      <c r="I690" s="344"/>
      <c r="J690" s="679"/>
      <c r="K690" s="680"/>
      <c r="L690" s="183"/>
      <c r="M690" s="344"/>
      <c r="N690" s="344"/>
      <c r="O690" s="344"/>
      <c r="P690" s="344"/>
      <c r="Q690" s="344"/>
      <c r="R690" s="575" t="s">
        <v>2340</v>
      </c>
      <c r="S690" s="575" t="s">
        <v>2486</v>
      </c>
      <c r="AA690" s="1331"/>
    </row>
    <row r="691" spans="6:27" ht="10.5" customHeight="1">
      <c r="F691" s="367"/>
      <c r="G691" s="344"/>
      <c r="H691" s="344"/>
      <c r="I691" s="344"/>
      <c r="J691" s="679"/>
      <c r="K691" s="680"/>
      <c r="L691" s="183"/>
      <c r="M691" s="344"/>
      <c r="N691" s="344"/>
      <c r="O691" s="344"/>
      <c r="P691" s="344"/>
      <c r="Q691" s="344"/>
      <c r="R691" s="575" t="s">
        <v>3014</v>
      </c>
      <c r="S691" s="575" t="s">
        <v>164</v>
      </c>
      <c r="AA691" s="1331"/>
    </row>
    <row r="692" spans="6:27" ht="10.5" customHeight="1">
      <c r="F692" s="367"/>
      <c r="G692" s="344"/>
      <c r="H692" s="344"/>
      <c r="I692" s="344"/>
      <c r="J692" s="679"/>
      <c r="K692" s="680"/>
      <c r="L692" s="183"/>
      <c r="M692" s="344"/>
      <c r="N692" s="344"/>
      <c r="O692" s="344"/>
      <c r="P692" s="344"/>
      <c r="Q692" s="344"/>
      <c r="R692" s="575" t="s">
        <v>1154</v>
      </c>
      <c r="S692" s="575" t="s">
        <v>2258</v>
      </c>
      <c r="AA692" s="1331"/>
    </row>
    <row r="693" spans="6:27" ht="10.5" customHeight="1">
      <c r="F693" s="367"/>
      <c r="G693" s="344"/>
      <c r="H693" s="344"/>
      <c r="I693" s="344"/>
      <c r="J693" s="679"/>
      <c r="K693" s="680"/>
      <c r="L693" s="183"/>
      <c r="M693" s="344"/>
      <c r="N693" s="344"/>
      <c r="O693" s="344"/>
      <c r="P693" s="344"/>
      <c r="Q693" s="344"/>
      <c r="R693" s="575" t="s">
        <v>1156</v>
      </c>
      <c r="S693" s="575" t="s">
        <v>1131</v>
      </c>
      <c r="AA693" s="1331"/>
    </row>
    <row r="694" spans="6:27" ht="10.5" customHeight="1">
      <c r="F694" s="367"/>
      <c r="G694" s="344"/>
      <c r="H694" s="344"/>
      <c r="I694" s="344"/>
      <c r="J694" s="679"/>
      <c r="K694" s="680"/>
      <c r="L694" s="183"/>
      <c r="M694" s="344"/>
      <c r="N694" s="344"/>
      <c r="O694" s="344"/>
      <c r="P694" s="344"/>
      <c r="Q694" s="344"/>
      <c r="R694" s="575" t="s">
        <v>2126</v>
      </c>
      <c r="S694" s="575" t="s">
        <v>327</v>
      </c>
      <c r="AA694" s="1331"/>
    </row>
    <row r="695" spans="6:27" ht="10.5" customHeight="1">
      <c r="F695" s="367"/>
      <c r="G695" s="344"/>
      <c r="H695" s="344"/>
      <c r="I695" s="344"/>
      <c r="J695" s="679"/>
      <c r="K695" s="680"/>
      <c r="L695" s="183"/>
      <c r="M695" s="344"/>
      <c r="N695" s="344"/>
      <c r="O695" s="344"/>
      <c r="P695" s="344"/>
      <c r="Q695" s="344"/>
      <c r="R695" s="676" t="s">
        <v>2044</v>
      </c>
      <c r="S695" s="676" t="s">
        <v>124</v>
      </c>
      <c r="AA695" s="1331"/>
    </row>
    <row r="696" spans="6:27" ht="10.5" customHeight="1">
      <c r="F696" s="367"/>
      <c r="G696" s="344"/>
      <c r="H696" s="344"/>
      <c r="I696" s="344"/>
      <c r="J696" s="679"/>
      <c r="K696" s="680"/>
      <c r="L696" s="183"/>
      <c r="M696" s="344"/>
      <c r="N696" s="344"/>
      <c r="O696" s="344"/>
      <c r="P696" s="344"/>
      <c r="Q696" s="344"/>
      <c r="R696" s="575" t="s">
        <v>2046</v>
      </c>
      <c r="S696" s="575" t="s">
        <v>336</v>
      </c>
      <c r="AA696" s="1332"/>
    </row>
    <row r="697" spans="6:27" ht="10.5" customHeight="1">
      <c r="F697" s="367"/>
      <c r="G697" s="344"/>
      <c r="H697" s="344"/>
      <c r="I697" s="344"/>
      <c r="J697" s="679"/>
      <c r="K697" s="680"/>
      <c r="L697" s="183"/>
      <c r="M697" s="344"/>
      <c r="N697" s="344"/>
      <c r="O697" s="344"/>
      <c r="P697" s="344"/>
      <c r="Q697" s="344"/>
      <c r="R697" s="575" t="s">
        <v>2048</v>
      </c>
      <c r="S697" s="575" t="s">
        <v>189</v>
      </c>
      <c r="AA697" s="1331"/>
    </row>
    <row r="698" spans="6:27" ht="10.5" customHeight="1">
      <c r="F698" s="367"/>
      <c r="G698" s="344"/>
      <c r="H698" s="344"/>
      <c r="I698" s="344"/>
      <c r="J698" s="679"/>
      <c r="K698" s="680"/>
      <c r="L698" s="183"/>
      <c r="M698" s="344"/>
      <c r="N698" s="344"/>
      <c r="O698" s="344"/>
      <c r="P698" s="344"/>
      <c r="Q698" s="344"/>
      <c r="R698" s="575" t="s">
        <v>3015</v>
      </c>
      <c r="S698" s="575" t="s">
        <v>1985</v>
      </c>
      <c r="AA698" s="1331"/>
    </row>
    <row r="699" spans="6:27" ht="10.5" customHeight="1">
      <c r="F699" s="367"/>
      <c r="G699" s="344"/>
      <c r="H699" s="344"/>
      <c r="I699" s="344"/>
      <c r="J699" s="679"/>
      <c r="K699" s="680"/>
      <c r="L699" s="183"/>
      <c r="M699" s="344"/>
      <c r="N699" s="344"/>
      <c r="O699" s="344"/>
      <c r="P699" s="344"/>
      <c r="Q699" s="344"/>
      <c r="R699" s="575" t="s">
        <v>471</v>
      </c>
      <c r="S699" s="575" t="s">
        <v>1363</v>
      </c>
      <c r="AA699" s="1331"/>
    </row>
    <row r="700" spans="6:27" ht="10.5" customHeight="1">
      <c r="F700" s="367"/>
      <c r="G700" s="344"/>
      <c r="H700" s="344"/>
      <c r="I700" s="344"/>
      <c r="J700" s="679"/>
      <c r="K700" s="680"/>
      <c r="L700" s="183"/>
      <c r="M700" s="344"/>
      <c r="N700" s="344"/>
      <c r="O700" s="344"/>
      <c r="P700" s="344"/>
      <c r="Q700" s="344"/>
      <c r="R700" s="575" t="s">
        <v>2176</v>
      </c>
      <c r="S700" s="575" t="s">
        <v>763</v>
      </c>
      <c r="AA700" s="1331"/>
    </row>
    <row r="701" spans="6:27" ht="10.5" customHeight="1">
      <c r="F701" s="367"/>
      <c r="G701" s="344"/>
      <c r="H701" s="344"/>
      <c r="I701" s="344"/>
      <c r="J701" s="679"/>
      <c r="K701" s="680"/>
      <c r="L701" s="183"/>
      <c r="M701" s="344"/>
      <c r="N701" s="344"/>
      <c r="O701" s="344"/>
      <c r="P701" s="344"/>
      <c r="Q701" s="344"/>
      <c r="R701" s="575" t="s">
        <v>2203</v>
      </c>
      <c r="S701" s="575" t="s">
        <v>108</v>
      </c>
      <c r="AA701" s="1331"/>
    </row>
    <row r="702" spans="6:27" ht="10.5" customHeight="1">
      <c r="F702" s="367"/>
      <c r="G702" s="344"/>
      <c r="H702" s="344"/>
      <c r="I702" s="344"/>
      <c r="J702" s="679"/>
      <c r="K702" s="680"/>
      <c r="L702" s="183"/>
      <c r="M702" s="344"/>
      <c r="N702" s="344"/>
      <c r="O702" s="344"/>
      <c r="P702" s="344"/>
      <c r="Q702" s="344"/>
      <c r="R702" s="575" t="s">
        <v>865</v>
      </c>
      <c r="S702" s="575" t="s">
        <v>2081</v>
      </c>
      <c r="AA702" s="1331"/>
    </row>
    <row r="703" spans="6:27" ht="10.5" customHeight="1">
      <c r="F703" s="367"/>
      <c r="G703" s="344"/>
      <c r="H703" s="344"/>
      <c r="I703" s="344"/>
      <c r="J703" s="679"/>
      <c r="K703" s="680"/>
      <c r="L703" s="183"/>
      <c r="M703" s="344"/>
      <c r="N703" s="344"/>
      <c r="O703" s="344"/>
      <c r="P703" s="344"/>
      <c r="Q703" s="344"/>
      <c r="R703" s="575" t="s">
        <v>2204</v>
      </c>
      <c r="S703" s="575" t="s">
        <v>2081</v>
      </c>
      <c r="AA703" s="1331"/>
    </row>
    <row r="704" spans="6:27" ht="10.5" customHeight="1">
      <c r="F704" s="367"/>
      <c r="G704" s="344"/>
      <c r="H704" s="344"/>
      <c r="I704" s="344"/>
      <c r="J704" s="679"/>
      <c r="K704" s="680"/>
      <c r="L704" s="183"/>
      <c r="M704" s="344"/>
      <c r="N704" s="344"/>
      <c r="O704" s="344"/>
      <c r="P704" s="344"/>
      <c r="Q704" s="344"/>
      <c r="R704" s="676" t="s">
        <v>2205</v>
      </c>
      <c r="S704" s="676" t="s">
        <v>1725</v>
      </c>
      <c r="AA704" s="1331"/>
    </row>
    <row r="705" spans="6:27" ht="10.5" customHeight="1">
      <c r="F705" s="367"/>
      <c r="G705" s="344"/>
      <c r="H705" s="344"/>
      <c r="I705" s="344"/>
      <c r="J705" s="679"/>
      <c r="K705" s="680"/>
      <c r="L705" s="183"/>
      <c r="M705" s="344"/>
      <c r="N705" s="344"/>
      <c r="O705" s="344"/>
      <c r="P705" s="344"/>
      <c r="Q705" s="344"/>
      <c r="R705" s="575" t="s">
        <v>2413</v>
      </c>
      <c r="S705" s="575" t="s">
        <v>1950</v>
      </c>
      <c r="AA705" s="1332"/>
    </row>
    <row r="706" spans="6:27" ht="10.5" customHeight="1">
      <c r="F706" s="367"/>
      <c r="G706" s="344"/>
      <c r="H706" s="344"/>
      <c r="I706" s="344"/>
      <c r="J706" s="679"/>
      <c r="K706" s="680"/>
      <c r="L706" s="183"/>
      <c r="M706" s="344"/>
      <c r="N706" s="344"/>
      <c r="O706" s="344"/>
      <c r="P706" s="344"/>
      <c r="Q706" s="344"/>
      <c r="R706" s="575" t="s">
        <v>2414</v>
      </c>
      <c r="S706" s="575" t="s">
        <v>164</v>
      </c>
      <c r="AA706" s="1331"/>
    </row>
    <row r="707" spans="6:27" ht="10.5" customHeight="1">
      <c r="F707" s="367"/>
      <c r="G707" s="344"/>
      <c r="H707" s="344"/>
      <c r="I707" s="344"/>
      <c r="J707" s="679"/>
      <c r="K707" s="680"/>
      <c r="L707" s="183"/>
      <c r="M707" s="344"/>
      <c r="N707" s="344"/>
      <c r="O707" s="344"/>
      <c r="P707" s="344"/>
      <c r="Q707" s="344"/>
      <c r="R707" s="575" t="s">
        <v>2415</v>
      </c>
      <c r="S707" s="575" t="s">
        <v>1727</v>
      </c>
      <c r="AA707" s="1331"/>
    </row>
    <row r="708" spans="6:27" ht="10.5" customHeight="1">
      <c r="F708" s="367"/>
      <c r="G708" s="344"/>
      <c r="H708" s="344"/>
      <c r="I708" s="344"/>
      <c r="J708" s="679"/>
      <c r="K708" s="680"/>
      <c r="L708" s="183"/>
      <c r="M708" s="344"/>
      <c r="N708" s="344"/>
      <c r="O708" s="344"/>
      <c r="P708" s="344"/>
      <c r="Q708" s="344"/>
      <c r="R708" s="575" t="s">
        <v>2416</v>
      </c>
      <c r="S708" s="575" t="s">
        <v>1143</v>
      </c>
      <c r="AA708" s="1331"/>
    </row>
    <row r="709" spans="6:27" ht="10.5" customHeight="1">
      <c r="F709" s="367"/>
      <c r="G709" s="344"/>
      <c r="H709" s="344"/>
      <c r="I709" s="344"/>
      <c r="J709" s="679"/>
      <c r="K709" s="680"/>
      <c r="L709" s="183"/>
      <c r="M709" s="344"/>
      <c r="N709" s="344"/>
      <c r="O709" s="344"/>
      <c r="P709" s="344"/>
      <c r="Q709" s="344"/>
      <c r="R709" s="575" t="s">
        <v>2417</v>
      </c>
      <c r="S709" s="575" t="s">
        <v>2482</v>
      </c>
      <c r="AA709" s="1331"/>
    </row>
    <row r="710" spans="6:27" ht="10.5" customHeight="1">
      <c r="F710" s="367"/>
      <c r="G710" s="344"/>
      <c r="H710" s="344"/>
      <c r="I710" s="344"/>
      <c r="J710" s="679"/>
      <c r="K710" s="680"/>
      <c r="L710" s="183"/>
      <c r="M710" s="344"/>
      <c r="N710" s="344"/>
      <c r="O710" s="344"/>
      <c r="P710" s="344"/>
      <c r="Q710" s="344"/>
      <c r="R710" s="575" t="s">
        <v>2341</v>
      </c>
      <c r="S710" s="575" t="s">
        <v>2252</v>
      </c>
      <c r="AA710" s="1331"/>
    </row>
    <row r="711" spans="6:27" ht="10.5" customHeight="1">
      <c r="F711" s="367"/>
      <c r="G711" s="344"/>
      <c r="H711" s="344"/>
      <c r="I711" s="344"/>
      <c r="J711" s="679"/>
      <c r="K711" s="680"/>
      <c r="L711" s="183"/>
      <c r="M711" s="344"/>
      <c r="N711" s="344"/>
      <c r="O711" s="344"/>
      <c r="P711" s="344"/>
      <c r="Q711" s="344"/>
      <c r="R711" s="575" t="s">
        <v>1684</v>
      </c>
      <c r="S711" s="575" t="s">
        <v>2484</v>
      </c>
      <c r="AA711" s="1331"/>
    </row>
    <row r="712" spans="6:27" ht="10.5" customHeight="1">
      <c r="F712" s="367"/>
      <c r="G712" s="344"/>
      <c r="H712" s="344"/>
      <c r="I712" s="344"/>
      <c r="J712" s="679"/>
      <c r="K712" s="680"/>
      <c r="L712" s="183"/>
      <c r="M712" s="344"/>
      <c r="N712" s="344"/>
      <c r="O712" s="344"/>
      <c r="P712" s="344"/>
      <c r="Q712" s="344"/>
      <c r="R712" s="575" t="s">
        <v>1685</v>
      </c>
      <c r="S712" s="575" t="s">
        <v>200</v>
      </c>
      <c r="AA712" s="1331"/>
    </row>
    <row r="713" spans="6:27" ht="10.5" customHeight="1">
      <c r="F713" s="367"/>
      <c r="G713" s="344"/>
      <c r="H713" s="344"/>
      <c r="I713" s="344"/>
      <c r="J713" s="679"/>
      <c r="K713" s="680"/>
      <c r="L713" s="183"/>
      <c r="M713" s="344"/>
      <c r="N713" s="344"/>
      <c r="O713" s="344"/>
      <c r="P713" s="344"/>
      <c r="Q713" s="344"/>
      <c r="R713" s="575" t="s">
        <v>1750</v>
      </c>
      <c r="S713" s="575" t="s">
        <v>167</v>
      </c>
      <c r="AA713" s="1331"/>
    </row>
    <row r="714" spans="6:27" ht="10.5" customHeight="1">
      <c r="F714" s="367"/>
      <c r="G714" s="344"/>
      <c r="H714" s="344"/>
      <c r="I714" s="344"/>
      <c r="J714" s="679"/>
      <c r="K714" s="680"/>
      <c r="L714" s="183"/>
      <c r="M714" s="344"/>
      <c r="N714" s="344"/>
      <c r="O714" s="344"/>
      <c r="P714" s="344"/>
      <c r="Q714" s="344"/>
      <c r="R714" s="575" t="s">
        <v>1115</v>
      </c>
      <c r="S714" s="575" t="s">
        <v>652</v>
      </c>
      <c r="AA714" s="1331"/>
    </row>
    <row r="715" spans="6:27" ht="10.5" customHeight="1">
      <c r="F715" s="367"/>
      <c r="G715" s="344"/>
      <c r="H715" s="344"/>
      <c r="I715" s="344"/>
      <c r="J715" s="679"/>
      <c r="K715" s="680"/>
      <c r="L715" s="183"/>
      <c r="M715" s="344"/>
      <c r="N715" s="344"/>
      <c r="O715" s="344"/>
      <c r="P715" s="344"/>
      <c r="Q715" s="344"/>
      <c r="R715" s="575" t="s">
        <v>850</v>
      </c>
      <c r="S715" s="575" t="s">
        <v>2024</v>
      </c>
      <c r="AA715" s="1331"/>
    </row>
    <row r="716" spans="6:27" ht="10.5" customHeight="1">
      <c r="F716" s="367"/>
      <c r="G716" s="344"/>
      <c r="H716" s="344"/>
      <c r="I716" s="344"/>
      <c r="J716" s="679"/>
      <c r="K716" s="680"/>
      <c r="L716" s="183"/>
      <c r="M716" s="344"/>
      <c r="N716" s="344"/>
      <c r="O716" s="344"/>
      <c r="P716" s="344"/>
      <c r="Q716" s="344"/>
      <c r="R716" s="575" t="s">
        <v>1751</v>
      </c>
      <c r="S716" s="575" t="s">
        <v>2619</v>
      </c>
      <c r="AA716" s="1331"/>
    </row>
    <row r="717" spans="6:27" ht="10.5" customHeight="1">
      <c r="F717" s="367"/>
      <c r="G717" s="344"/>
      <c r="H717" s="344"/>
      <c r="I717" s="344"/>
      <c r="J717" s="679"/>
      <c r="K717" s="680"/>
      <c r="L717" s="183"/>
      <c r="M717" s="344"/>
      <c r="N717" s="344"/>
      <c r="O717" s="344"/>
      <c r="P717" s="344"/>
      <c r="Q717" s="344"/>
      <c r="R717" s="575" t="s">
        <v>1752</v>
      </c>
      <c r="S717" s="575" t="s">
        <v>2322</v>
      </c>
      <c r="AA717" s="1331"/>
    </row>
    <row r="718" spans="6:27" ht="10.5" customHeight="1">
      <c r="F718" s="367"/>
      <c r="G718" s="344"/>
      <c r="H718" s="344"/>
      <c r="I718" s="344"/>
      <c r="J718" s="679"/>
      <c r="K718" s="680"/>
      <c r="L718" s="183"/>
      <c r="M718" s="344"/>
      <c r="N718" s="344"/>
      <c r="O718" s="344"/>
      <c r="P718" s="344"/>
      <c r="Q718" s="344"/>
      <c r="R718" s="575" t="s">
        <v>1753</v>
      </c>
      <c r="S718" s="575" t="s">
        <v>1727</v>
      </c>
      <c r="AA718" s="1331"/>
    </row>
    <row r="719" spans="6:27" ht="10.5" customHeight="1">
      <c r="F719" s="367"/>
      <c r="G719" s="344"/>
      <c r="H719" s="344"/>
      <c r="I719" s="344"/>
      <c r="J719" s="679"/>
      <c r="K719" s="680"/>
      <c r="L719" s="183"/>
      <c r="M719" s="344"/>
      <c r="N719" s="344"/>
      <c r="O719" s="344"/>
      <c r="P719" s="344"/>
      <c r="Q719" s="344"/>
      <c r="R719" s="575" t="s">
        <v>1754</v>
      </c>
      <c r="S719" s="575" t="s">
        <v>164</v>
      </c>
      <c r="AA719" s="1331"/>
    </row>
    <row r="720" spans="6:27" ht="10.5" customHeight="1">
      <c r="F720" s="367"/>
      <c r="G720" s="344"/>
      <c r="H720" s="344"/>
      <c r="I720" s="344"/>
      <c r="J720" s="679"/>
      <c r="K720" s="680"/>
      <c r="L720" s="183"/>
      <c r="M720" s="344"/>
      <c r="N720" s="344"/>
      <c r="O720" s="344"/>
      <c r="P720" s="344"/>
      <c r="Q720" s="344"/>
      <c r="R720" s="575" t="s">
        <v>1755</v>
      </c>
      <c r="S720" s="575" t="s">
        <v>683</v>
      </c>
      <c r="AA720" s="1331"/>
    </row>
    <row r="721" spans="6:27" ht="10.5" customHeight="1">
      <c r="F721" s="367"/>
      <c r="G721" s="344"/>
      <c r="H721" s="344"/>
      <c r="I721" s="344"/>
      <c r="J721" s="679"/>
      <c r="K721" s="680"/>
      <c r="L721" s="183"/>
      <c r="M721" s="344"/>
      <c r="N721" s="344"/>
      <c r="O721" s="344"/>
      <c r="P721" s="344"/>
      <c r="Q721" s="344"/>
      <c r="R721" s="575" t="s">
        <v>1756</v>
      </c>
      <c r="S721" s="575" t="s">
        <v>987</v>
      </c>
      <c r="AA721" s="1331"/>
    </row>
    <row r="722" spans="6:27" ht="10.5" customHeight="1">
      <c r="F722" s="367"/>
      <c r="G722" s="344"/>
      <c r="H722" s="344"/>
      <c r="I722" s="344"/>
      <c r="J722" s="679"/>
      <c r="K722" s="680"/>
      <c r="L722" s="183"/>
      <c r="M722" s="344"/>
      <c r="N722" s="344"/>
      <c r="O722" s="344"/>
      <c r="P722" s="344"/>
      <c r="Q722" s="344"/>
      <c r="R722" s="575" t="s">
        <v>1757</v>
      </c>
      <c r="S722" s="575" t="s">
        <v>1252</v>
      </c>
      <c r="AA722" s="1331"/>
    </row>
    <row r="723" spans="6:27" ht="10.5" customHeight="1">
      <c r="F723" s="367"/>
      <c r="G723" s="344"/>
      <c r="H723" s="344"/>
      <c r="I723" s="344"/>
      <c r="J723" s="679"/>
      <c r="K723" s="680"/>
      <c r="L723" s="183"/>
      <c r="M723" s="344"/>
      <c r="N723" s="344"/>
      <c r="O723" s="344"/>
      <c r="P723" s="344"/>
      <c r="Q723" s="344"/>
      <c r="R723" s="575" t="s">
        <v>1758</v>
      </c>
      <c r="S723" s="575" t="s">
        <v>697</v>
      </c>
      <c r="AA723" s="1331"/>
    </row>
    <row r="724" spans="6:27" ht="10.5" customHeight="1">
      <c r="F724" s="367"/>
      <c r="G724" s="344"/>
      <c r="H724" s="344"/>
      <c r="I724" s="344"/>
      <c r="J724" s="679"/>
      <c r="K724" s="680"/>
      <c r="L724" s="183"/>
      <c r="M724" s="344"/>
      <c r="N724" s="344"/>
      <c r="O724" s="344"/>
      <c r="P724" s="344"/>
      <c r="Q724" s="344"/>
      <c r="R724" s="676" t="s">
        <v>1116</v>
      </c>
      <c r="S724" s="676" t="s">
        <v>1727</v>
      </c>
      <c r="AA724" s="1331"/>
    </row>
    <row r="725" spans="6:27" ht="10.5" customHeight="1">
      <c r="F725" s="367"/>
      <c r="G725" s="344"/>
      <c r="H725" s="344"/>
      <c r="I725" s="344"/>
      <c r="J725" s="679"/>
      <c r="K725" s="680"/>
      <c r="L725" s="183"/>
      <c r="M725" s="344"/>
      <c r="N725" s="344"/>
      <c r="O725" s="344"/>
      <c r="P725" s="344"/>
      <c r="Q725" s="344"/>
      <c r="R725" s="575" t="s">
        <v>1759</v>
      </c>
      <c r="S725" s="575" t="s">
        <v>189</v>
      </c>
      <c r="AA725" s="1332"/>
    </row>
    <row r="726" spans="6:27" ht="10.5" customHeight="1">
      <c r="F726" s="367"/>
      <c r="G726" s="344"/>
      <c r="H726" s="344"/>
      <c r="I726" s="344"/>
      <c r="J726" s="679"/>
      <c r="K726" s="680"/>
      <c r="L726" s="183"/>
      <c r="M726" s="344"/>
      <c r="N726" s="344"/>
      <c r="O726" s="344"/>
      <c r="P726" s="344"/>
      <c r="Q726" s="344"/>
      <c r="R726" s="575" t="s">
        <v>1760</v>
      </c>
      <c r="S726" s="575" t="s">
        <v>180</v>
      </c>
      <c r="AA726" s="1331"/>
    </row>
    <row r="727" spans="6:27" ht="10.5" customHeight="1">
      <c r="F727" s="367"/>
      <c r="G727" s="344"/>
      <c r="H727" s="344"/>
      <c r="I727" s="344"/>
      <c r="J727" s="679"/>
      <c r="K727" s="680"/>
      <c r="L727" s="183"/>
      <c r="M727" s="344"/>
      <c r="N727" s="344"/>
      <c r="O727" s="344"/>
      <c r="P727" s="344"/>
      <c r="Q727" s="344"/>
      <c r="R727" s="575" t="s">
        <v>1761</v>
      </c>
      <c r="S727" s="575" t="s">
        <v>2024</v>
      </c>
      <c r="AA727" s="1331"/>
    </row>
    <row r="728" spans="6:27" ht="10.5" customHeight="1">
      <c r="F728" s="367"/>
      <c r="G728" s="344"/>
      <c r="H728" s="344"/>
      <c r="I728" s="344"/>
      <c r="J728" s="679"/>
      <c r="K728" s="680"/>
      <c r="L728" s="183"/>
      <c r="M728" s="344"/>
      <c r="N728" s="344"/>
      <c r="O728" s="344"/>
      <c r="P728" s="344"/>
      <c r="Q728" s="344"/>
      <c r="R728" s="676" t="s">
        <v>1762</v>
      </c>
      <c r="S728" s="676" t="s">
        <v>164</v>
      </c>
      <c r="AA728" s="1331"/>
    </row>
    <row r="729" spans="6:27" ht="10.5" customHeight="1">
      <c r="F729" s="367"/>
      <c r="G729" s="344"/>
      <c r="H729" s="344"/>
      <c r="I729" s="344"/>
      <c r="J729" s="679"/>
      <c r="K729" s="680"/>
      <c r="L729" s="183"/>
      <c r="M729" s="344"/>
      <c r="N729" s="344"/>
      <c r="O729" s="344"/>
      <c r="P729" s="344"/>
      <c r="Q729" s="344"/>
      <c r="R729" s="575" t="s">
        <v>1763</v>
      </c>
      <c r="S729" s="575" t="s">
        <v>1983</v>
      </c>
      <c r="AA729" s="1332"/>
    </row>
    <row r="730" spans="6:27" ht="10.5" customHeight="1">
      <c r="F730" s="367"/>
      <c r="G730" s="344"/>
      <c r="H730" s="344"/>
      <c r="I730" s="344"/>
      <c r="J730" s="679"/>
      <c r="K730" s="680"/>
      <c r="L730" s="183"/>
      <c r="M730" s="344"/>
      <c r="N730" s="344"/>
      <c r="O730" s="344"/>
      <c r="P730" s="344"/>
      <c r="Q730" s="344"/>
      <c r="R730" s="575" t="s">
        <v>1764</v>
      </c>
      <c r="S730" s="575" t="s">
        <v>1378</v>
      </c>
      <c r="AA730" s="1331"/>
    </row>
    <row r="731" spans="6:27" ht="10.5" customHeight="1">
      <c r="F731" s="367"/>
      <c r="G731" s="344"/>
      <c r="H731" s="344"/>
      <c r="I731" s="344"/>
      <c r="J731" s="679"/>
      <c r="K731" s="680"/>
      <c r="L731" s="183"/>
      <c r="M731" s="344"/>
      <c r="N731" s="344"/>
      <c r="O731" s="344"/>
      <c r="P731" s="344"/>
      <c r="Q731" s="344"/>
      <c r="R731" s="575" t="s">
        <v>1765</v>
      </c>
      <c r="S731" s="575" t="s">
        <v>987</v>
      </c>
      <c r="AA731" s="1331"/>
    </row>
    <row r="732" spans="6:27" ht="10.5" customHeight="1">
      <c r="F732" s="367"/>
      <c r="G732" s="344"/>
      <c r="H732" s="344"/>
      <c r="I732" s="344"/>
      <c r="J732" s="679"/>
      <c r="K732" s="680"/>
      <c r="L732" s="183"/>
      <c r="M732" s="344"/>
      <c r="N732" s="344"/>
      <c r="O732" s="344"/>
      <c r="P732" s="344"/>
      <c r="Q732" s="344"/>
      <c r="R732" s="575" t="s">
        <v>1766</v>
      </c>
      <c r="S732" s="575" t="s">
        <v>763</v>
      </c>
      <c r="AA732" s="1331"/>
    </row>
    <row r="733" spans="6:27" ht="10.5" customHeight="1">
      <c r="F733" s="367"/>
      <c r="G733" s="344"/>
      <c r="H733" s="344"/>
      <c r="I733" s="344"/>
      <c r="J733" s="679"/>
      <c r="K733" s="680"/>
      <c r="L733" s="183"/>
      <c r="M733" s="344"/>
      <c r="N733" s="344"/>
      <c r="O733" s="344"/>
      <c r="P733" s="344"/>
      <c r="Q733" s="344"/>
      <c r="R733" s="575" t="s">
        <v>1117</v>
      </c>
      <c r="S733" s="575" t="s">
        <v>2572</v>
      </c>
      <c r="AA733" s="1331"/>
    </row>
    <row r="734" spans="6:27" ht="10.5" customHeight="1">
      <c r="F734" s="367"/>
      <c r="G734" s="344"/>
      <c r="H734" s="344"/>
      <c r="I734" s="344"/>
      <c r="J734" s="679"/>
      <c r="K734" s="680"/>
      <c r="L734" s="183"/>
      <c r="M734" s="344"/>
      <c r="N734" s="344"/>
      <c r="O734" s="344"/>
      <c r="P734" s="344"/>
      <c r="Q734" s="344"/>
      <c r="R734" s="575" t="s">
        <v>1767</v>
      </c>
      <c r="S734" s="575" t="s">
        <v>327</v>
      </c>
      <c r="AA734" s="1331"/>
    </row>
    <row r="735" spans="6:27" ht="10.5" customHeight="1">
      <c r="F735" s="367"/>
      <c r="G735" s="344"/>
      <c r="H735" s="344"/>
      <c r="I735" s="344"/>
      <c r="J735" s="679"/>
      <c r="K735" s="680"/>
      <c r="L735" s="183"/>
      <c r="M735" s="344"/>
      <c r="N735" s="344"/>
      <c r="O735" s="344"/>
      <c r="P735" s="344"/>
      <c r="Q735" s="344"/>
      <c r="R735" s="575" t="s">
        <v>1768</v>
      </c>
      <c r="S735" s="575" t="s">
        <v>341</v>
      </c>
      <c r="AA735" s="1331"/>
    </row>
    <row r="736" spans="6:27" ht="10.5" customHeight="1">
      <c r="F736" s="367"/>
      <c r="G736" s="344"/>
      <c r="H736" s="344"/>
      <c r="I736" s="344"/>
      <c r="J736" s="679"/>
      <c r="K736" s="680"/>
      <c r="L736" s="183"/>
      <c r="M736" s="344"/>
      <c r="N736" s="344"/>
      <c r="O736" s="344"/>
      <c r="P736" s="344"/>
      <c r="Q736" s="344"/>
      <c r="R736" s="575" t="s">
        <v>1769</v>
      </c>
      <c r="S736" s="575" t="s">
        <v>169</v>
      </c>
      <c r="AA736" s="1331"/>
    </row>
    <row r="737" spans="6:27" ht="10.5" customHeight="1">
      <c r="F737" s="367"/>
      <c r="G737" s="344"/>
      <c r="H737" s="344"/>
      <c r="I737" s="344"/>
      <c r="J737" s="679"/>
      <c r="K737" s="680"/>
      <c r="L737" s="183"/>
      <c r="M737" s="344"/>
      <c r="N737" s="344"/>
      <c r="O737" s="344"/>
      <c r="P737" s="344"/>
      <c r="Q737" s="344"/>
      <c r="R737" s="575" t="s">
        <v>1770</v>
      </c>
      <c r="S737" s="575" t="s">
        <v>2084</v>
      </c>
      <c r="AA737" s="1331"/>
    </row>
    <row r="738" spans="6:27" ht="10.5" customHeight="1">
      <c r="F738" s="367"/>
      <c r="G738" s="344"/>
      <c r="H738" s="344"/>
      <c r="I738" s="344"/>
      <c r="J738" s="679"/>
      <c r="K738" s="680"/>
      <c r="L738" s="183"/>
      <c r="M738" s="344"/>
      <c r="N738" s="344"/>
      <c r="O738" s="344"/>
      <c r="P738" s="344"/>
      <c r="Q738" s="344"/>
      <c r="R738" s="575" t="s">
        <v>1771</v>
      </c>
      <c r="S738" s="575" t="s">
        <v>1512</v>
      </c>
      <c r="AA738" s="1331"/>
    </row>
    <row r="739" spans="6:27" ht="10.5" customHeight="1">
      <c r="F739" s="367"/>
      <c r="G739" s="344"/>
      <c r="H739" s="344"/>
      <c r="I739" s="344"/>
      <c r="J739" s="679"/>
      <c r="K739" s="680"/>
      <c r="L739" s="183"/>
      <c r="M739" s="344"/>
      <c r="N739" s="344"/>
      <c r="O739" s="344"/>
      <c r="P739" s="344"/>
      <c r="Q739" s="344"/>
      <c r="R739" s="575" t="s">
        <v>1772</v>
      </c>
      <c r="S739" s="575" t="s">
        <v>1952</v>
      </c>
      <c r="AA739" s="1331"/>
    </row>
    <row r="740" spans="6:27" ht="10.5" customHeight="1">
      <c r="F740" s="367"/>
      <c r="G740" s="344"/>
      <c r="H740" s="344"/>
      <c r="I740" s="344"/>
      <c r="J740" s="679"/>
      <c r="K740" s="680"/>
      <c r="L740" s="183"/>
      <c r="M740" s="344"/>
      <c r="N740" s="344"/>
      <c r="O740" s="344"/>
      <c r="P740" s="344"/>
      <c r="Q740" s="344"/>
      <c r="R740" s="575" t="s">
        <v>1773</v>
      </c>
      <c r="S740" s="575" t="s">
        <v>333</v>
      </c>
      <c r="AA740" s="1331"/>
    </row>
    <row r="741" spans="6:27" ht="10.5" customHeight="1">
      <c r="F741" s="367"/>
      <c r="G741" s="344"/>
      <c r="H741" s="344"/>
      <c r="I741" s="344"/>
      <c r="J741" s="679"/>
      <c r="K741" s="680"/>
      <c r="L741" s="183"/>
      <c r="M741" s="344"/>
      <c r="N741" s="344"/>
      <c r="O741" s="344"/>
      <c r="P741" s="344"/>
      <c r="Q741" s="344"/>
      <c r="R741" s="575" t="s">
        <v>1774</v>
      </c>
      <c r="S741" s="575" t="s">
        <v>106</v>
      </c>
      <c r="AA741" s="1331"/>
    </row>
    <row r="742" spans="6:27" ht="10.5" customHeight="1">
      <c r="F742" s="367"/>
      <c r="G742" s="344"/>
      <c r="H742" s="344"/>
      <c r="I742" s="344"/>
      <c r="J742" s="679"/>
      <c r="K742" s="680"/>
      <c r="L742" s="183"/>
      <c r="M742" s="344"/>
      <c r="N742" s="344"/>
      <c r="O742" s="344"/>
      <c r="P742" s="344"/>
      <c r="Q742" s="344"/>
      <c r="R742" s="429" t="s">
        <v>306</v>
      </c>
      <c r="S742" s="429" t="s">
        <v>2486</v>
      </c>
      <c r="AA742" s="1331"/>
    </row>
    <row r="743" spans="6:27" ht="10.5" customHeight="1">
      <c r="F743" s="367"/>
      <c r="G743" s="344"/>
      <c r="H743" s="344"/>
      <c r="I743" s="344"/>
      <c r="J743" s="679"/>
      <c r="K743" s="680"/>
      <c r="L743" s="183"/>
      <c r="M743" s="344"/>
      <c r="N743" s="344"/>
      <c r="O743" s="344"/>
      <c r="P743" s="344"/>
      <c r="Q743" s="344"/>
      <c r="R743" s="575" t="s">
        <v>108</v>
      </c>
      <c r="S743" s="575" t="s">
        <v>2482</v>
      </c>
      <c r="AA743" s="95"/>
    </row>
    <row r="744" spans="6:27" ht="10.5" customHeight="1">
      <c r="F744" s="367"/>
      <c r="G744" s="344"/>
      <c r="H744" s="344"/>
      <c r="I744" s="344"/>
      <c r="J744" s="679"/>
      <c r="K744" s="680"/>
      <c r="L744" s="183"/>
      <c r="M744" s="344"/>
      <c r="N744" s="344"/>
      <c r="O744" s="344"/>
      <c r="P744" s="344"/>
      <c r="Q744" s="344"/>
      <c r="R744" s="575" t="s">
        <v>307</v>
      </c>
      <c r="S744" s="429" t="s">
        <v>2678</v>
      </c>
      <c r="AA744" s="1331"/>
    </row>
    <row r="745" spans="6:27" ht="10.5" customHeight="1">
      <c r="F745" s="367"/>
      <c r="G745" s="344"/>
      <c r="H745" s="344"/>
      <c r="I745" s="344"/>
      <c r="J745" s="679"/>
      <c r="K745" s="680"/>
      <c r="L745" s="183"/>
      <c r="M745" s="344"/>
      <c r="N745" s="344"/>
      <c r="O745" s="344"/>
      <c r="P745" s="344"/>
      <c r="Q745" s="344"/>
      <c r="R745" s="429" t="s">
        <v>308</v>
      </c>
      <c r="S745" s="429" t="s">
        <v>328</v>
      </c>
      <c r="AA745" s="1331"/>
    </row>
    <row r="746" spans="6:27" ht="10.5" customHeight="1">
      <c r="F746" s="367"/>
      <c r="G746" s="344"/>
      <c r="H746" s="344"/>
      <c r="I746" s="344"/>
      <c r="J746" s="679"/>
      <c r="K746" s="680"/>
      <c r="L746" s="183"/>
      <c r="M746" s="344"/>
      <c r="N746" s="344"/>
      <c r="O746" s="344"/>
      <c r="P746" s="344"/>
      <c r="Q746" s="344"/>
      <c r="R746" s="429" t="s">
        <v>309</v>
      </c>
      <c r="S746" s="429" t="s">
        <v>2085</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1989</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3016</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1QJc3fDoeQxhElGMQXFGqG7HilahBWewEVRqBdoi09GJjVxb6MVEDYKZ6p3QwCcAOaDgc0qzuT7x9b34Ahsmsw==" saltValue="E/PJQL6xcnw517rmNdr7X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7"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workbookViewId="0">
      <selection activeCell="A1012" sqref="A1:XFD1048576"/>
    </sheetView>
  </sheetViews>
  <sheetFormatPr defaultRowHeight="12.75"/>
  <cols>
    <col min="1" max="1" width="9.42578125" style="873" bestFit="1" customWidth="1"/>
    <col min="2" max="2" width="10.5703125" style="873" bestFit="1" customWidth="1"/>
    <col min="3" max="4" width="10.28515625" style="873" bestFit="1" customWidth="1"/>
    <col min="5" max="5" width="9.42578125" style="873" bestFit="1" customWidth="1"/>
    <col min="6" max="6" width="11.7109375" style="873" bestFit="1" customWidth="1"/>
    <col min="7" max="7" width="9.85546875" style="873" bestFit="1" customWidth="1"/>
    <col min="8" max="8" width="14.5703125" style="873" bestFit="1" customWidth="1"/>
    <col min="9" max="9" width="14.42578125" style="873" bestFit="1" customWidth="1"/>
    <col min="10" max="10" width="9.85546875" style="873" bestFit="1" customWidth="1"/>
    <col min="11" max="11" width="9.42578125" style="873" bestFit="1" customWidth="1"/>
    <col min="12" max="12" width="12.85546875" style="873" bestFit="1" customWidth="1"/>
    <col min="13" max="14" width="9.42578125" style="873" bestFit="1" customWidth="1"/>
    <col min="15" max="15" width="12.28515625" style="873" bestFit="1" customWidth="1"/>
    <col min="16" max="16" width="15.42578125" style="873" bestFit="1" customWidth="1"/>
    <col min="17" max="17" width="11.7109375" style="873" bestFit="1" customWidth="1"/>
    <col min="18" max="278" width="9.42578125" style="873" bestFit="1" customWidth="1"/>
    <col min="279" max="16384" width="9.140625" style="873"/>
  </cols>
  <sheetData>
    <row r="1" spans="1:1" ht="15.75">
      <c r="A1" s="2065" t="s">
        <v>1015</v>
      </c>
    </row>
    <row r="2" spans="1:1" ht="16.5">
      <c r="A2" s="2066" t="str">
        <f>'Part I-Project Information'!F24</f>
        <v>The Preserve at Newport</v>
      </c>
    </row>
    <row r="3" spans="1:1" ht="16.5">
      <c r="A3" s="2066" t="str">
        <f>CONCATENATE('Part I-Project Information'!F28,", ", 'Part I-Project Information'!J29," County")</f>
        <v>Kingsland, Camden County</v>
      </c>
    </row>
    <row r="5" spans="1:1" ht="12.75" customHeight="1">
      <c r="A5" s="2067" t="str">
        <f>'Project Narrative'!A5</f>
        <v xml:space="preserve">       The Preserve at Newport will be located on a +/-18-acre site inside the city limits of Kingsland, Georgia.  The site is convenient to numerous desirable amenities and activities. The site is surrounded by vacant land and various commercial businesses.  The Preserve at Newport will maintain the community's character and provide much needed affordable housing to the rural community.  The proposal is for 72 multi-family units comprised of 12 one-bedroom units, 40 two-bedroom units and 20 three-bedroom units.  The Preserve will provide safe, attractive, and affordable housing for low to moderate income families in the Kingsland area.
        The Preserve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mini-blinds, washer/dryer connections, patios and full kitchens with an energy efficient refrigerator, dishwasher, and stove.  Site amenities will include a covered picnic area with BBQ grills and an outdoor playground.  The Preserve plans also feature a community building that will include a management and leasing office along with a fully equipped community laundry facility.  The community building, with all of its resources, will make a great venue for the social and recreational programs hosted by the management team and staff.
        The Preserve at Newport will engage South Face of Atlanta to provide guidance and certification for the EarthCraft Multifamily Program.  The development has been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bulbs, energy heel trusses, R-13 Fiberglass insulation at exterior walls and 30-year architectural shingles.
        The development, construction and management of The Preserve at Newport will be performed by Vantage Development, LLC, Fyffe Construction Company, Inc. and Vantage Management, LLC, respectively, and all companies are owned by Lowell R. Barron, II.  By offering amiable amenities, engaging activities, and affordable rents, The Preserve at Newport will meet a critical need for the Kingsland and Camden County locale.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4403</v>
      </c>
      <c r="H28" s="2070"/>
      <c r="I28" s="2070"/>
      <c r="J28" s="2070"/>
      <c r="K28" s="2070"/>
      <c r="L28" s="2069"/>
      <c r="M28" s="2070"/>
      <c r="N28" s="2070"/>
      <c r="O28" s="2068" t="s">
        <v>2779</v>
      </c>
      <c r="P28" s="2068"/>
    </row>
    <row r="29" spans="1:16" ht="13.5">
      <c r="A29" s="2069"/>
      <c r="B29" s="2068"/>
      <c r="C29" s="2070"/>
      <c r="D29" s="2070"/>
      <c r="E29" s="2070"/>
      <c r="F29" s="2069"/>
      <c r="G29" s="2072" t="s">
        <v>4404</v>
      </c>
      <c r="H29" s="2073"/>
      <c r="I29" s="2073"/>
      <c r="J29" s="2073"/>
      <c r="K29" s="2070"/>
      <c r="L29" s="2070"/>
      <c r="M29" s="2070"/>
      <c r="N29" s="2070"/>
      <c r="O29" s="2068" t="str">
        <f>'Part I-Project Information'!O4</f>
        <v>2016-010</v>
      </c>
      <c r="P29" s="2068"/>
    </row>
    <row r="30" spans="1:16">
      <c r="A30" s="2069"/>
      <c r="B30" s="2068" t="str">
        <f>'Part I-Project Information'!B5</f>
        <v>May 2016 Revision v6</v>
      </c>
      <c r="C30" s="2068"/>
      <c r="D30" s="2074"/>
      <c r="E30" s="2070"/>
      <c r="F30" s="2068"/>
      <c r="G30" s="2074" t="s">
        <v>3502</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4405</v>
      </c>
      <c r="K35" s="2068"/>
      <c r="L35" s="2073"/>
      <c r="M35" s="2070"/>
      <c r="N35" s="2070"/>
      <c r="O35" s="2070" t="str">
        <f>'Part I-Project Information'!O10</f>
        <v>2016PA-006</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Jay Ronca</v>
      </c>
      <c r="G40" s="2070"/>
      <c r="H40" s="2070"/>
      <c r="I40" s="2070"/>
      <c r="J40" s="2070"/>
      <c r="K40" s="2070"/>
      <c r="L40" s="2070"/>
      <c r="M40" s="2076" t="s">
        <v>2055</v>
      </c>
      <c r="N40" s="2070" t="str">
        <f>'Part I-Project Information'!N15</f>
        <v>Vice President of GP &amp; Developer</v>
      </c>
      <c r="O40" s="2070"/>
      <c r="P40" s="2070"/>
    </row>
    <row r="41" spans="1:16">
      <c r="A41" s="2070"/>
      <c r="B41" s="2076" t="s">
        <v>2056</v>
      </c>
      <c r="C41" s="2070"/>
      <c r="D41" s="2070"/>
      <c r="E41" s="2070"/>
      <c r="F41" s="2070" t="str">
        <f>'Part I-Project Information'!F16</f>
        <v>1544 S. Main Street</v>
      </c>
      <c r="G41" s="2070"/>
      <c r="H41" s="2070"/>
      <c r="I41" s="2070"/>
      <c r="J41" s="2070"/>
      <c r="K41" s="2070"/>
      <c r="L41" s="2070"/>
      <c r="M41" s="2076" t="s">
        <v>1787</v>
      </c>
      <c r="N41" s="2070"/>
      <c r="O41" s="2085">
        <f>'Part I-Project Information'!O16</f>
        <v>4047887162</v>
      </c>
      <c r="P41" s="2085"/>
    </row>
    <row r="42" spans="1:16">
      <c r="A42" s="2070"/>
      <c r="B42" s="2076" t="s">
        <v>642</v>
      </c>
      <c r="C42" s="2070"/>
      <c r="D42" s="2070"/>
      <c r="E42" s="2070"/>
      <c r="F42" s="2070" t="str">
        <f>'Part I-Project Information'!F17</f>
        <v>Fyffe</v>
      </c>
      <c r="G42" s="2070"/>
      <c r="H42" s="2070"/>
      <c r="I42" s="2070"/>
      <c r="J42" s="2070"/>
      <c r="K42" s="2070"/>
      <c r="L42" s="2070"/>
      <c r="M42" s="2076" t="s">
        <v>1868</v>
      </c>
      <c r="N42" s="2070"/>
      <c r="O42" s="2085">
        <f>'Part I-Project Information'!O17</f>
        <v>2566233944</v>
      </c>
      <c r="P42" s="2085"/>
    </row>
    <row r="43" spans="1:16">
      <c r="A43" s="2070"/>
      <c r="B43" s="2076" t="s">
        <v>1865</v>
      </c>
      <c r="C43" s="2070"/>
      <c r="D43" s="2070"/>
      <c r="E43" s="2070"/>
      <c r="F43" s="2086" t="str">
        <f>'Part I-Project Information'!F18</f>
        <v>AL</v>
      </c>
      <c r="G43" s="2070"/>
      <c r="H43" s="2070"/>
      <c r="I43" s="2073" t="s">
        <v>2308</v>
      </c>
      <c r="J43" s="2087">
        <f>'Part I-Project Information'!J18</f>
        <v>359713484</v>
      </c>
      <c r="K43" s="2087"/>
      <c r="L43" s="2070"/>
      <c r="M43" s="2076" t="s">
        <v>2054</v>
      </c>
      <c r="N43" s="2070"/>
      <c r="O43" s="2085">
        <f>'Part I-Project Information'!O18</f>
        <v>4047887162</v>
      </c>
      <c r="P43" s="2085"/>
    </row>
    <row r="44" spans="1:16">
      <c r="A44" s="2070"/>
      <c r="B44" s="2076" t="s">
        <v>1786</v>
      </c>
      <c r="C44" s="2070"/>
      <c r="D44" s="2070"/>
      <c r="E44" s="2070"/>
      <c r="F44" s="2085">
        <f>'Part I-Project Information'!F19</f>
        <v>2564174920</v>
      </c>
      <c r="G44" s="2085"/>
      <c r="H44" s="2085"/>
      <c r="I44" s="2073" t="s">
        <v>1785</v>
      </c>
      <c r="J44" s="2073">
        <f>'Part I-Project Information'!J19</f>
        <v>224</v>
      </c>
      <c r="K44" s="2073" t="s">
        <v>2059</v>
      </c>
      <c r="L44" s="2070" t="str">
        <f>'Part I-Project Information'!L19</f>
        <v>jronca@thevantagegroup.biz</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The Preserve at Newport</v>
      </c>
      <c r="G49" s="2089"/>
      <c r="H49" s="2089"/>
      <c r="I49" s="2089"/>
      <c r="J49" s="2089"/>
      <c r="K49" s="2089"/>
      <c r="L49" s="2076" t="s">
        <v>2271</v>
      </c>
      <c r="M49" s="2070"/>
      <c r="N49" s="2070"/>
      <c r="O49" s="2070" t="str">
        <f>'Part I-Project Information'!O24</f>
        <v>No</v>
      </c>
      <c r="P49" s="2070"/>
    </row>
    <row r="50" spans="1:16">
      <c r="A50" s="2090"/>
      <c r="B50" s="2070" t="s">
        <v>2802</v>
      </c>
      <c r="C50" s="2070"/>
      <c r="D50" s="2082"/>
      <c r="E50" s="2070"/>
      <c r="F50" s="2089" t="str">
        <f>'Part I-Project Information'!F25</f>
        <v>Parcel# 107-017</v>
      </c>
      <c r="G50" s="2089"/>
      <c r="H50" s="2089"/>
      <c r="I50" s="2089"/>
      <c r="J50" s="2089"/>
      <c r="K50" s="2089"/>
      <c r="L50" s="2070" t="s">
        <v>4128</v>
      </c>
      <c r="M50" s="2070"/>
      <c r="N50" s="2070"/>
      <c r="O50" s="2070">
        <f>'Part I-Project Information'!O25</f>
        <v>0</v>
      </c>
      <c r="P50" s="2070"/>
    </row>
    <row r="51" spans="1:16">
      <c r="A51" s="2090"/>
      <c r="B51" s="2070" t="s">
        <v>4406</v>
      </c>
      <c r="C51" s="2070"/>
      <c r="D51" s="2082"/>
      <c r="E51" s="2070"/>
      <c r="F51" s="2089" t="str">
        <f>'Part I-Project Information'!F26</f>
        <v>1491 GA Hwy 40 E</v>
      </c>
      <c r="G51" s="2089"/>
      <c r="H51" s="2089"/>
      <c r="I51" s="2089"/>
      <c r="J51" s="2089"/>
      <c r="K51" s="2089"/>
      <c r="L51" s="2076" t="s">
        <v>2128</v>
      </c>
      <c r="M51" s="2070"/>
      <c r="N51" s="2070" t="str">
        <f>'Part I-Project Information'!N26</f>
        <v>No</v>
      </c>
      <c r="O51" s="2073" t="s">
        <v>4127</v>
      </c>
      <c r="P51" s="2070">
        <f>'Part I-Project Information'!P26</f>
        <v>1</v>
      </c>
    </row>
    <row r="52" spans="1:16" ht="13.5">
      <c r="A52" s="2090"/>
      <c r="B52" s="2070" t="s">
        <v>2898</v>
      </c>
      <c r="C52" s="2070"/>
      <c r="D52" s="2082"/>
      <c r="E52" s="2070"/>
      <c r="F52" s="2091" t="s">
        <v>4363</v>
      </c>
      <c r="G52" s="2092" t="str">
        <f>'Part I-Project Information'!$G$27</f>
        <v>30.471478</v>
      </c>
      <c r="H52" s="2092"/>
      <c r="I52" s="2091" t="s">
        <v>4364</v>
      </c>
      <c r="J52" s="2092" t="str">
        <f>'Part I-Project Information'!$J$27</f>
        <v>-81.382907</v>
      </c>
      <c r="K52" s="2089"/>
      <c r="L52" s="2076" t="s">
        <v>2363</v>
      </c>
      <c r="M52" s="2070"/>
      <c r="N52" s="2070"/>
      <c r="O52" s="2093">
        <f>'Part I-Project Information'!O27</f>
        <v>18.64</v>
      </c>
      <c r="P52" s="2093"/>
    </row>
    <row r="53" spans="1:16" ht="16.5">
      <c r="A53" s="2069"/>
      <c r="B53" s="2070" t="s">
        <v>642</v>
      </c>
      <c r="C53" s="2070"/>
      <c r="D53" s="2070"/>
      <c r="E53" s="2070"/>
      <c r="F53" s="2070" t="str">
        <f>'Part I-Project Information'!F28</f>
        <v>Kingsland</v>
      </c>
      <c r="G53" s="2070"/>
      <c r="H53" s="2070"/>
      <c r="I53" s="2084" t="s">
        <v>4407</v>
      </c>
      <c r="J53" s="2087">
        <f>'Part I-Project Information'!J28</f>
        <v>315486507</v>
      </c>
      <c r="K53" s="2087"/>
      <c r="L53" s="2068" t="str">
        <f>IF(AND(NOT(F49=""),NOT(F53="Select from list"),J53=""),"Enter Zip!","")</f>
        <v/>
      </c>
      <c r="M53" s="2094" t="s">
        <v>3061</v>
      </c>
      <c r="N53" s="2070"/>
      <c r="O53" s="2095" t="str">
        <f>'Part I-Project Information'!O28</f>
        <v>104.01</v>
      </c>
      <c r="P53" s="2096"/>
    </row>
    <row r="54" spans="1:16">
      <c r="A54" s="2069"/>
      <c r="B54" s="2070" t="s">
        <v>3854</v>
      </c>
      <c r="C54" s="2070"/>
      <c r="D54" s="2070"/>
      <c r="E54" s="2070"/>
      <c r="F54" s="2070" t="str">
        <f>'Part I-Project Information'!F29</f>
        <v>Within City Limits</v>
      </c>
      <c r="G54" s="2070"/>
      <c r="H54" s="2070"/>
      <c r="I54" s="2097" t="s">
        <v>643</v>
      </c>
      <c r="J54" s="2089" t="str">
        <f>'Part I-Project Information'!J29</f>
        <v>Camden</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Yes</v>
      </c>
      <c r="G55" s="2070" t="s">
        <v>2899</v>
      </c>
      <c r="H55" s="2070"/>
      <c r="I55" s="2073" t="str">
        <f>'Part I-Project Information'!I30</f>
        <v>Yes</v>
      </c>
      <c r="J55" s="2073" t="s">
        <v>2920</v>
      </c>
      <c r="K55" s="2073" t="str">
        <f>'Part I-Project Information'!K30</f>
        <v>Rural</v>
      </c>
      <c r="L55" s="2070"/>
      <c r="M55" s="2076" t="s">
        <v>2699</v>
      </c>
      <c r="N55" s="2069" t="e">
        <f>VLOOKUP($J$29,'DCA Underwriting Assumptions'!$G$141:$J$300,4)</f>
        <v>#N/A</v>
      </c>
      <c r="O55" s="2070" t="str">
        <f>'Part I-Project Information'!O30</f>
        <v>Camden Co.</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4408</v>
      </c>
      <c r="D57" s="2070"/>
      <c r="E57" s="2070"/>
      <c r="F57" s="2100" t="s">
        <v>2878</v>
      </c>
      <c r="G57" s="2100"/>
      <c r="H57" s="2070" t="s">
        <v>766</v>
      </c>
      <c r="I57" s="2070"/>
      <c r="J57" s="2070" t="s">
        <v>767</v>
      </c>
      <c r="K57" s="2070"/>
      <c r="L57" s="2101" t="s">
        <v>4157</v>
      </c>
      <c r="M57" s="2070"/>
      <c r="N57" s="2070"/>
      <c r="O57" s="2070"/>
      <c r="P57" s="2070"/>
    </row>
    <row r="58" spans="1:16">
      <c r="A58" s="2069"/>
      <c r="B58" s="2070" t="s">
        <v>4409</v>
      </c>
      <c r="C58" s="2070"/>
      <c r="D58" s="2068"/>
      <c r="E58" s="2070"/>
      <c r="F58" s="2102">
        <f>'Part I-Project Information'!F33</f>
        <v>1</v>
      </c>
      <c r="G58" s="2102"/>
      <c r="H58" s="2102">
        <f>'Part I-Project Information'!H33</f>
        <v>3</v>
      </c>
      <c r="I58" s="2102"/>
      <c r="J58" s="2102">
        <f>'Part I-Project Information'!J33</f>
        <v>180</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Kingsland</v>
      </c>
      <c r="G61" s="2105"/>
      <c r="H61" s="2105"/>
      <c r="I61" s="2105"/>
      <c r="J61" s="2105"/>
      <c r="K61" s="2105"/>
      <c r="L61" s="2106" t="s">
        <v>2808</v>
      </c>
      <c r="M61" s="2070" t="str">
        <f>'Part I-Project Information'!M36</f>
        <v>www.kingslandgeorgia.com</v>
      </c>
      <c r="N61" s="2070"/>
      <c r="O61" s="2070"/>
      <c r="P61" s="2070"/>
    </row>
    <row r="62" spans="1:16">
      <c r="A62" s="2069"/>
      <c r="B62" s="2070" t="s">
        <v>662</v>
      </c>
      <c r="C62" s="2070"/>
      <c r="D62" s="2070"/>
      <c r="E62" s="2070"/>
      <c r="F62" s="2105" t="str">
        <f>'Part I-Project Information'!F37</f>
        <v>Kenneth E. Smith, Sr.</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107 S. Lee Street</v>
      </c>
      <c r="G63" s="2105"/>
      <c r="H63" s="2105"/>
      <c r="I63" s="2105"/>
      <c r="J63" s="2105"/>
      <c r="K63" s="2105"/>
      <c r="L63" s="2076" t="s">
        <v>642</v>
      </c>
      <c r="M63" s="2105" t="str">
        <f>'Part I-Project Information'!M38</f>
        <v>Kingsland</v>
      </c>
      <c r="N63" s="2105"/>
      <c r="O63" s="2105"/>
      <c r="P63" s="2105"/>
    </row>
    <row r="64" spans="1:16">
      <c r="A64" s="2069"/>
      <c r="B64" s="2076" t="s">
        <v>2308</v>
      </c>
      <c r="C64" s="2070"/>
      <c r="D64" s="2070"/>
      <c r="E64" s="2070"/>
      <c r="F64" s="2087">
        <f>'Part I-Project Information'!F39</f>
        <v>315485054</v>
      </c>
      <c r="G64" s="2087"/>
      <c r="H64" s="2073" t="s">
        <v>2057</v>
      </c>
      <c r="I64" s="2085">
        <f>'Part I-Project Information'!I39</f>
        <v>9127295613</v>
      </c>
      <c r="J64" s="2085"/>
      <c r="K64" s="2085"/>
      <c r="L64" s="2076" t="s">
        <v>1866</v>
      </c>
      <c r="M64" s="2105" t="str">
        <f>'Part I-Project Information'!M39</f>
        <v>mayor@kingslandgeorgia.com</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4410</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72</v>
      </c>
      <c r="I69" s="2075"/>
      <c r="J69" s="2075"/>
      <c r="K69" s="2076" t="s">
        <v>4110</v>
      </c>
      <c r="L69" s="2070"/>
      <c r="M69" s="2110" t="s">
        <v>4109</v>
      </c>
      <c r="N69" s="2109">
        <f>'Part VI-Revenues &amp; Expenses'!$O$81</f>
        <v>0</v>
      </c>
      <c r="O69" s="2111" t="s">
        <v>3544</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3067</v>
      </c>
      <c r="J71" s="2070"/>
      <c r="K71" s="2070" t="s">
        <v>361</v>
      </c>
      <c r="L71" s="2070"/>
      <c r="M71" s="2070"/>
      <c r="N71" s="2070"/>
      <c r="O71" s="2070"/>
      <c r="P71" s="2114" t="str">
        <f>'Part I-Project Information'!P46</f>
        <v>N/A</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3849</v>
      </c>
      <c r="J75" s="2090" t="s">
        <v>2193</v>
      </c>
      <c r="K75" s="2117" t="s">
        <v>2382</v>
      </c>
      <c r="L75" s="2070"/>
      <c r="M75" s="2070"/>
      <c r="N75" s="2070"/>
      <c r="O75" s="2070"/>
      <c r="P75" s="2073"/>
    </row>
    <row r="76" spans="1:16">
      <c r="A76" s="2069"/>
      <c r="B76" s="2086"/>
      <c r="C76" s="2075" t="s">
        <v>2357</v>
      </c>
      <c r="D76" s="2070"/>
      <c r="E76" s="2070"/>
      <c r="F76" s="2070"/>
      <c r="G76" s="2070"/>
      <c r="H76" s="2118">
        <f>SUM(H77:H78)</f>
        <v>72</v>
      </c>
      <c r="I76" s="2118">
        <f>SUM(I77:I78)</f>
        <v>0</v>
      </c>
      <c r="J76" s="2069"/>
      <c r="K76" s="2075" t="s">
        <v>2890</v>
      </c>
      <c r="L76" s="2070"/>
      <c r="M76" s="2070"/>
      <c r="N76" s="2070"/>
      <c r="O76" s="2070"/>
      <c r="P76" s="2118">
        <f>'Part VI-Revenues &amp; Expenses'!$O$115</f>
        <v>79300</v>
      </c>
    </row>
    <row r="77" spans="1:16">
      <c r="A77" s="2069"/>
      <c r="B77" s="2075"/>
      <c r="C77" s="2070"/>
      <c r="D77" s="2100" t="s">
        <v>399</v>
      </c>
      <c r="E77" s="2070"/>
      <c r="F77" s="2070"/>
      <c r="G77" s="2070"/>
      <c r="H77" s="2118">
        <f>'Part VI-Revenues &amp; Expenses'!$O$57</f>
        <v>21</v>
      </c>
      <c r="I77" s="2118">
        <f>'Part VI-Revenues &amp; Expenses'!$O$65</f>
        <v>0</v>
      </c>
      <c r="J77" s="2070"/>
      <c r="K77" s="2075" t="s">
        <v>2891</v>
      </c>
      <c r="L77" s="2070"/>
      <c r="M77" s="2070"/>
      <c r="N77" s="2070"/>
      <c r="O77" s="2070"/>
      <c r="P77" s="2118">
        <f>'Part VI-Revenues &amp; Expenses'!$O$116</f>
        <v>0</v>
      </c>
    </row>
    <row r="78" spans="1:16">
      <c r="A78" s="2069"/>
      <c r="B78" s="2070"/>
      <c r="C78" s="2070"/>
      <c r="D78" s="2100" t="s">
        <v>1890</v>
      </c>
      <c r="E78" s="2100"/>
      <c r="F78" s="2070"/>
      <c r="G78" s="2070"/>
      <c r="H78" s="2118">
        <f>'Part VI-Revenues &amp; Expenses'!$O$56</f>
        <v>51</v>
      </c>
      <c r="I78" s="2118">
        <f>'Part VI-Revenues &amp; Expenses'!$O$64</f>
        <v>0</v>
      </c>
      <c r="J78" s="2070"/>
      <c r="K78" s="2075" t="s">
        <v>2892</v>
      </c>
      <c r="L78" s="2070"/>
      <c r="M78" s="2070"/>
      <c r="N78" s="2070"/>
      <c r="O78" s="2070"/>
      <c r="P78" s="2118">
        <f>P76+P77</f>
        <v>79300</v>
      </c>
    </row>
    <row r="79" spans="1:16">
      <c r="A79" s="2069"/>
      <c r="B79" s="2070"/>
      <c r="C79" s="2075" t="s">
        <v>264</v>
      </c>
      <c r="D79" s="2070"/>
      <c r="E79" s="2070"/>
      <c r="F79" s="2070"/>
      <c r="G79" s="2070"/>
      <c r="H79" s="2118">
        <f>'Part VI-Revenues &amp; Expenses'!$O$59</f>
        <v>0</v>
      </c>
      <c r="I79" s="2070"/>
      <c r="J79" s="2069"/>
      <c r="K79" s="2075" t="s">
        <v>2893</v>
      </c>
      <c r="L79" s="2070"/>
      <c r="M79" s="2070"/>
      <c r="N79" s="2070"/>
      <c r="O79" s="2070"/>
      <c r="P79" s="2118">
        <f>'Part VI-Revenues &amp; Expenses'!$O$118</f>
        <v>0</v>
      </c>
    </row>
    <row r="80" spans="1:16">
      <c r="A80" s="2069"/>
      <c r="B80" s="2070"/>
      <c r="C80" s="2075" t="s">
        <v>2492</v>
      </c>
      <c r="D80" s="2070"/>
      <c r="E80" s="2070"/>
      <c r="F80" s="2070"/>
      <c r="G80" s="2070"/>
      <c r="H80" s="2118">
        <f>H76+H79</f>
        <v>72</v>
      </c>
      <c r="I80" s="2070"/>
      <c r="J80" s="2069"/>
      <c r="K80" s="2075" t="s">
        <v>1474</v>
      </c>
      <c r="L80" s="2070"/>
      <c r="M80" s="2070"/>
      <c r="N80" s="2070"/>
      <c r="O80" s="2070"/>
      <c r="P80" s="2118">
        <f>+P78+P79</f>
        <v>79300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72</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5</v>
      </c>
      <c r="I84" s="2070"/>
      <c r="J84" s="2070"/>
      <c r="K84" s="2075" t="s">
        <v>1165</v>
      </c>
      <c r="L84" s="2070"/>
      <c r="M84" s="2070"/>
      <c r="N84" s="2070"/>
      <c r="O84" s="2070"/>
      <c r="P84" s="2118">
        <f>'Part I-Project Information'!P59</f>
        <v>2305</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81605</v>
      </c>
    </row>
    <row r="86" spans="1:16">
      <c r="A86" s="2069"/>
      <c r="B86" s="2069"/>
      <c r="C86" s="2070"/>
      <c r="D86" s="2086" t="s">
        <v>2074</v>
      </c>
      <c r="E86" s="2070"/>
      <c r="F86" s="2070"/>
      <c r="G86" s="2070"/>
      <c r="H86" s="2118">
        <f>+H84+H85</f>
        <v>6</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2980</v>
      </c>
      <c r="D88" s="2070"/>
      <c r="E88" s="2070"/>
      <c r="F88" s="2070"/>
      <c r="G88" s="2070"/>
      <c r="H88" s="2118">
        <f>'Part I-Project Information'!H63</f>
        <v>152</v>
      </c>
      <c r="I88" s="2070"/>
      <c r="J88" s="2070"/>
      <c r="K88" s="2070" t="s">
        <v>2983</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4411</v>
      </c>
      <c r="D92" s="2120"/>
      <c r="E92" s="2120"/>
      <c r="F92" s="2070"/>
      <c r="G92" s="2073"/>
      <c r="H92" s="2100" t="str">
        <f>'Part I-Project Information'!H67</f>
        <v>Family</v>
      </c>
      <c r="I92" s="2100"/>
      <c r="J92" s="2070"/>
      <c r="K92" s="2070" t="s">
        <v>1838</v>
      </c>
      <c r="L92" s="2070"/>
      <c r="M92" s="2070"/>
      <c r="N92" s="2070" t="str">
        <f>'Part I-Project Information'!N67</f>
        <v>N/A</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3503</v>
      </c>
      <c r="L94" s="2121"/>
      <c r="M94" s="2122" t="s">
        <v>3068</v>
      </c>
      <c r="N94" s="2118">
        <f>'Part I-Project Information'!N69</f>
        <v>0</v>
      </c>
      <c r="O94" s="2122" t="s">
        <v>3069</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3070</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5.5555555555555552E-2</v>
      </c>
      <c r="O98" s="2082" t="s">
        <v>4145</v>
      </c>
      <c r="P98" s="2124">
        <f>'DCA Underwriting Assumptions'!$Q$124</f>
        <v>0.05</v>
      </c>
    </row>
    <row r="99" spans="1:16">
      <c r="A99" s="2069"/>
      <c r="B99" s="2069"/>
      <c r="C99" s="2070"/>
      <c r="D99" s="2086" t="s">
        <v>2978</v>
      </c>
      <c r="E99" s="2086"/>
      <c r="F99" s="2086" t="s">
        <v>828</v>
      </c>
      <c r="G99" s="2070"/>
      <c r="H99" s="2118">
        <f>'Part I-Project Information'!H74</f>
        <v>2</v>
      </c>
      <c r="I99" s="2070"/>
      <c r="J99" s="2070"/>
      <c r="K99" s="2070" t="s">
        <v>2979</v>
      </c>
      <c r="L99" s="2070"/>
      <c r="M99" s="2070"/>
      <c r="N99" s="2123">
        <f>IF(H98=0,0,H99/H98)</f>
        <v>0.5</v>
      </c>
      <c r="O99" s="2082" t="s">
        <v>4145</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2.7777777777777776E-2</v>
      </c>
      <c r="O101" s="2082" t="s">
        <v>4145</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t="str">
        <f>'Part I-Project Information'!P82</f>
        <v>Yes</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No</v>
      </c>
      <c r="I111" s="2070"/>
      <c r="J111" s="2070"/>
      <c r="K111" s="2100" t="s">
        <v>3654</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t="str">
        <f>'Part I-Project Information'!H88</f>
        <v>No</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4097</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1361998</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1 The Preserve at Newport, LP</v>
      </c>
      <c r="D135" s="2083"/>
      <c r="E135" s="2083"/>
      <c r="F135" s="2083" t="str">
        <f>'Part I-Project Information'!F110</f>
        <v>The Preserve at Newport</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2 Vantage Partners 2016 GA, LLC</v>
      </c>
      <c r="D136" s="2083"/>
      <c r="E136" s="2083"/>
      <c r="F136" s="2083" t="str">
        <f>'Part I-Project Information'!F111</f>
        <v>The Preserve at Newport</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t="str">
        <f>'Part I-Project Information'!C112</f>
        <v>3 The Vantage Group, LLC</v>
      </c>
      <c r="D137" s="2083"/>
      <c r="E137" s="2083"/>
      <c r="F137" s="2083" t="str">
        <f>'Part I-Project Information'!F112</f>
        <v>The Preserve at Newport</v>
      </c>
      <c r="G137" s="2083"/>
      <c r="H137" s="2083"/>
      <c r="I137" s="2083" t="str">
        <f>'Part I-Project Information'!I112</f>
        <v>Indirect</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t="str">
        <f>'Part I-Project Information'!C113</f>
        <v>4 Barron Group, Inc</v>
      </c>
      <c r="D138" s="2083"/>
      <c r="E138" s="2083"/>
      <c r="F138" s="2083" t="str">
        <f>'Part I-Project Information'!F113</f>
        <v>The Preserve at Newport</v>
      </c>
      <c r="G138" s="2083"/>
      <c r="H138" s="2083"/>
      <c r="I138" s="2083" t="str">
        <f>'Part I-Project Information'!I113</f>
        <v>Indirect</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t="str">
        <f>'Part I-Project Information'!C114</f>
        <v>5 Vantage Development, LLC</v>
      </c>
      <c r="D139" s="2083"/>
      <c r="E139" s="2083"/>
      <c r="F139" s="2083" t="str">
        <f>'Part I-Project Information'!F114</f>
        <v>The Preserve at Newport</v>
      </c>
      <c r="G139" s="2083"/>
      <c r="H139" s="2083"/>
      <c r="I139" s="2083" t="str">
        <f>'Part I-Project Information'!I114</f>
        <v>Indirect</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t="str">
        <f>'Part I-Project Information'!C115</f>
        <v>6 Lowell R. Barron II</v>
      </c>
      <c r="D140" s="2083"/>
      <c r="E140" s="2083"/>
      <c r="F140" s="2083" t="str">
        <f>'Part I-Project Information'!F115</f>
        <v>The Preserve at Newport</v>
      </c>
      <c r="G140" s="2083"/>
      <c r="H140" s="2083"/>
      <c r="I140" s="2083" t="str">
        <f>'Part I-Project Information'!I115</f>
        <v>Both</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t="str">
        <f>'Part I-Project Information'!C120</f>
        <v>1 Vantage Partners 2016 Phoenix, LLC</v>
      </c>
      <c r="D145" s="2083"/>
      <c r="E145" s="2083"/>
      <c r="F145" s="2083" t="str">
        <f>'Part I-Project Information'!F120</f>
        <v>Phoenix Landing</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t="str">
        <f>'Part I-Project Information'!C121</f>
        <v>2 The Vantage Group, LLC</v>
      </c>
      <c r="D146" s="2083"/>
      <c r="E146" s="2083"/>
      <c r="F146" s="2083" t="str">
        <f>'Part I-Project Information'!F121</f>
        <v>Phoenix Landing</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t="str">
        <f>'Part I-Project Information'!C122</f>
        <v>3 Barron Group, Inc.</v>
      </c>
      <c r="D147" s="2083"/>
      <c r="E147" s="2083"/>
      <c r="F147" s="2083" t="str">
        <f>'Part I-Project Information'!F122</f>
        <v>Phoenix Landing</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t="str">
        <f>'Part I-Project Information'!C123</f>
        <v>4 Vantage Development, LLC</v>
      </c>
      <c r="D148" s="2083"/>
      <c r="E148" s="2083"/>
      <c r="F148" s="2083" t="str">
        <f>'Part I-Project Information'!F123</f>
        <v>Phoenix Landing</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t="str">
        <f>'Part I-Project Information'!C124</f>
        <v>5 Lowell R. Barron, II</v>
      </c>
      <c r="D149" s="2083"/>
      <c r="E149" s="2083"/>
      <c r="F149" s="2083" t="str">
        <f>'Part I-Project Information'!F124</f>
        <v>Phoenix Landing</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t="str">
        <f>'Part I-Project Information'!H133</f>
        <v>No</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4412</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Yes</v>
      </c>
      <c r="J179" s="2100" t="s">
        <v>792</v>
      </c>
      <c r="K179" s="2100"/>
      <c r="L179" s="2084">
        <f>'Part I-Project Information'!L154</f>
        <v>2043</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2868</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No</v>
      </c>
      <c r="J188" s="2070"/>
      <c r="K188" s="2070"/>
      <c r="L188" s="2070" t="s">
        <v>2984</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Yes</v>
      </c>
      <c r="J190" s="2070"/>
      <c r="K190" s="2068"/>
      <c r="L190" s="2070" t="s">
        <v>3753</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3046</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43465</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2331</v>
      </c>
      <c r="L199" s="2117" t="s">
        <v>81</v>
      </c>
      <c r="M199" s="2075"/>
      <c r="N199" s="2075"/>
      <c r="O199" s="2075"/>
      <c r="P199" s="2075"/>
    </row>
    <row r="200" spans="1:19" ht="409.5">
      <c r="A200" s="2143" t="str">
        <f>'Part I-Project Information'!A175</f>
        <v xml:space="preserve">     Owner commits to the extension of the cancellation option for 5 years. We expect the placed in service date to be on or before 12/31/2018. Regardless of the actual placed in service date, the owner will extend for the 5 year period.  
     The project team for The Preserve at Newport received a pre-determination from DCA as "Qualified," there have not been changes to the project team since the pre-application was submitted.</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2016-010 The Preserve at Newport,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3683</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The Preserve at Newport, LP</v>
      </c>
      <c r="I209" s="2100"/>
      <c r="J209" s="2100"/>
      <c r="K209" s="2100"/>
      <c r="L209" s="2100"/>
      <c r="M209" s="2100"/>
      <c r="N209" s="2100"/>
      <c r="O209" s="2076" t="s">
        <v>2065</v>
      </c>
      <c r="P209" s="2076"/>
      <c r="Q209" s="2070" t="str">
        <f>'Part II-Development Team'!Q5</f>
        <v>Lowell R. Barron II</v>
      </c>
      <c r="R209" s="2100"/>
      <c r="S209" s="2100"/>
    </row>
    <row r="210" spans="1:19">
      <c r="A210" s="2070"/>
      <c r="B210" s="2070"/>
      <c r="C210" s="2070"/>
      <c r="D210" s="2144"/>
      <c r="E210" s="2076" t="s">
        <v>1058</v>
      </c>
      <c r="F210" s="2082"/>
      <c r="G210" s="2070"/>
      <c r="H210" s="2070" t="str">
        <f>'Part II-Development Team'!H6</f>
        <v>1544 S. Main Street</v>
      </c>
      <c r="I210" s="2100"/>
      <c r="J210" s="2100"/>
      <c r="K210" s="2100"/>
      <c r="L210" s="2100"/>
      <c r="M210" s="2100"/>
      <c r="N210" s="2100"/>
      <c r="O210" s="2076" t="s">
        <v>1813</v>
      </c>
      <c r="P210" s="2070"/>
      <c r="Q210" s="2070" t="str">
        <f>'Part II-Development Team'!Q6</f>
        <v>President of GP</v>
      </c>
      <c r="R210" s="2100"/>
      <c r="S210" s="2100"/>
    </row>
    <row r="211" spans="1:19">
      <c r="A211" s="2070"/>
      <c r="B211" s="2070"/>
      <c r="C211" s="2070"/>
      <c r="D211" s="2144"/>
      <c r="E211" s="2076" t="s">
        <v>642</v>
      </c>
      <c r="F211" s="2070"/>
      <c r="G211" s="2070"/>
      <c r="H211" s="2070" t="str">
        <f>'Part II-Development Team'!H7</f>
        <v>Fyffe</v>
      </c>
      <c r="I211" s="2100"/>
      <c r="J211" s="2100"/>
      <c r="K211" s="2073" t="s">
        <v>793</v>
      </c>
      <c r="L211" s="2070" t="str">
        <f>'Part II-Development Team'!L7</f>
        <v>To Be Applied For</v>
      </c>
      <c r="M211" s="2100"/>
      <c r="N211" s="2100"/>
      <c r="O211" s="2076" t="s">
        <v>1869</v>
      </c>
      <c r="P211" s="2070"/>
      <c r="Q211" s="2085">
        <f>'Part II-Development Team'!Q7</f>
        <v>2569976659</v>
      </c>
      <c r="R211" s="2085"/>
      <c r="S211" s="2085"/>
    </row>
    <row r="212" spans="1:19">
      <c r="A212" s="2070"/>
      <c r="B212" s="2070"/>
      <c r="C212" s="2070"/>
      <c r="D212" s="2144"/>
      <c r="E212" s="2076" t="s">
        <v>1865</v>
      </c>
      <c r="F212" s="2070"/>
      <c r="G212" s="2070"/>
      <c r="H212" s="2073" t="str">
        <f>'Part II-Development Team'!H8</f>
        <v>AL</v>
      </c>
      <c r="I212" s="2073" t="s">
        <v>2308</v>
      </c>
      <c r="J212" s="2087">
        <f>'Part II-Development Team'!J8</f>
        <v>359713484</v>
      </c>
      <c r="K212" s="2100"/>
      <c r="L212" s="2070" t="s">
        <v>4137</v>
      </c>
      <c r="M212" s="2070" t="str">
        <f>'Part II-Development Team'!M8</f>
        <v>For Profit</v>
      </c>
      <c r="N212" s="2070"/>
      <c r="O212" s="2076" t="s">
        <v>2054</v>
      </c>
      <c r="P212" s="2070"/>
      <c r="Q212" s="2085">
        <f>'Part II-Development Team'!Q8</f>
        <v>2569976659</v>
      </c>
      <c r="R212" s="2085"/>
      <c r="S212" s="2085"/>
    </row>
    <row r="213" spans="1:19">
      <c r="A213" s="2070"/>
      <c r="B213" s="2070"/>
      <c r="C213" s="2070"/>
      <c r="D213" s="2144"/>
      <c r="E213" s="2076" t="s">
        <v>2060</v>
      </c>
      <c r="F213" s="2070"/>
      <c r="G213" s="2070"/>
      <c r="H213" s="2085">
        <f>'Part II-Development Team'!H9</f>
        <v>2564174920</v>
      </c>
      <c r="I213" s="2085"/>
      <c r="J213" s="2084">
        <f>'Part II-Development Team'!J9</f>
        <v>295</v>
      </c>
      <c r="K213" s="2073" t="s">
        <v>2059</v>
      </c>
      <c r="L213" s="2089" t="str">
        <f>'Part II-Development Team'!L9</f>
        <v>lbarron@thevantagegroup.biz</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4158</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Vantage Partners 2016 GA, LLC</v>
      </c>
      <c r="I218" s="2100"/>
      <c r="J218" s="2100"/>
      <c r="K218" s="2100"/>
      <c r="L218" s="2100"/>
      <c r="M218" s="2100"/>
      <c r="N218" s="2100"/>
      <c r="O218" s="2076" t="s">
        <v>2065</v>
      </c>
      <c r="P218" s="2076"/>
      <c r="Q218" s="2070" t="str">
        <f>'Part II-Development Team'!Q14</f>
        <v>Lowell R. Barron II</v>
      </c>
      <c r="R218" s="2100"/>
      <c r="S218" s="2100"/>
    </row>
    <row r="219" spans="1:19">
      <c r="A219" s="2070"/>
      <c r="B219" s="2070"/>
      <c r="C219" s="2070"/>
      <c r="D219" s="2144"/>
      <c r="E219" s="2076" t="s">
        <v>1058</v>
      </c>
      <c r="F219" s="2082"/>
      <c r="G219" s="2070"/>
      <c r="H219" s="2070" t="str">
        <f>'Part II-Development Team'!H15</f>
        <v>1544 S. Main Street</v>
      </c>
      <c r="I219" s="2100"/>
      <c r="J219" s="2100"/>
      <c r="K219" s="2100"/>
      <c r="L219" s="2100"/>
      <c r="M219" s="2100"/>
      <c r="N219" s="2100"/>
      <c r="O219" s="2076" t="s">
        <v>1813</v>
      </c>
      <c r="P219" s="2070"/>
      <c r="Q219" s="2070" t="str">
        <f>'Part II-Development Team'!Q15</f>
        <v>President</v>
      </c>
      <c r="R219" s="2100"/>
      <c r="S219" s="2100"/>
    </row>
    <row r="220" spans="1:19">
      <c r="A220" s="2070"/>
      <c r="B220" s="2070"/>
      <c r="C220" s="2070"/>
      <c r="D220" s="2144"/>
      <c r="E220" s="2076" t="s">
        <v>642</v>
      </c>
      <c r="F220" s="2070"/>
      <c r="G220" s="2070"/>
      <c r="H220" s="2070" t="str">
        <f>'Part II-Development Team'!H16</f>
        <v>Fyffe</v>
      </c>
      <c r="I220" s="2100"/>
      <c r="J220" s="2100"/>
      <c r="K220" s="2073" t="s">
        <v>2808</v>
      </c>
      <c r="L220" s="2070" t="str">
        <f>'Part II-Development Team'!L16</f>
        <v>N/A</v>
      </c>
      <c r="M220" s="2100"/>
      <c r="N220" s="2100"/>
      <c r="O220" s="2076" t="s">
        <v>1869</v>
      </c>
      <c r="P220" s="2070"/>
      <c r="Q220" s="2085">
        <f>'Part II-Development Team'!Q16</f>
        <v>2569976659</v>
      </c>
      <c r="R220" s="2085"/>
      <c r="S220" s="2085"/>
    </row>
    <row r="221" spans="1:19">
      <c r="A221" s="2070"/>
      <c r="B221" s="2070"/>
      <c r="C221" s="2070"/>
      <c r="D221" s="2068"/>
      <c r="E221" s="2076" t="s">
        <v>1865</v>
      </c>
      <c r="F221" s="2070"/>
      <c r="G221" s="2070"/>
      <c r="H221" s="2073" t="str">
        <f>'Part II-Development Team'!H17</f>
        <v>AL</v>
      </c>
      <c r="I221" s="2070"/>
      <c r="J221" s="2070"/>
      <c r="K221" s="2073" t="s">
        <v>2308</v>
      </c>
      <c r="L221" s="2087">
        <f>'Part II-Development Team'!L17</f>
        <v>359713484</v>
      </c>
      <c r="M221" s="2100"/>
      <c r="N221" s="2070"/>
      <c r="O221" s="2076" t="s">
        <v>2054</v>
      </c>
      <c r="P221" s="2070"/>
      <c r="Q221" s="2085">
        <f>'Part II-Development Team'!Q17</f>
        <v>2569976659</v>
      </c>
      <c r="R221" s="2085"/>
      <c r="S221" s="2085"/>
    </row>
    <row r="222" spans="1:19">
      <c r="A222" s="2070"/>
      <c r="B222" s="2070"/>
      <c r="C222" s="2070"/>
      <c r="D222" s="2144"/>
      <c r="E222" s="2076" t="s">
        <v>2060</v>
      </c>
      <c r="F222" s="2070"/>
      <c r="G222" s="2070"/>
      <c r="H222" s="2085">
        <f>'Part II-Development Team'!H18</f>
        <v>2564174920</v>
      </c>
      <c r="I222" s="2085"/>
      <c r="J222" s="2084">
        <f>'Part II-Development Team'!J18</f>
        <v>295</v>
      </c>
      <c r="K222" s="2073" t="s">
        <v>2059</v>
      </c>
      <c r="L222" s="2089" t="str">
        <f>'Part II-Development Team'!L18</f>
        <v>lbarron@thevantagegroup.biz</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2808</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To Be Determined - 42 Equity Partners</v>
      </c>
      <c r="I237" s="2100"/>
      <c r="J237" s="2100"/>
      <c r="K237" s="2100"/>
      <c r="L237" s="2100"/>
      <c r="M237" s="2100"/>
      <c r="N237" s="2100"/>
      <c r="O237" s="2076" t="s">
        <v>2065</v>
      </c>
      <c r="P237" s="2076"/>
      <c r="Q237" s="2070" t="str">
        <f>'Part II-Development Team'!Q33</f>
        <v>Michael Haynes</v>
      </c>
      <c r="R237" s="2100"/>
      <c r="S237" s="2100"/>
    </row>
    <row r="238" spans="1:19">
      <c r="A238" s="2070"/>
      <c r="B238" s="2070"/>
      <c r="C238" s="2070"/>
      <c r="D238" s="2144"/>
      <c r="E238" s="2076" t="s">
        <v>1058</v>
      </c>
      <c r="F238" s="2082"/>
      <c r="G238" s="2070"/>
      <c r="H238" s="2070" t="str">
        <f>'Part II-Development Team'!H34</f>
        <v>2660 EastChase Lane, Suite 100</v>
      </c>
      <c r="I238" s="2100"/>
      <c r="J238" s="2100"/>
      <c r="K238" s="2100"/>
      <c r="L238" s="2100"/>
      <c r="M238" s="2100"/>
      <c r="N238" s="2100"/>
      <c r="O238" s="2076" t="s">
        <v>1813</v>
      </c>
      <c r="P238" s="2070"/>
      <c r="Q238" s="2070" t="str">
        <f>'Part II-Development Team'!Q34</f>
        <v>Managing Director</v>
      </c>
      <c r="R238" s="2100"/>
      <c r="S238" s="2100"/>
    </row>
    <row r="239" spans="1:19">
      <c r="A239" s="2070"/>
      <c r="B239" s="2070"/>
      <c r="C239" s="2070"/>
      <c r="D239" s="2144"/>
      <c r="E239" s="2076" t="s">
        <v>642</v>
      </c>
      <c r="F239" s="2070"/>
      <c r="G239" s="2070"/>
      <c r="H239" s="2070" t="str">
        <f>'Part II-Development Team'!H35</f>
        <v>Montgomery</v>
      </c>
      <c r="I239" s="2100"/>
      <c r="J239" s="2100"/>
      <c r="K239" s="2073" t="s">
        <v>2808</v>
      </c>
      <c r="L239" s="2070" t="str">
        <f>'Part II-Development Team'!L35</f>
        <v>www.42equity.com</v>
      </c>
      <c r="M239" s="2100"/>
      <c r="N239" s="2100"/>
      <c r="O239" s="2076" t="s">
        <v>1869</v>
      </c>
      <c r="P239" s="2070"/>
      <c r="Q239" s="2085">
        <f>'Part II-Development Team'!Q35</f>
        <v>2348024001</v>
      </c>
      <c r="R239" s="2085"/>
      <c r="S239" s="2085"/>
    </row>
    <row r="240" spans="1:19">
      <c r="A240" s="2070"/>
      <c r="B240" s="2070"/>
      <c r="C240" s="2070"/>
      <c r="D240" s="2070"/>
      <c r="E240" s="2076" t="s">
        <v>1865</v>
      </c>
      <c r="F240" s="2070"/>
      <c r="G240" s="2070"/>
      <c r="H240" s="2073" t="str">
        <f>'Part II-Development Team'!H36</f>
        <v>AL</v>
      </c>
      <c r="I240" s="2070"/>
      <c r="J240" s="2070"/>
      <c r="K240" s="2073" t="s">
        <v>2308</v>
      </c>
      <c r="L240" s="2087">
        <f>'Part II-Development Team'!L36</f>
        <v>361177025</v>
      </c>
      <c r="M240" s="2100"/>
      <c r="N240" s="2070"/>
      <c r="O240" s="2076" t="s">
        <v>2054</v>
      </c>
      <c r="P240" s="2070"/>
      <c r="Q240" s="2085">
        <f>'Part II-Development Team'!Q36</f>
        <v>3309067515</v>
      </c>
      <c r="R240" s="2085"/>
      <c r="S240" s="2085"/>
    </row>
    <row r="241" spans="1:19">
      <c r="A241" s="2070"/>
      <c r="B241" s="2070"/>
      <c r="C241" s="2070"/>
      <c r="D241" s="2144"/>
      <c r="E241" s="2076" t="s">
        <v>2060</v>
      </c>
      <c r="F241" s="2070"/>
      <c r="G241" s="2070"/>
      <c r="H241" s="2085">
        <f>'Part II-Development Team'!H37</f>
        <v>2348024001</v>
      </c>
      <c r="I241" s="2085"/>
      <c r="J241" s="2084" t="str">
        <f>'Part II-Development Team'!J37</f>
        <v>N/A</v>
      </c>
      <c r="K241" s="2073" t="s">
        <v>2059</v>
      </c>
      <c r="L241" s="2089" t="str">
        <f>'Part II-Development Team'!L37</f>
        <v>m.haynes@42equity.com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To Be Determined - State Tax Credit Exchange, LLC</v>
      </c>
      <c r="I243" s="2100"/>
      <c r="J243" s="2100"/>
      <c r="K243" s="2100"/>
      <c r="L243" s="2100"/>
      <c r="M243" s="2100"/>
      <c r="N243" s="2100"/>
      <c r="O243" s="2076" t="s">
        <v>2065</v>
      </c>
      <c r="P243" s="2076"/>
      <c r="Q243" s="2070" t="str">
        <f>'Part II-Development Team'!Q39</f>
        <v>Robin Delmer</v>
      </c>
      <c r="R243" s="2100"/>
      <c r="S243" s="2100"/>
    </row>
    <row r="244" spans="1:19">
      <c r="A244" s="2070"/>
      <c r="B244" s="2070"/>
      <c r="C244" s="2070"/>
      <c r="D244" s="2144"/>
      <c r="E244" s="2076" t="s">
        <v>1058</v>
      </c>
      <c r="F244" s="2082"/>
      <c r="G244" s="2070"/>
      <c r="H244" s="2070" t="str">
        <f>'Part II-Development Team'!H40</f>
        <v>3414 Peachtree Road Suite 825</v>
      </c>
      <c r="I244" s="2100"/>
      <c r="J244" s="2100"/>
      <c r="K244" s="2100"/>
      <c r="L244" s="2100"/>
      <c r="M244" s="2100"/>
      <c r="N244" s="2100"/>
      <c r="O244" s="2076" t="s">
        <v>1813</v>
      </c>
      <c r="P244" s="2070"/>
      <c r="Q244" s="2070" t="str">
        <f>'Part II-Development Team'!Q40</f>
        <v>Executive Director</v>
      </c>
      <c r="R244" s="2100"/>
      <c r="S244" s="2100"/>
    </row>
    <row r="245" spans="1:19">
      <c r="A245" s="2070"/>
      <c r="B245" s="2070"/>
      <c r="C245" s="2070"/>
      <c r="D245" s="2144"/>
      <c r="E245" s="2076" t="s">
        <v>642</v>
      </c>
      <c r="F245" s="2070"/>
      <c r="G245" s="2070"/>
      <c r="H245" s="2070" t="str">
        <f>'Part II-Development Team'!H41</f>
        <v>Atlanta</v>
      </c>
      <c r="I245" s="2100"/>
      <c r="J245" s="2100"/>
      <c r="K245" s="2073" t="s">
        <v>2808</v>
      </c>
      <c r="L245" s="2070" t="str">
        <f>'Part II-Development Team'!L41</f>
        <v>www.gettaxcredits.com</v>
      </c>
      <c r="M245" s="2100"/>
      <c r="N245" s="2100"/>
      <c r="O245" s="2076" t="s">
        <v>1869</v>
      </c>
      <c r="P245" s="2070"/>
      <c r="Q245" s="2085">
        <f>'Part II-Development Team'!Q41</f>
        <v>4045968042</v>
      </c>
      <c r="R245" s="2085"/>
      <c r="S245" s="2085"/>
    </row>
    <row r="246" spans="1:19">
      <c r="A246" s="2070"/>
      <c r="B246" s="2070"/>
      <c r="C246" s="2070"/>
      <c r="D246" s="2068"/>
      <c r="E246" s="2076" t="s">
        <v>1865</v>
      </c>
      <c r="F246" s="2070"/>
      <c r="G246" s="2070"/>
      <c r="H246" s="2073" t="str">
        <f>'Part II-Development Team'!H42</f>
        <v>GA</v>
      </c>
      <c r="I246" s="2070"/>
      <c r="J246" s="2070"/>
      <c r="K246" s="2073" t="s">
        <v>2308</v>
      </c>
      <c r="L246" s="2087">
        <f>'Part II-Development Team'!L42</f>
        <v>303261100</v>
      </c>
      <c r="M246" s="2100"/>
      <c r="N246" s="2070"/>
      <c r="O246" s="2076" t="s">
        <v>2054</v>
      </c>
      <c r="P246" s="2070"/>
      <c r="Q246" s="2085">
        <f>'Part II-Development Team'!Q42</f>
        <v>4045968035</v>
      </c>
      <c r="R246" s="2085"/>
      <c r="S246" s="2085"/>
    </row>
    <row r="247" spans="1:19">
      <c r="A247" s="2070"/>
      <c r="B247" s="2070"/>
      <c r="C247" s="2070"/>
      <c r="D247" s="2144"/>
      <c r="E247" s="2076" t="s">
        <v>2060</v>
      </c>
      <c r="F247" s="2070"/>
      <c r="G247" s="2070"/>
      <c r="H247" s="2085">
        <f>'Part II-Development Team'!H43</f>
        <v>4045968042</v>
      </c>
      <c r="I247" s="2085"/>
      <c r="J247" s="2084">
        <f>'Part II-Development Team'!J43</f>
        <v>0</v>
      </c>
      <c r="K247" s="2073" t="s">
        <v>2059</v>
      </c>
      <c r="L247" s="2089" t="str">
        <f>'Part II-Development Team'!L43</f>
        <v>rdelmer@gettaxcredits.com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2065</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2808</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2308</v>
      </c>
      <c r="L253" s="2087">
        <f>'Part II-Development Team'!L49</f>
        <v>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Vantage Development, LLC</v>
      </c>
      <c r="I258" s="2100"/>
      <c r="J258" s="2100"/>
      <c r="K258" s="2100"/>
      <c r="L258" s="2100"/>
      <c r="M258" s="2100"/>
      <c r="N258" s="2100"/>
      <c r="O258" s="2076" t="s">
        <v>2065</v>
      </c>
      <c r="P258" s="2076"/>
      <c r="Q258" s="2070" t="str">
        <f>'Part II-Development Team'!Q54</f>
        <v>Lowell R. Barron II</v>
      </c>
      <c r="R258" s="2100"/>
      <c r="S258" s="2100"/>
    </row>
    <row r="259" spans="1:19">
      <c r="A259" s="2070"/>
      <c r="B259" s="2070"/>
      <c r="C259" s="2070"/>
      <c r="D259" s="2144"/>
      <c r="E259" s="2076" t="s">
        <v>1058</v>
      </c>
      <c r="F259" s="2082"/>
      <c r="G259" s="2070"/>
      <c r="H259" s="2070" t="str">
        <f>'Part II-Development Team'!H55</f>
        <v>1544 S. Main Street</v>
      </c>
      <c r="I259" s="2100"/>
      <c r="J259" s="2100"/>
      <c r="K259" s="2100"/>
      <c r="L259" s="2100"/>
      <c r="M259" s="2100"/>
      <c r="N259" s="2100"/>
      <c r="O259" s="2076" t="s">
        <v>1813</v>
      </c>
      <c r="P259" s="2070"/>
      <c r="Q259" s="2070" t="str">
        <f>'Part II-Development Team'!Q55</f>
        <v>President</v>
      </c>
      <c r="R259" s="2100"/>
      <c r="S259" s="2100"/>
    </row>
    <row r="260" spans="1:19">
      <c r="A260" s="2070"/>
      <c r="B260" s="2070"/>
      <c r="C260" s="2070"/>
      <c r="D260" s="2144"/>
      <c r="E260" s="2076" t="s">
        <v>642</v>
      </c>
      <c r="F260" s="2070"/>
      <c r="G260" s="2070"/>
      <c r="H260" s="2070" t="str">
        <f>'Part II-Development Team'!H56</f>
        <v>Fyffe</v>
      </c>
      <c r="I260" s="2100"/>
      <c r="J260" s="2100"/>
      <c r="K260" s="2073" t="s">
        <v>2808</v>
      </c>
      <c r="L260" s="2070" t="str">
        <f>'Part II-Development Team'!L56</f>
        <v>www.thevantagegroup.biz</v>
      </c>
      <c r="M260" s="2100"/>
      <c r="N260" s="2100"/>
      <c r="O260" s="2076" t="s">
        <v>1869</v>
      </c>
      <c r="P260" s="2070"/>
      <c r="Q260" s="2085">
        <f>'Part II-Development Team'!Q56</f>
        <v>2569976659</v>
      </c>
      <c r="R260" s="2085"/>
      <c r="S260" s="2085"/>
    </row>
    <row r="261" spans="1:19">
      <c r="A261" s="2070"/>
      <c r="B261" s="2070"/>
      <c r="C261" s="2070"/>
      <c r="D261" s="2070"/>
      <c r="E261" s="2076" t="s">
        <v>1865</v>
      </c>
      <c r="F261" s="2070"/>
      <c r="G261" s="2070"/>
      <c r="H261" s="2073" t="str">
        <f>'Part II-Development Team'!H57</f>
        <v>AL</v>
      </c>
      <c r="I261" s="2070"/>
      <c r="J261" s="2070"/>
      <c r="K261" s="2073" t="s">
        <v>2308</v>
      </c>
      <c r="L261" s="2087">
        <f>'Part II-Development Team'!L57</f>
        <v>359713484</v>
      </c>
      <c r="M261" s="2100"/>
      <c r="N261" s="2070"/>
      <c r="O261" s="2076" t="s">
        <v>2054</v>
      </c>
      <c r="P261" s="2070"/>
      <c r="Q261" s="2085">
        <f>'Part II-Development Team'!Q57</f>
        <v>2569976659</v>
      </c>
      <c r="R261" s="2085"/>
      <c r="S261" s="2085"/>
    </row>
    <row r="262" spans="1:19">
      <c r="A262" s="2070"/>
      <c r="B262" s="2070"/>
      <c r="C262" s="2070"/>
      <c r="D262" s="2144"/>
      <c r="E262" s="2076" t="s">
        <v>2060</v>
      </c>
      <c r="F262" s="2070"/>
      <c r="G262" s="2070"/>
      <c r="H262" s="2085">
        <f>'Part II-Development Team'!H58</f>
        <v>2564174920</v>
      </c>
      <c r="I262" s="2085"/>
      <c r="J262" s="2084">
        <f>'Part II-Development Team'!J58</f>
        <v>224</v>
      </c>
      <c r="K262" s="2073" t="s">
        <v>2059</v>
      </c>
      <c r="L262" s="2089" t="str">
        <f>'Part II-Development Team'!L58</f>
        <v>lbarron@thevantagegroup.biz</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2808</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Fyffe Construction Company, Inc.</v>
      </c>
      <c r="I290" s="2100"/>
      <c r="J290" s="2100"/>
      <c r="K290" s="2100"/>
      <c r="L290" s="2100"/>
      <c r="M290" s="2100"/>
      <c r="N290" s="2100"/>
      <c r="O290" s="2076" t="s">
        <v>2065</v>
      </c>
      <c r="P290" s="2076"/>
      <c r="Q290" s="2070" t="str">
        <f>'Part II-Development Team'!Q86</f>
        <v>Lowell R. Barron II</v>
      </c>
      <c r="R290" s="2100"/>
      <c r="S290" s="2100"/>
    </row>
    <row r="291" spans="1:19">
      <c r="A291" s="2070"/>
      <c r="B291" s="2070"/>
      <c r="C291" s="2070"/>
      <c r="D291" s="2144"/>
      <c r="E291" s="2076" t="s">
        <v>1058</v>
      </c>
      <c r="F291" s="2082"/>
      <c r="G291" s="2070"/>
      <c r="H291" s="2070" t="str">
        <f>'Part II-Development Team'!H87</f>
        <v>1544 S. Main Street</v>
      </c>
      <c r="I291" s="2100"/>
      <c r="J291" s="2100"/>
      <c r="K291" s="2100"/>
      <c r="L291" s="2100"/>
      <c r="M291" s="2100"/>
      <c r="N291" s="2100"/>
      <c r="O291" s="2076" t="s">
        <v>1813</v>
      </c>
      <c r="P291" s="2070"/>
      <c r="Q291" s="2070" t="str">
        <f>'Part II-Development Team'!Q87</f>
        <v>President</v>
      </c>
      <c r="R291" s="2100"/>
      <c r="S291" s="2100"/>
    </row>
    <row r="292" spans="1:19">
      <c r="A292" s="2070"/>
      <c r="B292" s="2070"/>
      <c r="C292" s="2070"/>
      <c r="D292" s="2144"/>
      <c r="E292" s="2076" t="s">
        <v>642</v>
      </c>
      <c r="F292" s="2070"/>
      <c r="G292" s="2070"/>
      <c r="H292" s="2070" t="str">
        <f>'Part II-Development Team'!H88</f>
        <v xml:space="preserve">Fyffe  </v>
      </c>
      <c r="I292" s="2100"/>
      <c r="J292" s="2100"/>
      <c r="K292" s="2073" t="s">
        <v>2808</v>
      </c>
      <c r="L292" s="2070" t="str">
        <f>'Part II-Development Team'!L88</f>
        <v>www.fyffeconstruction.com</v>
      </c>
      <c r="M292" s="2100"/>
      <c r="N292" s="2100"/>
      <c r="O292" s="2076" t="s">
        <v>1869</v>
      </c>
      <c r="P292" s="2070"/>
      <c r="Q292" s="2085">
        <f>'Part II-Development Team'!Q88</f>
        <v>2569976659</v>
      </c>
      <c r="R292" s="2085"/>
      <c r="S292" s="2085"/>
    </row>
    <row r="293" spans="1:19">
      <c r="A293" s="2070"/>
      <c r="B293" s="2070"/>
      <c r="C293" s="2070"/>
      <c r="D293" s="2070"/>
      <c r="E293" s="2076" t="s">
        <v>1865</v>
      </c>
      <c r="F293" s="2070"/>
      <c r="G293" s="2070"/>
      <c r="H293" s="2073" t="str">
        <f>'Part II-Development Team'!H89</f>
        <v>AL</v>
      </c>
      <c r="I293" s="2070"/>
      <c r="J293" s="2070"/>
      <c r="K293" s="2073" t="s">
        <v>2308</v>
      </c>
      <c r="L293" s="2087">
        <f>'Part II-Development Team'!L89</f>
        <v>359713484</v>
      </c>
      <c r="M293" s="2100"/>
      <c r="N293" s="2070"/>
      <c r="O293" s="2076" t="s">
        <v>2054</v>
      </c>
      <c r="P293" s="2070"/>
      <c r="Q293" s="2085">
        <f>'Part II-Development Team'!Q89</f>
        <v>2569976659</v>
      </c>
      <c r="R293" s="2085"/>
      <c r="S293" s="2085"/>
    </row>
    <row r="294" spans="1:19">
      <c r="A294" s="2070"/>
      <c r="B294" s="2070"/>
      <c r="C294" s="2070"/>
      <c r="D294" s="2144"/>
      <c r="E294" s="2076" t="s">
        <v>2060</v>
      </c>
      <c r="F294" s="2070"/>
      <c r="G294" s="2070"/>
      <c r="H294" s="2085">
        <f>'Part II-Development Team'!H90</f>
        <v>2564174922</v>
      </c>
      <c r="I294" s="2085"/>
      <c r="J294" s="2084">
        <f>'Part II-Development Team'!J90</f>
        <v>239</v>
      </c>
      <c r="K294" s="2073" t="s">
        <v>2059</v>
      </c>
      <c r="L294" s="2089" t="str">
        <f>'Part II-Development Team'!L90</f>
        <v>lbarron@thevantagegroup.biz</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Vantage Management, LLC</v>
      </c>
      <c r="I296" s="2100"/>
      <c r="J296" s="2100"/>
      <c r="K296" s="2100"/>
      <c r="L296" s="2100"/>
      <c r="M296" s="2100"/>
      <c r="N296" s="2100"/>
      <c r="O296" s="2076" t="s">
        <v>2065</v>
      </c>
      <c r="P296" s="2076"/>
      <c r="Q296" s="2070" t="str">
        <f>'Part II-Development Team'!Q92</f>
        <v>Lowell R. Barron II</v>
      </c>
      <c r="R296" s="2100"/>
      <c r="S296" s="2100"/>
    </row>
    <row r="297" spans="1:19">
      <c r="A297" s="2070"/>
      <c r="B297" s="2070"/>
      <c r="C297" s="2070"/>
      <c r="D297" s="2144"/>
      <c r="E297" s="2076" t="s">
        <v>1058</v>
      </c>
      <c r="F297" s="2082"/>
      <c r="G297" s="2070"/>
      <c r="H297" s="2070" t="str">
        <f>'Part II-Development Team'!H93</f>
        <v>1544 S. Main Street</v>
      </c>
      <c r="I297" s="2100"/>
      <c r="J297" s="2100"/>
      <c r="K297" s="2100"/>
      <c r="L297" s="2100"/>
      <c r="M297" s="2100"/>
      <c r="N297" s="2100"/>
      <c r="O297" s="2076" t="s">
        <v>1813</v>
      </c>
      <c r="P297" s="2070"/>
      <c r="Q297" s="2070" t="str">
        <f>'Part II-Development Team'!Q93</f>
        <v>President</v>
      </c>
      <c r="R297" s="2100"/>
      <c r="S297" s="2100"/>
    </row>
    <row r="298" spans="1:19">
      <c r="A298" s="2070"/>
      <c r="B298" s="2070"/>
      <c r="C298" s="2070"/>
      <c r="D298" s="2144"/>
      <c r="E298" s="2076" t="s">
        <v>642</v>
      </c>
      <c r="F298" s="2070"/>
      <c r="G298" s="2070"/>
      <c r="H298" s="2070" t="str">
        <f>'Part II-Development Team'!H94</f>
        <v>Fyffe</v>
      </c>
      <c r="I298" s="2100"/>
      <c r="J298" s="2100"/>
      <c r="K298" s="2073" t="s">
        <v>2808</v>
      </c>
      <c r="L298" s="2070" t="str">
        <f>'Part II-Development Team'!L94</f>
        <v>www.thevantagegroup.biz</v>
      </c>
      <c r="M298" s="2100"/>
      <c r="N298" s="2100"/>
      <c r="O298" s="2076" t="s">
        <v>1869</v>
      </c>
      <c r="P298" s="2070"/>
      <c r="Q298" s="2085">
        <f>'Part II-Development Team'!Q94</f>
        <v>2569976659</v>
      </c>
      <c r="R298" s="2085"/>
      <c r="S298" s="2085"/>
    </row>
    <row r="299" spans="1:19">
      <c r="A299" s="2070"/>
      <c r="B299" s="2070"/>
      <c r="C299" s="2070"/>
      <c r="D299" s="2144"/>
      <c r="E299" s="2076" t="s">
        <v>1865</v>
      </c>
      <c r="F299" s="2070"/>
      <c r="G299" s="2070"/>
      <c r="H299" s="2073" t="str">
        <f>'Part II-Development Team'!H95</f>
        <v>AL</v>
      </c>
      <c r="I299" s="2070"/>
      <c r="J299" s="2070"/>
      <c r="K299" s="2073" t="s">
        <v>2308</v>
      </c>
      <c r="L299" s="2087">
        <f>'Part II-Development Team'!L95</f>
        <v>359713484</v>
      </c>
      <c r="M299" s="2100"/>
      <c r="N299" s="2070"/>
      <c r="O299" s="2076" t="s">
        <v>2054</v>
      </c>
      <c r="P299" s="2070"/>
      <c r="Q299" s="2085">
        <f>'Part II-Development Team'!Q95</f>
        <v>2569976659</v>
      </c>
      <c r="R299" s="2085"/>
      <c r="S299" s="2085"/>
    </row>
    <row r="300" spans="1:19">
      <c r="A300" s="2070"/>
      <c r="B300" s="2070"/>
      <c r="C300" s="2070"/>
      <c r="D300" s="2144"/>
      <c r="E300" s="2076" t="s">
        <v>2060</v>
      </c>
      <c r="F300" s="2070"/>
      <c r="G300" s="2070"/>
      <c r="H300" s="2085">
        <f>'Part II-Development Team'!H96</f>
        <v>2564174921</v>
      </c>
      <c r="I300" s="2085"/>
      <c r="J300" s="2084">
        <f>'Part II-Development Team'!J96</f>
        <v>208</v>
      </c>
      <c r="K300" s="2073" t="s">
        <v>2059</v>
      </c>
      <c r="L300" s="2089" t="str">
        <f>'Part II-Development Team'!L96</f>
        <v>lbarron@thevantagegroup.biz</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Balch &amp; Bingham, LLP</v>
      </c>
      <c r="I302" s="2100"/>
      <c r="J302" s="2100"/>
      <c r="K302" s="2100"/>
      <c r="L302" s="2100"/>
      <c r="M302" s="2100"/>
      <c r="N302" s="2100"/>
      <c r="O302" s="2076" t="s">
        <v>2065</v>
      </c>
      <c r="P302" s="2076"/>
      <c r="Q302" s="2070" t="str">
        <f>'Part II-Development Team'!Q98</f>
        <v>Matt Aiken</v>
      </c>
      <c r="R302" s="2100"/>
      <c r="S302" s="2100"/>
    </row>
    <row r="303" spans="1:19">
      <c r="A303" s="2070"/>
      <c r="B303" s="2070"/>
      <c r="C303" s="2070"/>
      <c r="D303" s="2144"/>
      <c r="E303" s="2076" t="s">
        <v>1058</v>
      </c>
      <c r="F303" s="2082"/>
      <c r="G303" s="2070"/>
      <c r="H303" s="2070" t="str">
        <f>'Part II-Development Team'!H99</f>
        <v>1901 Sixth Avenue North</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Birmingham</v>
      </c>
      <c r="I304" s="2100"/>
      <c r="J304" s="2100"/>
      <c r="K304" s="2073" t="s">
        <v>2808</v>
      </c>
      <c r="L304" s="2070" t="str">
        <f>'Part II-Development Team'!L100</f>
        <v>www.balch.com</v>
      </c>
      <c r="M304" s="2100"/>
      <c r="N304" s="2100"/>
      <c r="O304" s="2076" t="s">
        <v>1869</v>
      </c>
      <c r="P304" s="2070"/>
      <c r="Q304" s="2085">
        <f>'Part II-Development Team'!Q100</f>
        <v>2052263425</v>
      </c>
      <c r="R304" s="2085"/>
      <c r="S304" s="2085"/>
    </row>
    <row r="305" spans="1:19">
      <c r="A305" s="2070"/>
      <c r="B305" s="2070"/>
      <c r="C305" s="2070"/>
      <c r="D305" s="2144"/>
      <c r="E305" s="2076" t="s">
        <v>1865</v>
      </c>
      <c r="F305" s="2070"/>
      <c r="G305" s="2070"/>
      <c r="H305" s="2073" t="str">
        <f>'Part II-Development Team'!H101</f>
        <v>AL</v>
      </c>
      <c r="I305" s="2070"/>
      <c r="J305" s="2070"/>
      <c r="K305" s="2073" t="s">
        <v>2308</v>
      </c>
      <c r="L305" s="2087">
        <f>'Part II-Development Team'!L101</f>
        <v>352034642</v>
      </c>
      <c r="M305" s="2100"/>
      <c r="N305" s="2070"/>
      <c r="O305" s="2076" t="s">
        <v>2054</v>
      </c>
      <c r="P305" s="2070"/>
      <c r="Q305" s="2085">
        <f>'Part II-Development Team'!Q101</f>
        <v>2053358539</v>
      </c>
      <c r="R305" s="2085"/>
      <c r="S305" s="2085"/>
    </row>
    <row r="306" spans="1:19">
      <c r="A306" s="2075"/>
      <c r="B306" s="2075"/>
      <c r="C306" s="2075"/>
      <c r="D306" s="2075"/>
      <c r="E306" s="2076" t="s">
        <v>2060</v>
      </c>
      <c r="F306" s="2070"/>
      <c r="G306" s="2070"/>
      <c r="H306" s="2085">
        <f>'Part II-Development Team'!H102</f>
        <v>2052263425</v>
      </c>
      <c r="I306" s="2085"/>
      <c r="J306" s="2084" t="str">
        <f>'Part II-Development Team'!J102</f>
        <v>N/A</v>
      </c>
      <c r="K306" s="2073" t="s">
        <v>2059</v>
      </c>
      <c r="L306" s="2089" t="str">
        <f>'Part II-Development Team'!L102</f>
        <v>maiken@balch.com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Cone &amp; Smith, PC</v>
      </c>
      <c r="I309" s="2100"/>
      <c r="J309" s="2100"/>
      <c r="K309" s="2100"/>
      <c r="L309" s="2100"/>
      <c r="M309" s="2100"/>
      <c r="N309" s="2100"/>
      <c r="O309" s="2076" t="s">
        <v>2065</v>
      </c>
      <c r="P309" s="2076"/>
      <c r="Q309" s="2070" t="str">
        <f>'Part II-Development Team'!Q105</f>
        <v>David Smith</v>
      </c>
      <c r="R309" s="2100"/>
      <c r="S309" s="2100"/>
    </row>
    <row r="310" spans="1:19">
      <c r="A310" s="2070"/>
      <c r="B310" s="2070"/>
      <c r="C310" s="2070"/>
      <c r="D310" s="2144"/>
      <c r="E310" s="2076" t="s">
        <v>1058</v>
      </c>
      <c r="F310" s="2082"/>
      <c r="G310" s="2070"/>
      <c r="H310" s="2070" t="str">
        <f>'Part II-Development Team'!H106</f>
        <v>3421 Rainbow Parkway</v>
      </c>
      <c r="I310" s="2100"/>
      <c r="J310" s="2100"/>
      <c r="K310" s="2100"/>
      <c r="L310" s="2100"/>
      <c r="M310" s="2100"/>
      <c r="N310" s="2100"/>
      <c r="O310" s="2076" t="s">
        <v>1813</v>
      </c>
      <c r="P310" s="2070"/>
      <c r="Q310" s="2070" t="str">
        <f>'Part II-Development Team'!Q106</f>
        <v>Principal, CPA</v>
      </c>
      <c r="R310" s="2100"/>
      <c r="S310" s="2100"/>
    </row>
    <row r="311" spans="1:19">
      <c r="A311" s="2070"/>
      <c r="B311" s="2070"/>
      <c r="C311" s="2070"/>
      <c r="D311" s="2144"/>
      <c r="E311" s="2076" t="s">
        <v>642</v>
      </c>
      <c r="F311" s="2070"/>
      <c r="G311" s="2070"/>
      <c r="H311" s="2070" t="str">
        <f>'Part II-Development Team'!H107</f>
        <v>Rainbow City</v>
      </c>
      <c r="I311" s="2100"/>
      <c r="J311" s="2100"/>
      <c r="K311" s="2073" t="s">
        <v>2808</v>
      </c>
      <c r="L311" s="2070" t="str">
        <f>'Part II-Development Team'!L107</f>
        <v>N/A</v>
      </c>
      <c r="M311" s="2100"/>
      <c r="N311" s="2100"/>
      <c r="O311" s="2076" t="s">
        <v>1869</v>
      </c>
      <c r="P311" s="2070"/>
      <c r="Q311" s="2085">
        <f>'Part II-Development Team'!Q107</f>
        <v>2564133057</v>
      </c>
      <c r="R311" s="2085"/>
      <c r="S311" s="2085"/>
    </row>
    <row r="312" spans="1:19">
      <c r="A312" s="2070"/>
      <c r="B312" s="2070"/>
      <c r="C312" s="2070"/>
      <c r="D312" s="2144"/>
      <c r="E312" s="2076" t="s">
        <v>1865</v>
      </c>
      <c r="F312" s="2070"/>
      <c r="G312" s="2070"/>
      <c r="H312" s="2073" t="str">
        <f>'Part II-Development Team'!H108</f>
        <v>AL</v>
      </c>
      <c r="I312" s="2070"/>
      <c r="J312" s="2070"/>
      <c r="K312" s="2073" t="s">
        <v>2308</v>
      </c>
      <c r="L312" s="2087">
        <f>'Part II-Development Team'!L108</f>
        <v>359063206</v>
      </c>
      <c r="M312" s="2100"/>
      <c r="N312" s="2070"/>
      <c r="O312" s="2076" t="s">
        <v>2054</v>
      </c>
      <c r="P312" s="2070"/>
      <c r="Q312" s="2085">
        <f>'Part II-Development Team'!Q108</f>
        <v>2563905972</v>
      </c>
      <c r="R312" s="2085"/>
      <c r="S312" s="2085"/>
    </row>
    <row r="313" spans="1:19">
      <c r="A313" s="2075"/>
      <c r="B313" s="2075"/>
      <c r="C313" s="2075"/>
      <c r="D313" s="2075"/>
      <c r="E313" s="2076" t="s">
        <v>2060</v>
      </c>
      <c r="F313" s="2070"/>
      <c r="G313" s="2070"/>
      <c r="H313" s="2085">
        <f>'Part II-Development Team'!H109</f>
        <v>2564133057</v>
      </c>
      <c r="I313" s="2085"/>
      <c r="J313" s="2084" t="str">
        <f>'Part II-Development Team'!J109</f>
        <v>N/A</v>
      </c>
      <c r="K313" s="2073" t="s">
        <v>2059</v>
      </c>
      <c r="L313" s="2089" t="str">
        <f>'Part II-Development Team'!L109</f>
        <v>dsmith@coneandsmith.com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Wallace Architects, LLC</v>
      </c>
      <c r="I315" s="2100"/>
      <c r="J315" s="2100"/>
      <c r="K315" s="2100"/>
      <c r="L315" s="2100"/>
      <c r="M315" s="2100"/>
      <c r="N315" s="2100"/>
      <c r="O315" s="2076" t="s">
        <v>2065</v>
      </c>
      <c r="P315" s="2076"/>
      <c r="Q315" s="2070" t="str">
        <f>'Part II-Development Team'!Q111</f>
        <v>Mike Kleffner</v>
      </c>
      <c r="R315" s="2100"/>
      <c r="S315" s="2100"/>
    </row>
    <row r="316" spans="1:19">
      <c r="A316" s="2070"/>
      <c r="B316" s="2070"/>
      <c r="C316" s="2070"/>
      <c r="D316" s="2144"/>
      <c r="E316" s="2076" t="s">
        <v>1058</v>
      </c>
      <c r="F316" s="2082"/>
      <c r="G316" s="2070"/>
      <c r="H316" s="2070" t="str">
        <f>'Part II-Development Team'!H112</f>
        <v>3615 West Broadway, Suite B</v>
      </c>
      <c r="I316" s="2100"/>
      <c r="J316" s="2100"/>
      <c r="K316" s="2100"/>
      <c r="L316" s="2100"/>
      <c r="M316" s="2100"/>
      <c r="N316" s="2100"/>
      <c r="O316" s="2076" t="s">
        <v>1813</v>
      </c>
      <c r="P316" s="2070"/>
      <c r="Q316" s="2070" t="str">
        <f>'Part II-Development Team'!Q112</f>
        <v>Architect</v>
      </c>
      <c r="R316" s="2100"/>
      <c r="S316" s="2100"/>
    </row>
    <row r="317" spans="1:19">
      <c r="A317" s="2070"/>
      <c r="B317" s="2070"/>
      <c r="C317" s="2070"/>
      <c r="D317" s="2144"/>
      <c r="E317" s="2076" t="s">
        <v>642</v>
      </c>
      <c r="F317" s="2070"/>
      <c r="G317" s="2070"/>
      <c r="H317" s="2070" t="str">
        <f>'Part II-Development Team'!H113</f>
        <v>Sedalia</v>
      </c>
      <c r="I317" s="2100"/>
      <c r="J317" s="2100"/>
      <c r="K317" s="2073" t="s">
        <v>2808</v>
      </c>
      <c r="L317" s="2070" t="str">
        <f>'Part II-Development Team'!L113</f>
        <v>www.wallacearchitects.com</v>
      </c>
      <c r="M317" s="2100"/>
      <c r="N317" s="2100"/>
      <c r="O317" s="2076" t="s">
        <v>1869</v>
      </c>
      <c r="P317" s="2070"/>
      <c r="Q317" s="2085">
        <f>'Part II-Development Team'!Q113</f>
        <v>6608267000</v>
      </c>
      <c r="R317" s="2085"/>
      <c r="S317" s="2085"/>
    </row>
    <row r="318" spans="1:19">
      <c r="A318" s="2070"/>
      <c r="B318" s="2070"/>
      <c r="C318" s="2070"/>
      <c r="D318" s="2144"/>
      <c r="E318" s="2076" t="s">
        <v>1865</v>
      </c>
      <c r="F318" s="2070"/>
      <c r="G318" s="2070"/>
      <c r="H318" s="2073" t="str">
        <f>'Part II-Development Team'!H114</f>
        <v>MO</v>
      </c>
      <c r="I318" s="2070"/>
      <c r="J318" s="2070"/>
      <c r="K318" s="2073" t="s">
        <v>2308</v>
      </c>
      <c r="L318" s="2087">
        <f>'Part II-Development Team'!L114</f>
        <v>653012479</v>
      </c>
      <c r="M318" s="2100"/>
      <c r="N318" s="2070"/>
      <c r="O318" s="2076" t="s">
        <v>2054</v>
      </c>
      <c r="P318" s="2070"/>
      <c r="Q318" s="2085">
        <f>'Part II-Development Team'!Q114</f>
        <v>6602817041</v>
      </c>
      <c r="R318" s="2085"/>
      <c r="S318" s="2085"/>
    </row>
    <row r="319" spans="1:19">
      <c r="A319" s="2070"/>
      <c r="B319" s="2070"/>
      <c r="C319" s="2070"/>
      <c r="D319" s="2144"/>
      <c r="E319" s="2076" t="s">
        <v>2060</v>
      </c>
      <c r="F319" s="2070"/>
      <c r="G319" s="2070"/>
      <c r="H319" s="2085">
        <f>'Part II-Development Team'!H115</f>
        <v>6608267000</v>
      </c>
      <c r="I319" s="2085"/>
      <c r="J319" s="2084" t="str">
        <f>'Part II-Development Team'!J115</f>
        <v>N/A</v>
      </c>
      <c r="K319" s="2073" t="s">
        <v>2059</v>
      </c>
      <c r="L319" s="2089" t="str">
        <f>'Part II-Development Team'!L115</f>
        <v>mikek@wallacearchitects.com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4413</v>
      </c>
      <c r="D322" s="2070"/>
      <c r="E322" s="2070"/>
      <c r="F322" s="2070"/>
      <c r="G322" s="2070"/>
      <c r="H322" s="2070" t="str">
        <f>'Part II-Development Team'!H118</f>
        <v>Olin Wooten</v>
      </c>
      <c r="I322" s="2070"/>
      <c r="J322" s="2070"/>
      <c r="K322" s="2073" t="s">
        <v>2560</v>
      </c>
      <c r="L322" s="2070" t="str">
        <f>'Part II-Development Team'!L118</f>
        <v>N/A</v>
      </c>
      <c r="M322" s="2100"/>
      <c r="N322" s="2100"/>
      <c r="O322" s="2076" t="s">
        <v>3870</v>
      </c>
      <c r="P322" s="2070"/>
      <c r="Q322" s="2070">
        <f>'Part II-Development Team'!Q118</f>
        <v>9124090925</v>
      </c>
      <c r="R322" s="2100"/>
      <c r="S322" s="2100"/>
    </row>
    <row r="323" spans="1:19">
      <c r="A323" s="2070"/>
      <c r="B323" s="2070"/>
      <c r="C323" s="2070"/>
      <c r="D323" s="2144"/>
      <c r="E323" s="2076" t="s">
        <v>1058</v>
      </c>
      <c r="F323" s="2082"/>
      <c r="G323" s="2070"/>
      <c r="H323" s="2070" t="str">
        <f>'Part II-Development Team'!H119</f>
        <v>340 McEachin Landing Road</v>
      </c>
      <c r="I323" s="2100"/>
      <c r="J323" s="2100"/>
      <c r="K323" s="2100"/>
      <c r="L323" s="2100"/>
      <c r="M323" s="2100"/>
      <c r="N323" s="2100"/>
      <c r="O323" s="2076" t="s">
        <v>642</v>
      </c>
      <c r="P323" s="2070"/>
      <c r="Q323" s="2070" t="str">
        <f>'Part II-Development Team'!Q119</f>
        <v>Hazlehurst</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315395740</v>
      </c>
      <c r="K324" s="2100"/>
      <c r="L324" s="2073" t="s">
        <v>2059</v>
      </c>
      <c r="M324" s="2089" t="str">
        <f>'Part II-Development Team'!M120</f>
        <v>ow@owacc.com</v>
      </c>
      <c r="N324" s="2089"/>
      <c r="O324" s="2089"/>
      <c r="P324" s="2089"/>
      <c r="Q324" s="2089"/>
      <c r="R324" s="2089"/>
      <c r="S324" s="2089"/>
    </row>
    <row r="325" spans="1:19">
      <c r="A325" s="2075"/>
      <c r="B325" s="2068" t="s">
        <v>2061</v>
      </c>
      <c r="C325" s="2068" t="s">
        <v>2973</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3685</v>
      </c>
      <c r="B326" s="2067"/>
      <c r="C326" s="2067"/>
      <c r="D326" s="2067"/>
      <c r="E326" s="2067"/>
      <c r="F326" s="2084" t="s">
        <v>2597</v>
      </c>
      <c r="G326" s="2129" t="s">
        <v>3746</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2974</v>
      </c>
      <c r="E327" s="2067"/>
      <c r="F327" s="2150" t="str">
        <f>'Part II-Development Team'!F123</f>
        <v>Yes</v>
      </c>
      <c r="G327" s="2151" t="str">
        <f>'Part II-Development Team'!G123</f>
        <v>Vantage Development, LLC and Fyffe Construction Company, Inc. are both owned by Lowell R. Barron II</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3045</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3017</v>
      </c>
      <c r="E329" s="2067"/>
      <c r="F329" s="2150" t="str">
        <f>'Part II-Development Team'!F125</f>
        <v>Yes</v>
      </c>
      <c r="G329" s="2151" t="str">
        <f>'Part II-Development Team'!G125</f>
        <v>Lowell R. Barron II is the President of the Managing GP and the Principal of Fyffe Construction Company, Inc.</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2975</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3725</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3726</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2976</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76.5">
      <c r="A334" s="2070"/>
      <c r="B334" s="2134"/>
      <c r="C334" s="2149" t="s">
        <v>522</v>
      </c>
      <c r="D334" s="2067" t="s">
        <v>1659</v>
      </c>
      <c r="E334" s="2067"/>
      <c r="F334" s="2150" t="str">
        <f>'Part II-Development Team'!F130</f>
        <v>Yes</v>
      </c>
      <c r="G334" s="2151" t="str">
        <f>'Part II-Development Team'!G130</f>
        <v>Vantage Management, LLC is also owned by Lowell R. Barron II</v>
      </c>
      <c r="H334" s="2151"/>
      <c r="I334" s="2151"/>
      <c r="J334" s="2151"/>
      <c r="K334" s="2151"/>
      <c r="L334" s="2151"/>
      <c r="M334" s="2151"/>
      <c r="N334" s="2151"/>
      <c r="O334" s="2151"/>
      <c r="P334" s="2151"/>
      <c r="Q334" s="2151"/>
      <c r="R334" s="2151"/>
      <c r="S334" s="2151"/>
    </row>
    <row r="335" spans="1:19">
      <c r="A335" s="2068" t="s">
        <v>1858</v>
      </c>
      <c r="B335" s="2068" t="s">
        <v>4414</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2977</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3691</v>
      </c>
      <c r="F338" s="2152"/>
      <c r="G338" s="2152"/>
      <c r="H338" s="2152"/>
      <c r="I338" s="2152"/>
      <c r="J338" s="2067" t="s">
        <v>3692</v>
      </c>
      <c r="K338" s="2152" t="s">
        <v>4415</v>
      </c>
      <c r="L338" s="2152" t="s">
        <v>4416</v>
      </c>
      <c r="M338" s="2152" t="s">
        <v>4417</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3724</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3063</v>
      </c>
      <c r="O342" s="2100"/>
      <c r="P342" s="2100"/>
      <c r="Q342" s="2100"/>
      <c r="R342" s="2100"/>
      <c r="S342" s="2100"/>
    </row>
    <row r="343" spans="1:19" ht="12.75" customHeight="1">
      <c r="A343" s="2067" t="s">
        <v>3686</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No</v>
      </c>
      <c r="N343" s="2151">
        <f>'Part II-Development Team'!N139</f>
        <v>0</v>
      </c>
      <c r="O343" s="2151"/>
      <c r="P343" s="2151"/>
      <c r="Q343" s="2151"/>
      <c r="R343" s="2151"/>
      <c r="S343" s="2151"/>
    </row>
    <row r="344" spans="1:19" ht="12.75" customHeight="1">
      <c r="A344" s="2067" t="s">
        <v>3687</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3688</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3689</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3690</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3038</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3039</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3040</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3042</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t="str">
        <f>'Part II-Development Team'!N148</f>
        <v xml:space="preserve"> </v>
      </c>
      <c r="O352" s="2151"/>
      <c r="P352" s="2151"/>
      <c r="Q352" s="2151"/>
      <c r="R352" s="2151"/>
      <c r="S352" s="2151"/>
    </row>
    <row r="353" spans="1:19" ht="12.75" customHeight="1">
      <c r="A353" s="2067" t="s">
        <v>3041</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3043</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405">
      <c r="A358" s="2143" t="str">
        <f>'Part II-Development Team'!A154</f>
        <v>Vantage Partners 2016 GA, LLC (General Partner), Vantage Development, LLC (Developer), Fyffe Construction Company, Inc. (General Contractor) and Vantage Management, LLC (Management Company) are all owned by Lowell R. Barron II.
There is not an extension number needed for State Tax Credit Exchange.</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2016-010 The Preserve at Newport, Kingsland, Camden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4126</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2697</v>
      </c>
      <c r="N369" s="2083"/>
      <c r="O369" s="2083"/>
      <c r="P369" s="2083"/>
      <c r="Q369" s="2134"/>
    </row>
    <row r="370" spans="1:17" ht="13.5">
      <c r="A370" s="2070"/>
      <c r="B370" s="2073" t="str">
        <f>'Part III-Sources of Funds'!B7</f>
        <v>No</v>
      </c>
      <c r="C370" s="2076" t="s">
        <v>4098</v>
      </c>
      <c r="D370" s="2083"/>
      <c r="E370" s="2128">
        <f>'Part III-Sources of Funds'!E7</f>
        <v>0</v>
      </c>
      <c r="F370" s="2128"/>
      <c r="G370" s="2083"/>
      <c r="H370" s="2073" t="str">
        <f>'Part III-Sources of Funds'!H7</f>
        <v>No</v>
      </c>
      <c r="I370" s="2076" t="s">
        <v>4125</v>
      </c>
      <c r="J370" s="2083"/>
      <c r="K370" s="2083"/>
      <c r="L370" s="2073" t="str">
        <f>'Part III-Sources of Funds'!L7</f>
        <v>No</v>
      </c>
      <c r="M370" s="2076" t="s">
        <v>4133</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No</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No</v>
      </c>
      <c r="M372" s="2100" t="s">
        <v>2690</v>
      </c>
      <c r="N372" s="2083"/>
      <c r="O372" s="2083"/>
      <c r="P372" s="2070"/>
      <c r="Q372" s="2070"/>
    </row>
    <row r="373" spans="1:17" ht="13.5" customHeight="1">
      <c r="A373" s="2069"/>
      <c r="B373" s="2073" t="str">
        <f>'Part III-Sources of Funds'!B10</f>
        <v>Yes</v>
      </c>
      <c r="C373" s="2076" t="s">
        <v>4418</v>
      </c>
      <c r="D373" s="2070"/>
      <c r="E373" s="2128">
        <f>'Part III-Sources of Funds'!E10</f>
        <v>1250099</v>
      </c>
      <c r="F373" s="2128"/>
      <c r="G373" s="2158"/>
      <c r="H373" s="2073" t="str">
        <f>'Part III-Sources of Funds'!H10</f>
        <v>No</v>
      </c>
      <c r="I373" s="2067" t="s">
        <v>2914</v>
      </c>
      <c r="J373" s="2067"/>
      <c r="K373" s="2083"/>
      <c r="L373" s="2073" t="str">
        <f>'Part III-Sources of Funds'!L10</f>
        <v>Yes</v>
      </c>
      <c r="M373" s="2083" t="str">
        <f>'Part III-Sources of Funds'!M10</f>
        <v>DCA TCAP to match DCA HOME during construction</v>
      </c>
      <c r="N373" s="2083"/>
      <c r="O373" s="2083"/>
      <c r="P373" s="2083"/>
      <c r="Q373" s="2083"/>
    </row>
    <row r="374" spans="1:17" ht="13.5">
      <c r="A374" s="2069"/>
      <c r="B374" s="2073" t="str">
        <f>'Part III-Sources of Funds'!B11</f>
        <v>No</v>
      </c>
      <c r="C374" s="2076" t="s">
        <v>4131</v>
      </c>
      <c r="D374" s="2083"/>
      <c r="E374" s="2083"/>
      <c r="F374" s="2083"/>
      <c r="G374" s="2083"/>
      <c r="H374" s="2083"/>
      <c r="I374" s="2067"/>
      <c r="J374" s="2067"/>
      <c r="K374" s="2083"/>
      <c r="L374" s="2083"/>
      <c r="M374" s="2083" t="str">
        <f>'Part III-Sources of Funds'!M11</f>
        <v>Administrator is Georgia DCA</v>
      </c>
      <c r="N374" s="2083"/>
      <c r="O374" s="2083"/>
      <c r="P374" s="2083"/>
      <c r="Q374" s="2083"/>
    </row>
    <row r="375" spans="1:17" ht="13.5">
      <c r="A375" s="2069"/>
      <c r="B375" s="2069"/>
      <c r="C375" s="2083" t="s">
        <v>4132</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4134</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4136</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TBD - C&amp;S Bank</v>
      </c>
      <c r="I382" s="2070"/>
      <c r="J382" s="2070"/>
      <c r="K382" s="2070"/>
      <c r="L382" s="2098">
        <f>'Part III-Sources of Funds'!L19</f>
        <v>5374000</v>
      </c>
      <c r="M382" s="2098"/>
      <c r="N382" s="2159">
        <f>'Part III-Sources of Funds'!N19</f>
        <v>4.4999999999999998E-2</v>
      </c>
      <c r="O382" s="2159"/>
      <c r="P382" s="2160">
        <f>'Part III-Sources of Funds'!P19</f>
        <v>24</v>
      </c>
      <c r="Q382" s="2160"/>
    </row>
    <row r="383" spans="1:17">
      <c r="A383" s="2070"/>
      <c r="B383" s="2070" t="s">
        <v>1649</v>
      </c>
      <c r="C383" s="2070"/>
      <c r="D383" s="2070"/>
      <c r="E383" s="2070"/>
      <c r="F383" s="2070"/>
      <c r="G383" s="2070"/>
      <c r="H383" s="2070" t="str">
        <f>'Part III-Sources of Funds'!H20</f>
        <v>DCA HOME Loan</v>
      </c>
      <c r="I383" s="2070"/>
      <c r="J383" s="2070"/>
      <c r="K383" s="2070"/>
      <c r="L383" s="2098">
        <f>'Part III-Sources of Funds'!L20</f>
        <v>1250099</v>
      </c>
      <c r="M383" s="2098"/>
      <c r="N383" s="2159">
        <f>'Part III-Sources of Funds'!N20</f>
        <v>0</v>
      </c>
      <c r="O383" s="2159"/>
      <c r="P383" s="2160">
        <f>'Part III-Sources of Funds'!P20</f>
        <v>24</v>
      </c>
      <c r="Q383" s="2160"/>
    </row>
    <row r="384" spans="1:17">
      <c r="A384" s="2070"/>
      <c r="B384" s="2070" t="s">
        <v>1650</v>
      </c>
      <c r="C384" s="2070"/>
      <c r="D384" s="2070"/>
      <c r="E384" s="2070"/>
      <c r="F384" s="2070"/>
      <c r="G384" s="2070"/>
      <c r="H384" s="2070" t="str">
        <f>'Part III-Sources of Funds'!H21</f>
        <v>DCA TCAP Loan</v>
      </c>
      <c r="I384" s="2070"/>
      <c r="J384" s="2070"/>
      <c r="K384" s="2070"/>
      <c r="L384" s="2098">
        <f>'Part III-Sources of Funds'!L21</f>
        <v>1250099</v>
      </c>
      <c r="M384" s="2098"/>
      <c r="N384" s="2159">
        <f>'Part III-Sources of Funds'!N21</f>
        <v>0</v>
      </c>
      <c r="O384" s="2159"/>
      <c r="P384" s="2160">
        <f>'Part III-Sources of Funds'!P21</f>
        <v>24</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TBD - 42 Equity</v>
      </c>
      <c r="I388" s="2070"/>
      <c r="J388" s="2070"/>
      <c r="K388" s="2070"/>
      <c r="L388" s="2098">
        <f>'Part III-Sources of Funds'!L25</f>
        <v>1259943.3937349999</v>
      </c>
      <c r="M388" s="2098"/>
      <c r="N388" s="2070"/>
      <c r="O388" s="2070"/>
      <c r="P388" s="2070"/>
      <c r="Q388" s="2070"/>
    </row>
    <row r="389" spans="1:17" ht="13.5">
      <c r="A389" s="2070"/>
      <c r="B389" s="2070" t="s">
        <v>835</v>
      </c>
      <c r="C389" s="2070"/>
      <c r="D389" s="2070"/>
      <c r="E389" s="2070"/>
      <c r="F389" s="2083"/>
      <c r="G389" s="2083"/>
      <c r="H389" s="2070" t="str">
        <f>'Part III-Sources of Funds'!H26</f>
        <v>TBD - State Tax Credit Ex. (Incl. 1% Fed.)</v>
      </c>
      <c r="I389" s="2070"/>
      <c r="J389" s="2070"/>
      <c r="K389" s="2070"/>
      <c r="L389" s="2098">
        <f>'Part III-Sources of Funds'!L26</f>
        <v>709543.64000000013</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9843685.0337349996</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8965707</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877978.0337349996</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DCA HOME Loan</v>
      </c>
      <c r="F400" s="2070"/>
      <c r="G400" s="2070"/>
      <c r="H400" s="2070"/>
      <c r="I400" s="2105">
        <f>'Part III-Sources of Funds'!I37</f>
        <v>1250099</v>
      </c>
      <c r="J400" s="2070"/>
      <c r="K400" s="2164">
        <f>'Part III-Sources of Funds'!K37</f>
        <v>0.01</v>
      </c>
      <c r="L400" s="2073">
        <f>'Part III-Sources of Funds'!L37</f>
        <v>15</v>
      </c>
      <c r="M400" s="2073">
        <f>'Part III-Sources of Funds'!M37</f>
        <v>15</v>
      </c>
      <c r="N400" s="2165">
        <f>'Part III-Sources of Funds'!N37</f>
        <v>89781.287292572873</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f>'Part III-Sources of Funds'!N38</f>
        <v>0</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IF(OR(I404&lt;=0,I404=""),"",IF(P404="Amortizing",-PMT(K404/12,M404*12,I404,0,0)*12,""))</f>
        <v/>
      </c>
      <c r="O404" s="2165"/>
      <c r="P404" s="2070"/>
      <c r="Q404" s="2070"/>
    </row>
    <row r="405" spans="1:17">
      <c r="A405" s="2070"/>
      <c r="B405" s="2070" t="s">
        <v>237</v>
      </c>
      <c r="C405" s="2070"/>
      <c r="D405" s="2166" t="str">
        <f>'Part III-Sources of Funds'!D42</f>
        <v/>
      </c>
      <c r="E405" s="2070">
        <f>'Part III-Sources of Funds'!E42</f>
        <v>0</v>
      </c>
      <c r="F405" s="2070"/>
      <c r="G405" s="2070"/>
      <c r="H405" s="2070"/>
      <c r="I405" s="2105">
        <f>'Part III-Sources of Funds'!I42</f>
        <v>0</v>
      </c>
      <c r="J405" s="2070"/>
      <c r="K405" s="2164">
        <f>'Part III-Sources of Funds'!K42</f>
        <v>0</v>
      </c>
      <c r="L405" s="2073">
        <f>'Part III-Sources of Funds'!L42</f>
        <v>0</v>
      </c>
      <c r="M405" s="2073">
        <f>'Part III-Sources of Funds'!M42</f>
        <v>0</v>
      </c>
      <c r="N405" s="2165" t="str">
        <f>'Part III-Sources of Funds'!N42</f>
        <v/>
      </c>
      <c r="O405" s="2165"/>
      <c r="P405" s="2070">
        <f>'Part III-Sources of Funds'!P42</f>
        <v>0</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TBD - 42 Equity</v>
      </c>
      <c r="F408" s="2070"/>
      <c r="G408" s="2070"/>
      <c r="H408" s="2070"/>
      <c r="I408" s="2105">
        <f>'Part III-Sources of Funds'!I45</f>
        <v>6299716.9686749997</v>
      </c>
      <c r="J408" s="2070"/>
      <c r="K408" s="2083"/>
      <c r="L408" s="2169">
        <f>'Part IV-Uses of Funds'!$J$174*10*'Part IV-Uses of Funds'!$N$167</f>
        <v>6363988.25</v>
      </c>
      <c r="M408" s="2169"/>
      <c r="N408" s="2170">
        <f>I408-L408</f>
        <v>-64271.281325000338</v>
      </c>
      <c r="O408" s="2170"/>
      <c r="P408" s="2171" t="s">
        <v>2648</v>
      </c>
      <c r="Q408" s="2070"/>
    </row>
    <row r="409" spans="1:17" ht="13.5">
      <c r="A409" s="2070"/>
      <c r="B409" s="2070" t="s">
        <v>835</v>
      </c>
      <c r="C409" s="2070"/>
      <c r="D409" s="2070"/>
      <c r="E409" s="2070" t="str">
        <f>'Part III-Sources of Funds'!E46</f>
        <v>TBD - State Tax Credit Ex. (Incl. 1% Fed.)</v>
      </c>
      <c r="F409" s="2070"/>
      <c r="G409" s="2070"/>
      <c r="H409" s="2070"/>
      <c r="I409" s="2105">
        <f>'Part III-Sources of Funds'!I46</f>
        <v>3547718.2</v>
      </c>
      <c r="J409" s="2070"/>
      <c r="K409" s="2083"/>
      <c r="L409" s="2169">
        <f>'Part IV-Uses of Funds'!$J$174*10*'Part IV-Uses of Funds'!$Q$167</f>
        <v>3483446.2</v>
      </c>
      <c r="M409" s="2169"/>
      <c r="N409" s="2170">
        <f>I409-L409</f>
        <v>64272</v>
      </c>
      <c r="O409" s="2170"/>
      <c r="P409" s="2172">
        <f>I408/I418</f>
        <v>0.5676681836410683</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0.31968527422398529</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0.8873534578650536</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11097534.168675</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11097534</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0.16867499984800816</v>
      </c>
      <c r="J419" s="2162"/>
      <c r="K419" s="2070"/>
      <c r="L419" s="2073"/>
      <c r="M419" s="2173"/>
      <c r="N419" s="2173"/>
      <c r="O419" s="2173"/>
      <c r="P419" s="2173"/>
      <c r="Q419" s="2070"/>
    </row>
    <row r="420" spans="1:24">
      <c r="A420" s="2070" t="s">
        <v>3727</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All commitments for the above listed financing are located in Tab 01: Feasibility.
III. Perm Financing, Georgia DCA HOME Loan is structured as a level amortizing loan with hard payments based on a 1.50 DCR, and fully amortizes out the repayment of the HOME loan in year 15.</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2016-010 The Preserve at Newport,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2016-010 The Preserve at Newport,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8000</v>
      </c>
      <c r="H437" s="2098"/>
      <c r="I437" s="2070"/>
      <c r="J437" s="2098">
        <f>'Part IV-Uses of Funds'!J8</f>
        <v>8000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7500</v>
      </c>
      <c r="H438" s="2098"/>
      <c r="I438" s="2070"/>
      <c r="J438" s="2098">
        <f>'Part IV-Uses of Funds'!J9</f>
        <v>7500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10500</v>
      </c>
      <c r="H439" s="2098"/>
      <c r="I439" s="2070"/>
      <c r="J439" s="2098">
        <f>'Part IV-Uses of Funds'!J10</f>
        <v>10500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10000</v>
      </c>
      <c r="H440" s="2098"/>
      <c r="I440" s="2070"/>
      <c r="J440" s="2098">
        <f>'Part IV-Uses of Funds'!J11</f>
        <v>10000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12000</v>
      </c>
      <c r="H441" s="2098"/>
      <c r="I441" s="2070"/>
      <c r="J441" s="2098">
        <f>'Part IV-Uses of Funds'!J12</f>
        <v>12000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3766</v>
      </c>
      <c r="H442" s="2098"/>
      <c r="I442" s="2070"/>
      <c r="J442" s="2098">
        <f>'Part IV-Uses of Funds'!J13</f>
        <v>3766</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51766</v>
      </c>
      <c r="H446" s="2098"/>
      <c r="I446" s="2070"/>
      <c r="J446" s="2098">
        <f>SUM(J437:K445)</f>
        <v>51766</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145000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145000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1477870</v>
      </c>
      <c r="H454" s="2098"/>
      <c r="I454" s="2070"/>
      <c r="J454" s="2098">
        <f>'Part IV-Uses of Funds'!J25</f>
        <v>1477870</v>
      </c>
      <c r="K454" s="2098"/>
      <c r="L454" s="2099"/>
      <c r="M454" s="2098">
        <f>'Part IV-Uses of Funds'!M25</f>
        <v>0</v>
      </c>
      <c r="N454" s="2098"/>
      <c r="O454" s="2070"/>
      <c r="P454" s="2098">
        <f>'Part IV-Uses of Funds'!P25</f>
        <v>0</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1477870</v>
      </c>
      <c r="H456" s="2098"/>
      <c r="I456" s="2070"/>
      <c r="J456" s="2098">
        <f>SUM(J454:K455)</f>
        <v>1477870</v>
      </c>
      <c r="K456" s="2098"/>
      <c r="L456" s="2099"/>
      <c r="M456" s="2098">
        <f>M454</f>
        <v>0</v>
      </c>
      <c r="N456" s="2098"/>
      <c r="O456" s="2070"/>
      <c r="P456" s="2098">
        <f>P454</f>
        <v>0</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5191772</v>
      </c>
      <c r="H458" s="2098"/>
      <c r="I458" s="2070"/>
      <c r="J458" s="2098">
        <f>'Part IV-Uses of Funds'!J29</f>
        <v>5191772</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150908</v>
      </c>
      <c r="H460" s="2098"/>
      <c r="I460" s="2070"/>
      <c r="J460" s="2098">
        <f>'Part IV-Uses of Funds'!J31</f>
        <v>150908</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5342680</v>
      </c>
      <c r="H462" s="2098"/>
      <c r="I462" s="2070"/>
      <c r="J462" s="2098">
        <f>SUM(J458:K461)</f>
        <v>5342680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409233</v>
      </c>
      <c r="G464" s="2098">
        <f>'Part IV-Uses of Funds'!G35</f>
        <v>409230</v>
      </c>
      <c r="H464" s="2098"/>
      <c r="I464" s="2075"/>
      <c r="J464" s="2098">
        <f>'Part IV-Uses of Funds'!J35</f>
        <v>409230</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136411</v>
      </c>
      <c r="G465" s="2098">
        <f>'Part IV-Uses of Funds'!G36</f>
        <v>136410</v>
      </c>
      <c r="H465" s="2098"/>
      <c r="I465" s="2075"/>
      <c r="J465" s="2098">
        <f>'Part IV-Uses of Funds'!J36</f>
        <v>136410</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409233</v>
      </c>
      <c r="G466" s="2098">
        <f>'Part IV-Uses of Funds'!G37</f>
        <v>409230</v>
      </c>
      <c r="H466" s="2098"/>
      <c r="I466" s="2075"/>
      <c r="J466" s="2098">
        <f>'Part IV-Uses of Funds'!J37</f>
        <v>409230</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954870</v>
      </c>
      <c r="H467" s="2098"/>
      <c r="I467" s="2070"/>
      <c r="J467" s="2098">
        <f>SUM(J464:K466)</f>
        <v>954870</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4419</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4420</v>
      </c>
      <c r="C472" s="2193"/>
      <c r="D472" s="2070"/>
      <c r="E472" s="2178" t="s">
        <v>2859</v>
      </c>
      <c r="F472" s="2194">
        <f>B473/'Part VI-Revenues &amp; Expenses'!$O$60</f>
        <v>107991.94444444444</v>
      </c>
      <c r="G472" s="2195" t="s">
        <v>4421</v>
      </c>
      <c r="H472" s="2070"/>
      <c r="I472" s="2070"/>
      <c r="J472" s="2196">
        <f>B473/'Part VI-Revenues &amp; Expenses'!$O$62</f>
        <v>107991.94444444444</v>
      </c>
      <c r="K472" s="2196"/>
      <c r="L472" s="2070"/>
      <c r="M472" s="2197" t="s">
        <v>1454</v>
      </c>
      <c r="N472" s="2197"/>
      <c r="O472" s="2070"/>
      <c r="P472" s="2196">
        <f>B473/'Part I-Project Information'!$P$60</f>
        <v>95.28117149684455</v>
      </c>
      <c r="Q472" s="2196"/>
      <c r="R472" s="2070"/>
      <c r="S472" s="2193" t="s">
        <v>2895</v>
      </c>
      <c r="T472" s="2193"/>
      <c r="U472" s="2070"/>
      <c r="V472" s="2070"/>
      <c r="W472" s="2181"/>
      <c r="X472" s="2181"/>
    </row>
    <row r="473" spans="1:24">
      <c r="A473" s="2070"/>
      <c r="B473" s="2198">
        <f>G456+G462+G467+G470</f>
        <v>7775420</v>
      </c>
      <c r="C473" s="2198"/>
      <c r="D473" s="2070"/>
      <c r="E473" s="2178"/>
      <c r="F473" s="2194">
        <f>B473/'Part VI-Revenues &amp; Expenses'!$O$117</f>
        <v>98.050693568726359</v>
      </c>
      <c r="G473" s="2108" t="s">
        <v>4422</v>
      </c>
      <c r="H473" s="2070"/>
      <c r="I473" s="2070"/>
      <c r="J473" s="2196">
        <f>B473/'Part VI-Revenues &amp; Expenses'!$O$119</f>
        <v>98.050693568726359</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4.9999871389584102E-2</v>
      </c>
      <c r="G476" s="2098">
        <f>'Part IV-Uses of Funds'!G47</f>
        <v>388770</v>
      </c>
      <c r="H476" s="2098"/>
      <c r="I476" s="2070"/>
      <c r="J476" s="2098">
        <f>'Part IV-Uses of Funds'!J47</f>
        <v>388770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4423</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53740</v>
      </c>
      <c r="H483" s="2098"/>
      <c r="I483" s="2070"/>
      <c r="J483" s="2098">
        <f>'Part IV-Uses of Funds'!J54</f>
        <v>53740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119736</v>
      </c>
      <c r="H484" s="2098"/>
      <c r="I484" s="2070"/>
      <c r="J484" s="2098">
        <f>'Part IV-Uses of Funds'!J55</f>
        <v>95982</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25000</v>
      </c>
      <c r="H485" s="2098"/>
      <c r="I485" s="2070"/>
      <c r="J485" s="2098">
        <f>'Part IV-Uses of Funds'!J56</f>
        <v>25000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12000</v>
      </c>
      <c r="H486" s="2098"/>
      <c r="I486" s="2070"/>
      <c r="J486" s="2098">
        <f>'Part IV-Uses of Funds'!J57</f>
        <v>12000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5000</v>
      </c>
      <c r="H487" s="2098"/>
      <c r="I487" s="2070"/>
      <c r="J487" s="2098">
        <f>'Part IV-Uses of Funds'!J58</f>
        <v>5000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32500</v>
      </c>
      <c r="H488" s="2098"/>
      <c r="I488" s="2070"/>
      <c r="J488" s="2098">
        <f>'Part IV-Uses of Funds'!J59</f>
        <v>32500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25000</v>
      </c>
      <c r="H489" s="2098"/>
      <c r="I489" s="2070"/>
      <c r="J489" s="2098">
        <f>'Part IV-Uses of Funds'!J60</f>
        <v>25000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78812</v>
      </c>
      <c r="H490" s="2098"/>
      <c r="I490" s="2075"/>
      <c r="J490" s="2098">
        <f>'Part IV-Uses of Funds'!J61</f>
        <v>78812</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351788</v>
      </c>
      <c r="H493" s="2098"/>
      <c r="I493" s="2070"/>
      <c r="J493" s="2098">
        <f>SUM(J482:K492)</f>
        <v>328034</v>
      </c>
      <c r="K493" s="2098"/>
      <c r="L493" s="2099"/>
      <c r="M493" s="2098">
        <f>SUM(M482:N492)</f>
        <v>0</v>
      </c>
      <c r="N493" s="2098"/>
      <c r="O493" s="2070"/>
      <c r="P493" s="2098">
        <f>SUM(P482:Q492)</f>
        <v>0</v>
      </c>
      <c r="Q493" s="2098"/>
      <c r="R493" s="2070"/>
      <c r="S493" s="2098">
        <f>SUM(S482:T492)</f>
        <v>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115200</v>
      </c>
      <c r="H495" s="2098"/>
      <c r="I495" s="2070"/>
      <c r="J495" s="2098">
        <f>'Part IV-Uses of Funds'!J66</f>
        <v>115200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9000</v>
      </c>
      <c r="H496" s="2098"/>
      <c r="I496" s="2070"/>
      <c r="J496" s="2098">
        <f>'Part IV-Uses of Funds'!J67</f>
        <v>9000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0</v>
      </c>
      <c r="H497" s="2098"/>
      <c r="I497" s="2070"/>
      <c r="J497" s="2098">
        <f>'Part IV-Uses of Funds'!J68</f>
        <v>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31680</v>
      </c>
      <c r="H498" s="2098"/>
      <c r="I498" s="2070"/>
      <c r="J498" s="2098">
        <f>'Part IV-Uses of Funds'!J69</f>
        <v>31680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12500</v>
      </c>
      <c r="H499" s="2098"/>
      <c r="I499" s="2070"/>
      <c r="J499" s="2098">
        <f>'Part IV-Uses of Funds'!J70</f>
        <v>12500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45000</v>
      </c>
      <c r="H501" s="2098"/>
      <c r="I501" s="2070"/>
      <c r="J501" s="2098">
        <f>'Part IV-Uses of Funds'!J72</f>
        <v>45000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40000</v>
      </c>
      <c r="H502" s="2098"/>
      <c r="I502" s="2070"/>
      <c r="J502" s="2098">
        <f>'Part IV-Uses of Funds'!J73</f>
        <v>40000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20000</v>
      </c>
      <c r="H503" s="2098"/>
      <c r="I503" s="2070"/>
      <c r="J503" s="2098">
        <f>'Part IV-Uses of Funds'!J74</f>
        <v>20000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8000</v>
      </c>
      <c r="H504" s="2098"/>
      <c r="I504" s="2070"/>
      <c r="J504" s="2098">
        <f>'Part IV-Uses of Funds'!J75</f>
        <v>8000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281380</v>
      </c>
      <c r="H506" s="2098"/>
      <c r="I506" s="2070"/>
      <c r="J506" s="2098">
        <f>SUM(J495:K505)</f>
        <v>281380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27635</v>
      </c>
      <c r="H508" s="2098"/>
      <c r="I508" s="2070"/>
      <c r="J508" s="2098">
        <f>'Part IV-Uses of Funds'!J79</f>
        <v>27635</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f>'Part IV-Uses of Funds'!E81</f>
        <v>0</v>
      </c>
      <c r="F510" s="2070"/>
      <c r="G510" s="2098">
        <f>'Part IV-Uses of Funds'!G81</f>
        <v>35127</v>
      </c>
      <c r="H510" s="2098"/>
      <c r="I510" s="2075"/>
      <c r="J510" s="2098">
        <f>'Part IV-Uses of Funds'!J81</f>
        <v>35127</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f>'Part IV-Uses of Funds'!E82</f>
        <v>0</v>
      </c>
      <c r="F511" s="2070"/>
      <c r="G511" s="2098">
        <f>'Part IV-Uses of Funds'!G82</f>
        <v>178800</v>
      </c>
      <c r="H511" s="2098"/>
      <c r="I511" s="2075"/>
      <c r="J511" s="2098">
        <f>'Part IV-Uses of Funds'!J82</f>
        <v>178800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241562</v>
      </c>
      <c r="H512" s="2098"/>
      <c r="I512" s="2070"/>
      <c r="J512" s="2098">
        <f>SUM(J508:K511)</f>
        <v>241562</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5000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Perm Insurance</v>
      </c>
      <c r="D519" s="2070"/>
      <c r="E519" s="2070"/>
      <c r="F519" s="2070"/>
      <c r="G519" s="2098">
        <f>'Part IV-Uses of Funds'!G90</f>
        <v>17700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22700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4424</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1000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0</v>
      </c>
      <c r="T526" s="2098"/>
      <c r="U526" s="2070"/>
      <c r="V526" s="2128">
        <f>'Part IV-Uses of Funds'!V97</f>
        <v>0</v>
      </c>
      <c r="W526" s="2176"/>
      <c r="X526" s="2176"/>
    </row>
    <row r="527" spans="1:24">
      <c r="A527" s="2070"/>
      <c r="B527" s="2070" t="s">
        <v>2790</v>
      </c>
      <c r="C527" s="2070"/>
      <c r="D527" s="2070"/>
      <c r="E527" s="2070"/>
      <c r="F527" s="2070"/>
      <c r="G527" s="2098">
        <f>'Part IV-Uses of Funds'!G98</f>
        <v>1000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53591.48</v>
      </c>
      <c r="F528" s="2202"/>
      <c r="G528" s="2098">
        <f>'Part IV-Uses of Funds'!G99</f>
        <v>53591</v>
      </c>
      <c r="H528" s="2098"/>
      <c r="I528" s="2070"/>
      <c r="J528" s="2099"/>
      <c r="K528" s="2099"/>
      <c r="L528" s="2099"/>
      <c r="M528" s="2099"/>
      <c r="N528" s="2099"/>
      <c r="O528" s="2070"/>
      <c r="P528" s="2099"/>
      <c r="Q528" s="2099"/>
      <c r="R528" s="2070"/>
      <c r="S528" s="2098">
        <f>'Part IV-Uses of Funds'!S99</f>
        <v>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529" s="2202"/>
      <c r="G529" s="2098">
        <f>'Part IV-Uses of Funds'!G100</f>
        <v>57600</v>
      </c>
      <c r="H529" s="2098"/>
      <c r="I529" s="2070"/>
      <c r="J529" s="2075"/>
      <c r="K529" s="2075"/>
      <c r="L529" s="2075"/>
      <c r="M529" s="2075"/>
      <c r="N529" s="2075"/>
      <c r="O529" s="2075"/>
      <c r="P529" s="2075"/>
      <c r="Q529" s="2075"/>
      <c r="R529" s="2070"/>
      <c r="S529" s="2098">
        <f>'Part IV-Uses of Funds'!S100</f>
        <v>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2700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0</v>
      </c>
      <c r="H531" s="2098"/>
      <c r="I531" s="2070"/>
      <c r="J531" s="2075"/>
      <c r="K531" s="2075"/>
      <c r="L531" s="2075"/>
      <c r="M531" s="2075"/>
      <c r="N531" s="2075"/>
      <c r="O531" s="2075"/>
      <c r="P531" s="2075"/>
      <c r="Q531" s="2075"/>
      <c r="R531" s="2070"/>
      <c r="S531" s="2098">
        <f>'Part IV-Uses of Funds'!S102</f>
        <v>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122391</v>
      </c>
      <c r="H534" s="2098"/>
      <c r="I534" s="2070"/>
      <c r="J534" s="2099"/>
      <c r="K534" s="2099"/>
      <c r="L534" s="2099"/>
      <c r="M534" s="2099"/>
      <c r="N534" s="2099"/>
      <c r="O534" s="2070"/>
      <c r="P534" s="2099"/>
      <c r="Q534" s="2099"/>
      <c r="R534" s="2070"/>
      <c r="S534" s="2098">
        <f>SUM(S525:T533)</f>
        <v>0</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2500</v>
      </c>
      <c r="H536" s="2098"/>
      <c r="I536" s="2070"/>
      <c r="J536" s="2098"/>
      <c r="K536" s="2098"/>
      <c r="L536" s="2099"/>
      <c r="M536" s="2098"/>
      <c r="N536" s="2098"/>
      <c r="O536" s="2070"/>
      <c r="P536" s="2098"/>
      <c r="Q536" s="2098"/>
      <c r="R536" s="2070"/>
      <c r="S536" s="2098">
        <f>'Part IV-Uses of Funds'!S107</f>
        <v>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2500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5000</v>
      </c>
      <c r="H540" s="2098"/>
      <c r="I540" s="2070"/>
      <c r="J540" s="2098"/>
      <c r="K540" s="2098"/>
      <c r="L540" s="2099"/>
      <c r="M540" s="2098"/>
      <c r="N540" s="2098"/>
      <c r="O540" s="2070"/>
      <c r="P540" s="2098"/>
      <c r="Q540" s="2098"/>
      <c r="R540" s="2070"/>
      <c r="S540" s="2098">
        <f>SUM(S536:T539)</f>
        <v>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0</v>
      </c>
      <c r="H542" s="2098"/>
      <c r="I542" s="2070"/>
      <c r="J542" s="2098">
        <f>'Part IV-Uses of Funds'!J113</f>
        <v>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4043</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1375210</v>
      </c>
      <c r="H545" s="2098"/>
      <c r="I545" s="2070"/>
      <c r="J545" s="2098">
        <f>'Part IV-Uses of Funds'!J116</f>
        <v>1375210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1375210</v>
      </c>
      <c r="H546" s="2098"/>
      <c r="I546" s="2070"/>
      <c r="J546" s="2098">
        <f>SUM(J542:K545)</f>
        <v>1375210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54000</v>
      </c>
      <c r="H548" s="2098"/>
      <c r="I548" s="2070"/>
      <c r="J548" s="2201"/>
      <c r="K548" s="2201"/>
      <c r="L548" s="2201"/>
      <c r="M548" s="2201"/>
      <c r="N548" s="2201"/>
      <c r="O548" s="2070"/>
      <c r="P548" s="2201"/>
      <c r="Q548" s="2201"/>
      <c r="R548" s="2070"/>
      <c r="S548" s="2098">
        <f>'Part IV-Uses of Funds'!S119</f>
        <v>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72552.25</v>
      </c>
      <c r="G549" s="2098">
        <f>'Part IV-Uses of Funds'!G120</f>
        <v>72552</v>
      </c>
      <c r="H549" s="2098"/>
      <c r="I549" s="2070"/>
      <c r="J549" s="2098"/>
      <c r="K549" s="2098"/>
      <c r="L549" s="2099"/>
      <c r="M549" s="2098"/>
      <c r="N549" s="2098"/>
      <c r="O549" s="2070"/>
      <c r="P549" s="2098"/>
      <c r="Q549" s="2098"/>
      <c r="R549" s="2070"/>
      <c r="S549" s="2098">
        <f>'Part IV-Uses of Funds'!S120</f>
        <v>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189995.14364628642</v>
      </c>
      <c r="G550" s="2098">
        <f>'Part IV-Uses of Funds'!G121</f>
        <v>189995</v>
      </c>
      <c r="H550" s="2098"/>
      <c r="I550" s="2070"/>
      <c r="J550" s="2201"/>
      <c r="K550" s="2201"/>
      <c r="L550" s="2201"/>
      <c r="M550" s="2201"/>
      <c r="N550" s="2201"/>
      <c r="O550" s="2070"/>
      <c r="P550" s="2201"/>
      <c r="Q550" s="2201"/>
      <c r="R550" s="2070"/>
      <c r="S550" s="2098">
        <f>'Part IV-Uses of Funds'!S121</f>
        <v>0</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3851</v>
      </c>
      <c r="F552" s="2205">
        <f>IF('Part VI-Revenues &amp; Expenses'!$O$62=0,0,G552/'Part VI-Revenues &amp; Expenses'!$O$62)</f>
        <v>277.77777777777777</v>
      </c>
      <c r="G552" s="2098">
        <f>'Part IV-Uses of Funds'!G123</f>
        <v>20000</v>
      </c>
      <c r="H552" s="2098"/>
      <c r="I552" s="2070"/>
      <c r="J552" s="2098">
        <f>'Part IV-Uses of Funds'!J123</f>
        <v>20000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336547</v>
      </c>
      <c r="H554" s="2098"/>
      <c r="I554" s="2070"/>
      <c r="J554" s="2098">
        <f>SUM(J552:K553)</f>
        <v>20000</v>
      </c>
      <c r="K554" s="2098"/>
      <c r="L554" s="2099"/>
      <c r="M554" s="2098">
        <f>SUM(M552:N553)</f>
        <v>0</v>
      </c>
      <c r="N554" s="2098"/>
      <c r="O554" s="2070"/>
      <c r="P554" s="2098">
        <f>SUM(P552:Q553)</f>
        <v>0</v>
      </c>
      <c r="Q554" s="2098"/>
      <c r="R554" s="2070"/>
      <c r="S554" s="2098">
        <f>SUM(S548:T553)</f>
        <v>0</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4425</v>
      </c>
      <c r="C560" s="2070"/>
      <c r="D560" s="2070"/>
      <c r="E560" s="2070"/>
      <c r="F560" s="2070"/>
      <c r="G560" s="2208">
        <f>G446+G452+G456+G462+G467+G470+G476+G493+G506+G512+G520+G534+G540+G546+G554+G558</f>
        <v>11097534</v>
      </c>
      <c r="H560" s="2208"/>
      <c r="I560" s="2070"/>
      <c r="J560" s="2208">
        <f>J446+J452+J456+J462+J467+J470+J476+J493+J506+J512+J520+J534+J540+J546+J554+J558</f>
        <v>10462142</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0</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4426</v>
      </c>
      <c r="C562" s="2193"/>
      <c r="D562" s="2210">
        <f>IF('Part VI-Revenues &amp; Expenses'!$O$62=0,0,G560/'Part VI-Revenues &amp; Expenses'!$O$62)</f>
        <v>154132.41666666666</v>
      </c>
      <c r="E562" s="2210"/>
      <c r="F562" s="2200" t="s">
        <v>2879</v>
      </c>
      <c r="G562" s="2210">
        <f>IF('Part I-Project Information'!$P$60=0,0,G560/'Part I-Project Information'!$P$60)</f>
        <v>135.99085840328411</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10462142</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10462142</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10462142</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1</v>
      </c>
      <c r="K582" s="2216"/>
      <c r="L582" s="2070"/>
      <c r="M582" s="2216">
        <f>MIN('Part VI-Revenues &amp; Expenses'!$O$58/'Part VI-Revenues &amp; Expenses'!$O$60,'Part VI-Revenues &amp; Expenses'!$O$115/'Part VI-Revenues &amp; Expenses'!$O$117)</f>
        <v>1</v>
      </c>
      <c r="N582" s="2216"/>
      <c r="O582" s="2070"/>
      <c r="P582" s="2216">
        <f>MIN('Part VI-Revenues &amp; Expenses'!$O$58/'Part VI-Revenues &amp; Expenses'!$O$60,'Part VI-Revenues &amp; Expenses'!$O$115/'Part VI-Revenues &amp; Expenses'!$O$117)</f>
        <v>1</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10462142</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941592.77999999991</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941592.77999999991</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4427</v>
      </c>
      <c r="C590" s="2070"/>
      <c r="D590" s="2070"/>
      <c r="E590" s="2070"/>
      <c r="F590" s="2070"/>
      <c r="G590" s="2219" t="str">
        <f>IF(J591&gt;J590,"TDC exceeds QAP PUCL!","")</f>
        <v/>
      </c>
      <c r="H590" s="2219"/>
      <c r="I590" s="2219"/>
      <c r="J590" s="2160">
        <f>'Part VIII-Threshold Criteria'!$P$65</f>
        <v>11865716</v>
      </c>
      <c r="K590" s="2160"/>
      <c r="L590" s="2160"/>
      <c r="M590" s="2220" t="s">
        <v>2861</v>
      </c>
      <c r="N590" s="2220"/>
      <c r="O590" s="2220"/>
      <c r="P590" s="2220"/>
      <c r="Q590" s="2220"/>
      <c r="R590" s="2220"/>
      <c r="S590" s="2220" t="s">
        <v>4111</v>
      </c>
      <c r="T590" s="2220"/>
      <c r="U590" s="2070"/>
      <c r="V590" s="2128">
        <f>'Part IV-Uses of Funds'!V161</f>
        <v>0</v>
      </c>
      <c r="W590" s="2176">
        <f>'Part IV-Uses of Funds'!W161</f>
        <v>0</v>
      </c>
      <c r="X590" s="2176"/>
    </row>
    <row r="591" spans="1:24">
      <c r="A591" s="2070"/>
      <c r="B591" s="2070" t="s">
        <v>4428</v>
      </c>
      <c r="C591" s="2070"/>
      <c r="D591" s="2070"/>
      <c r="E591" s="2070"/>
      <c r="F591" s="2070"/>
      <c r="G591" s="2070"/>
      <c r="H591" s="2070"/>
      <c r="I591" s="2070"/>
      <c r="J591" s="2105">
        <f>'Part IV-Uses of Funds'!J162</f>
        <v>11097534</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1250099</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9847435</v>
      </c>
      <c r="K593" s="2105"/>
      <c r="L593" s="2105"/>
      <c r="M593" s="2083" t="s">
        <v>2862</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984743.5</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4429</v>
      </c>
      <c r="C596" s="2070"/>
      <c r="D596" s="2070"/>
      <c r="E596" s="2070"/>
      <c r="F596" s="2070"/>
      <c r="G596" s="2070"/>
      <c r="H596" s="2070"/>
      <c r="I596" s="2070"/>
      <c r="J596" s="2224">
        <f>N596+Q596</f>
        <v>1.47</v>
      </c>
      <c r="K596" s="2224"/>
      <c r="L596" s="2224"/>
      <c r="M596" s="2073" t="s">
        <v>1338</v>
      </c>
      <c r="N596" s="2225">
        <f>'Part IV-Uses of Funds'!N167</f>
        <v>0.95</v>
      </c>
      <c r="O596" s="2225"/>
      <c r="P596" s="2073" t="s">
        <v>636</v>
      </c>
      <c r="Q596" s="2225">
        <f>'Part IV-Uses of Funds'!Q167</f>
        <v>0.52</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669893.53741496603</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4430</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669893.53741496603</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4431</v>
      </c>
      <c r="C601" s="2070"/>
      <c r="D601" s="2070"/>
      <c r="E601" s="2070"/>
      <c r="F601" s="2070"/>
      <c r="G601" s="2070"/>
      <c r="H601" s="2070"/>
      <c r="I601" s="2070"/>
      <c r="J601" s="2162">
        <f>'Part IV-Uses of Funds'!J172</f>
        <v>669893.5</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4432</v>
      </c>
      <c r="C603" s="2070"/>
      <c r="D603" s="2075"/>
      <c r="E603" s="2075"/>
      <c r="F603" s="2076"/>
      <c r="G603" s="2070"/>
      <c r="H603" s="2070"/>
      <c r="I603" s="2070"/>
      <c r="J603" s="2162">
        <f>IF(J601="",0,+MIN(J599,J601))</f>
        <v>669893.5</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2016-010 - The Preserve at Newport  -  Kingsland  -  Camden,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4179</v>
      </c>
      <c r="B612" s="2231"/>
      <c r="C612" s="2231"/>
      <c r="D612" s="2231"/>
      <c r="E612" s="2231"/>
      <c r="F612" s="2231"/>
      <c r="G612" s="2231"/>
      <c r="H612" s="2231"/>
    </row>
    <row r="613" spans="1:14" s="2230" customFormat="1" ht="6" customHeight="1"/>
    <row r="614" spans="1:14" s="2230" customFormat="1" ht="27" customHeight="1">
      <c r="A614" s="2232" t="s">
        <v>4433</v>
      </c>
      <c r="B614" s="2232"/>
      <c r="C614" s="2232"/>
      <c r="D614" s="2232"/>
      <c r="F614" s="2233" t="s">
        <v>4181</v>
      </c>
      <c r="G614" s="2234"/>
      <c r="H614" s="2233" t="s">
        <v>4182</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4185</v>
      </c>
      <c r="B621" s="2242">
        <f>'Part IV-Uses of Funds'!$G$14</f>
        <v>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4185</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4185</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4184</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4185</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4185</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4185</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4185</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Perm Insurance</v>
      </c>
      <c r="B657" s="2238"/>
      <c r="C657" s="2238"/>
      <c r="D657" s="2238"/>
      <c r="F657" s="2239" t="str">
        <f>'Part IVb-Other Items'!F48</f>
        <v>1st year premium must be paid up-front and the development will not have funds from operations to cover the cost at that time thus it is included in the development budget.</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4185</v>
      </c>
      <c r="B660" s="2242">
        <f>'Part IV-Uses of Funds'!$G$90</f>
        <v>17700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4434</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4185</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4435</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4183</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4436</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4183</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2016-010 The Preserve at Newport,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South</v>
      </c>
    </row>
    <row r="699" spans="1:13">
      <c r="A699" s="2250" t="s">
        <v>640</v>
      </c>
      <c r="B699" s="2250" t="s">
        <v>2306</v>
      </c>
      <c r="F699" s="873" t="s">
        <v>2606</v>
      </c>
      <c r="I699" s="2251" t="str">
        <f>'Part V-Utility Allowances'!I5</f>
        <v>2015 HUD Utility Model</v>
      </c>
      <c r="J699" s="2251"/>
      <c r="K699" s="2251"/>
      <c r="L699" s="2251"/>
      <c r="M699" s="2251"/>
    </row>
    <row r="700" spans="1:13">
      <c r="A700" s="2250"/>
      <c r="F700" s="873" t="s">
        <v>660</v>
      </c>
      <c r="I700" s="2252">
        <f>'Part V-Utility Allowances'!I6</f>
        <v>42216</v>
      </c>
      <c r="J700" s="2252"/>
      <c r="K700" s="2253" t="s">
        <v>559</v>
      </c>
      <c r="L700" s="2251" t="str">
        <f>'Part V-Utility Allowances'!L6</f>
        <v>2-Story Walkup</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3" t="s">
        <v>1922</v>
      </c>
      <c r="D704" s="2251" t="str">
        <f>'Part V-Utility Allowances'!D10</f>
        <v>Electric Heat Pump</v>
      </c>
      <c r="E704" s="2251"/>
      <c r="F704" s="2256" t="str">
        <f>'Part V-Utility Allowances'!F10</f>
        <v>X</v>
      </c>
      <c r="G704" s="2256">
        <f>'Part V-Utility Allowances'!G10</f>
        <v>0</v>
      </c>
      <c r="I704" s="2253">
        <f>'Part V-Utility Allowances'!I10</f>
        <v>0</v>
      </c>
      <c r="J704" s="2253">
        <f>'Part V-Utility Allowances'!J10</f>
        <v>19</v>
      </c>
      <c r="K704" s="2253">
        <f>'Part V-Utility Allowances'!K10</f>
        <v>21</v>
      </c>
      <c r="L704" s="2253">
        <f>'Part V-Utility Allowances'!L10</f>
        <v>22</v>
      </c>
      <c r="M704" s="2253">
        <f>'Part V-Utility Allowances'!M10</f>
        <v>0</v>
      </c>
    </row>
    <row r="705" spans="1:13">
      <c r="B705" s="873" t="s">
        <v>484</v>
      </c>
      <c r="D705" s="873" t="s">
        <v>1653</v>
      </c>
      <c r="F705" s="2256" t="str">
        <f>'Part V-Utility Allowances'!F11</f>
        <v>X</v>
      </c>
      <c r="G705" s="2256">
        <f>'Part V-Utility Allowances'!G11</f>
        <v>0</v>
      </c>
      <c r="I705" s="2253">
        <f>'Part V-Utility Allowances'!I11</f>
        <v>0</v>
      </c>
      <c r="J705" s="2253">
        <f>'Part V-Utility Allowances'!J11</f>
        <v>13</v>
      </c>
      <c r="K705" s="2253">
        <f>'Part V-Utility Allowances'!K11</f>
        <v>20</v>
      </c>
      <c r="L705" s="2253">
        <f>'Part V-Utility Allowances'!L11</f>
        <v>28</v>
      </c>
      <c r="M705" s="2253">
        <f>'Part V-Utility Allowances'!M11</f>
        <v>0</v>
      </c>
    </row>
    <row r="706" spans="1:13">
      <c r="B706" s="873"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6</v>
      </c>
      <c r="K706" s="2253">
        <f>'Part V-Utility Allowances'!K12</f>
        <v>8</v>
      </c>
      <c r="L706" s="2253">
        <f>'Part V-Utility Allowances'!L12</f>
        <v>11</v>
      </c>
      <c r="M706" s="2253">
        <f>'Part V-Utility Allowances'!M12</f>
        <v>0</v>
      </c>
    </row>
    <row r="707" spans="1:13">
      <c r="B707" s="873"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13</v>
      </c>
      <c r="K707" s="2253">
        <f>'Part V-Utility Allowances'!K13</f>
        <v>17</v>
      </c>
      <c r="L707" s="2253">
        <f>'Part V-Utility Allowances'!L13</f>
        <v>21</v>
      </c>
      <c r="M707" s="2253">
        <f>'Part V-Utility Allowances'!M13</f>
        <v>0</v>
      </c>
    </row>
    <row r="708" spans="1:13">
      <c r="B708" s="873" t="s">
        <v>1656</v>
      </c>
      <c r="D708" s="873" t="s">
        <v>1653</v>
      </c>
      <c r="F708" s="2256" t="str">
        <f>'Part V-Utility Allowances'!F14</f>
        <v>X</v>
      </c>
      <c r="G708" s="2256">
        <f>'Part V-Utility Allowances'!G14</f>
        <v>0</v>
      </c>
      <c r="I708" s="2253">
        <f>'Part V-Utility Allowances'!I14</f>
        <v>0</v>
      </c>
      <c r="J708" s="2253">
        <f>'Part V-Utility Allowances'!J14</f>
        <v>22</v>
      </c>
      <c r="K708" s="2253">
        <f>'Part V-Utility Allowances'!K14</f>
        <v>31</v>
      </c>
      <c r="L708" s="2253">
        <f>'Part V-Utility Allowances'!L14</f>
        <v>39</v>
      </c>
      <c r="M708" s="2253">
        <f>'Part V-Utility Allowances'!M14</f>
        <v>0</v>
      </c>
    </row>
    <row r="709" spans="1:13">
      <c r="B709" s="873" t="s">
        <v>1420</v>
      </c>
      <c r="D709" s="873" t="s">
        <v>4159</v>
      </c>
      <c r="E709" s="2253" t="str">
        <f>'Part V-Utility Allowances'!E15</f>
        <v>Yes</v>
      </c>
      <c r="F709" s="2256" t="str">
        <f>'Part V-Utility Allowances'!F15</f>
        <v>X</v>
      </c>
      <c r="G709" s="2256">
        <f>'Part V-Utility Allowances'!G15</f>
        <v>0</v>
      </c>
      <c r="I709" s="2253">
        <f>'Part V-Utility Allowances'!I15</f>
        <v>0</v>
      </c>
      <c r="J709" s="2253">
        <f>'Part V-Utility Allowances'!J15</f>
        <v>46</v>
      </c>
      <c r="K709" s="2253">
        <f>'Part V-Utility Allowances'!K15</f>
        <v>60</v>
      </c>
      <c r="L709" s="2253">
        <f>'Part V-Utility Allowances'!L15</f>
        <v>84</v>
      </c>
      <c r="M709" s="2253">
        <f>'Part V-Utility Allowances'!M15</f>
        <v>0</v>
      </c>
    </row>
    <row r="710" spans="1:13">
      <c r="B710" s="873"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119</v>
      </c>
      <c r="K711" s="2255">
        <f>IF(SUM(K704:K710)=0,0,IF(OR($D704="&lt;&lt;Select Fuel &gt;&gt;",$D706="&lt;&lt;Select Fuel &gt;&gt;",$D707="&lt;&lt;Select Fuel &gt;&gt;"),"Select Fuel",IF($E709="&lt;Select&gt;","Submeter?",SUM(K704:K710))))</f>
        <v>157</v>
      </c>
      <c r="L711" s="2255">
        <f>IF(SUM(L704:L710)=0,0,IF(OR($D704="&lt;&lt;Select Fuel &gt;&gt;",$D706="&lt;&lt;Select Fuel &gt;&gt;",$D707="&lt;&lt;Select Fuel &gt;&gt;"),"Select Fuel",IF($E709="&lt;Select&gt;","Submeter?",SUM(L704:L710))))</f>
        <v>205</v>
      </c>
      <c r="M711" s="2255">
        <f>IF(SUM(M704:M710)=0,0,IF(OR($D704="&lt;&lt;Select Fuel &gt;&gt;",$D706="&lt;&lt;Select Fuel &gt;&gt;",$D707="&lt;&lt;Select Fuel &gt;&gt;"),"Select Fuel",IF($E709="&lt;Select&gt;","Submeter?",SUM(M704:M710))))</f>
        <v>0</v>
      </c>
    </row>
    <row r="712" spans="1:13">
      <c r="B712" s="500" t="s">
        <v>4160</v>
      </c>
      <c r="F712" s="2253"/>
      <c r="G712" s="2253"/>
      <c r="I712" s="2255"/>
      <c r="J712" s="2255"/>
      <c r="K712" s="2255"/>
      <c r="L712" s="2255"/>
      <c r="M712" s="2255"/>
    </row>
    <row r="714" spans="1:13">
      <c r="A714" s="2250" t="s">
        <v>770</v>
      </c>
      <c r="B714" s="2250" t="s">
        <v>2307</v>
      </c>
      <c r="F714" s="873" t="s">
        <v>2606</v>
      </c>
      <c r="I714" s="2251">
        <f>'Part V-Utility Allowances'!I20</f>
        <v>0</v>
      </c>
      <c r="J714" s="2251"/>
      <c r="K714" s="2251"/>
      <c r="L714" s="2251"/>
      <c r="M714" s="2251"/>
    </row>
    <row r="715" spans="1:13">
      <c r="A715" s="2250"/>
      <c r="B715" s="2250"/>
      <c r="F715" s="873"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3"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3" t="s">
        <v>484</v>
      </c>
      <c r="D720" s="873"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3"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3"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3" t="s">
        <v>1656</v>
      </c>
      <c r="D723" s="873"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3" t="s">
        <v>1420</v>
      </c>
      <c r="D724" s="873" t="s">
        <v>4159</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3"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0" t="s">
        <v>4160</v>
      </c>
      <c r="F727" s="2253"/>
      <c r="G727" s="2253"/>
      <c r="I727" s="2255"/>
      <c r="J727" s="2255"/>
      <c r="K727" s="2255"/>
      <c r="L727" s="2255"/>
      <c r="M727" s="2255"/>
    </row>
    <row r="729" spans="1:13">
      <c r="B729" s="2257" t="s">
        <v>1873</v>
      </c>
    </row>
    <row r="731" spans="1:13">
      <c r="A731" s="2250"/>
      <c r="B731" s="2250" t="s">
        <v>593</v>
      </c>
    </row>
    <row r="732" spans="1:13" ht="372">
      <c r="B732" s="2181" t="str">
        <f>'Part V-Utility Allowances'!B38</f>
        <v>The owner has agreed to pay trash; therefore, it is not listed in the allowance schedule above. As this development is requesting HOME funds, we have used the HUD utility model per the QAP requirements for HOME Applications. The HUD model, including all backup documentation is included in Tab 01: Feasibility.</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2016-010 The Preserve at Newport,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2016-010 The Preserve at Newport,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3855</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3663</v>
      </c>
      <c r="JD746" s="2263" t="s">
        <v>3664</v>
      </c>
      <c r="JE746" s="2263" t="s">
        <v>3665</v>
      </c>
      <c r="JF746" s="2263" t="s">
        <v>3666</v>
      </c>
      <c r="JG746" s="2263" t="s">
        <v>3667</v>
      </c>
    </row>
    <row r="747" spans="1:277" s="2079" customFormat="1" ht="3" customHeight="1">
      <c r="B747" s="2078"/>
      <c r="D747" s="2078"/>
      <c r="P747" s="2264" t="s">
        <v>4437</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t="str">
        <f>'Part VI-Revenues &amp; Expenses'!G5</f>
        <v>Floating</v>
      </c>
      <c r="J748" s="2269" t="s">
        <v>3849</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3658</v>
      </c>
      <c r="JI748" s="2266" t="s">
        <v>3659</v>
      </c>
      <c r="JJ748" s="2266" t="s">
        <v>3660</v>
      </c>
      <c r="JK748" s="2266" t="s">
        <v>3661</v>
      </c>
      <c r="JL748" s="2266" t="s">
        <v>3662</v>
      </c>
      <c r="JM748" s="2263" t="s">
        <v>3672</v>
      </c>
      <c r="JN748" s="2263" t="s">
        <v>3674</v>
      </c>
      <c r="JO748" s="2263" t="s">
        <v>3675</v>
      </c>
      <c r="JP748" s="2263" t="s">
        <v>3676</v>
      </c>
      <c r="JQ748" s="2263" t="s">
        <v>3677</v>
      </c>
    </row>
    <row r="749" spans="1:277" s="2079" customFormat="1" ht="13.15" customHeight="1">
      <c r="A749" s="2268"/>
      <c r="B749" s="2270" t="s">
        <v>1872</v>
      </c>
      <c r="E749" s="2078"/>
      <c r="F749" s="2253" t="str">
        <f>'Part VI-Revenues &amp; Expenses'!F6</f>
        <v>No</v>
      </c>
      <c r="G749" s="2269" t="s">
        <v>4099</v>
      </c>
      <c r="H749" s="2271" t="s">
        <v>4102</v>
      </c>
      <c r="J749" s="2269" t="s">
        <v>4104</v>
      </c>
      <c r="M749" s="2272" t="str">
        <f>'Part I-Project Information'!$O$30</f>
        <v>Camden Co.</v>
      </c>
      <c r="N749" s="2272"/>
      <c r="O749" s="2273">
        <f>VLOOKUP('Part I-Project Information'!$O$30,'DCA Underwriting Assumptions'!$C$141:$D$251,2)</f>
        <v>65400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4100</v>
      </c>
      <c r="H750" s="2271"/>
      <c r="J750" s="2269" t="s">
        <v>4105</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4100</v>
      </c>
      <c r="I751" s="2269" t="s">
        <v>830</v>
      </c>
      <c r="J751" s="2269" t="s">
        <v>4438</v>
      </c>
      <c r="K751" s="2277" t="s">
        <v>147</v>
      </c>
      <c r="L751" s="2277"/>
      <c r="M751" s="2269" t="s">
        <v>2450</v>
      </c>
      <c r="N751" s="2269" t="s">
        <v>551</v>
      </c>
      <c r="O751" s="2269" t="s">
        <v>397</v>
      </c>
      <c r="P751" s="2264"/>
      <c r="Q751" s="2277" t="s">
        <v>3860</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3554</v>
      </c>
      <c r="FH751" s="2263" t="s">
        <v>3554</v>
      </c>
      <c r="FI751" s="2263" t="s">
        <v>3554</v>
      </c>
      <c r="FJ751" s="2263" t="s">
        <v>3554</v>
      </c>
      <c r="FK751" s="2263" t="s">
        <v>3554</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3550</v>
      </c>
      <c r="GB751" s="2263" t="s">
        <v>3550</v>
      </c>
      <c r="GC751" s="2263" t="s">
        <v>3550</v>
      </c>
      <c r="GD751" s="2263" t="s">
        <v>3550</v>
      </c>
      <c r="GE751" s="2263" t="s">
        <v>3550</v>
      </c>
      <c r="GF751" s="2263" t="s">
        <v>372</v>
      </c>
      <c r="GG751" s="2263" t="s">
        <v>372</v>
      </c>
      <c r="GH751" s="2263" t="s">
        <v>372</v>
      </c>
      <c r="GI751" s="2263" t="s">
        <v>372</v>
      </c>
      <c r="GJ751" s="2263" t="s">
        <v>372</v>
      </c>
      <c r="GK751" s="2263" t="s">
        <v>3549</v>
      </c>
      <c r="GL751" s="2263" t="s">
        <v>3549</v>
      </c>
      <c r="GM751" s="2263" t="s">
        <v>3549</v>
      </c>
      <c r="GN751" s="2263" t="s">
        <v>3549</v>
      </c>
      <c r="GO751" s="2263" t="s">
        <v>3549</v>
      </c>
      <c r="GP751" s="2263" t="s">
        <v>373</v>
      </c>
      <c r="GQ751" s="2263" t="s">
        <v>373</v>
      </c>
      <c r="GR751" s="2263" t="s">
        <v>373</v>
      </c>
      <c r="GS751" s="2263" t="s">
        <v>373</v>
      </c>
      <c r="GT751" s="2263" t="s">
        <v>373</v>
      </c>
      <c r="GU751" s="2263" t="s">
        <v>3548</v>
      </c>
      <c r="GV751" s="2263" t="s">
        <v>3548</v>
      </c>
      <c r="GW751" s="2263" t="s">
        <v>3548</v>
      </c>
      <c r="GX751" s="2263" t="s">
        <v>3548</v>
      </c>
      <c r="GY751" s="2263" t="s">
        <v>3548</v>
      </c>
      <c r="GZ751" s="2263" t="s">
        <v>374</v>
      </c>
      <c r="HA751" s="2263" t="s">
        <v>374</v>
      </c>
      <c r="HB751" s="2263" t="s">
        <v>374</v>
      </c>
      <c r="HC751" s="2263" t="s">
        <v>374</v>
      </c>
      <c r="HD751" s="2263" t="s">
        <v>374</v>
      </c>
      <c r="HE751" s="2263" t="s">
        <v>3551</v>
      </c>
      <c r="HF751" s="2263" t="s">
        <v>3551</v>
      </c>
      <c r="HG751" s="2263" t="s">
        <v>3551</v>
      </c>
      <c r="HH751" s="2263" t="s">
        <v>3551</v>
      </c>
      <c r="HI751" s="2263" t="s">
        <v>3551</v>
      </c>
      <c r="HJ751" s="2263" t="s">
        <v>375</v>
      </c>
      <c r="HK751" s="2263" t="s">
        <v>375</v>
      </c>
      <c r="HL751" s="2263" t="s">
        <v>375</v>
      </c>
      <c r="HM751" s="2263" t="s">
        <v>375</v>
      </c>
      <c r="HN751" s="2263" t="s">
        <v>375</v>
      </c>
      <c r="HO751" s="2263" t="s">
        <v>3552</v>
      </c>
      <c r="HP751" s="2263" t="s">
        <v>3552</v>
      </c>
      <c r="HQ751" s="2263" t="s">
        <v>3552</v>
      </c>
      <c r="HR751" s="2263" t="s">
        <v>3552</v>
      </c>
      <c r="HS751" s="2263" t="s">
        <v>3552</v>
      </c>
      <c r="HT751" s="2263" t="s">
        <v>1517</v>
      </c>
      <c r="HU751" s="2263" t="s">
        <v>1517</v>
      </c>
      <c r="HV751" s="2263" t="s">
        <v>1517</v>
      </c>
      <c r="HW751" s="2263" t="s">
        <v>1517</v>
      </c>
      <c r="HX751" s="2263" t="s">
        <v>1517</v>
      </c>
      <c r="HY751" s="2263" t="s">
        <v>3553</v>
      </c>
      <c r="HZ751" s="2263" t="s">
        <v>3553</v>
      </c>
      <c r="IA751" s="2263" t="s">
        <v>3553</v>
      </c>
      <c r="IB751" s="2263" t="s">
        <v>3553</v>
      </c>
      <c r="IC751" s="2263" t="s">
        <v>3553</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4101</v>
      </c>
      <c r="H752" s="2269" t="s">
        <v>1535</v>
      </c>
      <c r="I752" s="2269" t="s">
        <v>831</v>
      </c>
      <c r="J752" s="2278" t="s">
        <v>363</v>
      </c>
      <c r="K752" s="2269" t="s">
        <v>1587</v>
      </c>
      <c r="L752" s="2269" t="s">
        <v>558</v>
      </c>
      <c r="M752" s="2269" t="s">
        <v>1533</v>
      </c>
      <c r="N752" s="2269" t="s">
        <v>3498</v>
      </c>
      <c r="O752" s="2269" t="s">
        <v>398</v>
      </c>
      <c r="P752" s="2264"/>
      <c r="Q752" s="2269" t="s">
        <v>3861</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3555</v>
      </c>
      <c r="FR752" s="2253" t="s">
        <v>3555</v>
      </c>
      <c r="FS752" s="2253" t="s">
        <v>3555</v>
      </c>
      <c r="FT752" s="2253" t="s">
        <v>3555</v>
      </c>
      <c r="FU752" s="2253" t="s">
        <v>3555</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0">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9</v>
      </c>
      <c r="F753" s="2282">
        <f>'Part VI-Revenues &amp; Expenses'!F10</f>
        <v>830</v>
      </c>
      <c r="G753" s="2282">
        <f>'Part VI-Revenues &amp; Expenses'!G10</f>
        <v>575</v>
      </c>
      <c r="H753" s="2282">
        <f>'Part VI-Revenues &amp; Expenses'!H10</f>
        <v>541</v>
      </c>
      <c r="I753" s="2282">
        <f>'Part VI-Revenues &amp; Expenses'!I10</f>
        <v>119</v>
      </c>
      <c r="J753" s="2283">
        <f>'Part VI-Revenues &amp; Expenses'!J10</f>
        <v>0</v>
      </c>
      <c r="K753" s="2284">
        <f t="shared" ref="K753:K790" si="1">MAX(0,H753-I753)</f>
        <v>422</v>
      </c>
      <c r="L753" s="2284">
        <f t="shared" ref="L753:L790" si="2">MAX(0,E753*K753)</f>
        <v>3798</v>
      </c>
      <c r="M753" s="2285" t="str">
        <f>'Part VI-Revenues &amp; Expenses'!M10</f>
        <v>No</v>
      </c>
      <c r="N753" s="2285" t="str">
        <f>'Part VI-Revenues &amp; Expenses'!N10</f>
        <v>2-Story Walkup</v>
      </c>
      <c r="O753" s="2285" t="str">
        <f>'Part VI-Revenues &amp; Expenses'!O10</f>
        <v>New Construction</v>
      </c>
      <c r="P753" s="2262" t="str">
        <f>'Part VI-Revenues &amp; Expenses'!P10</f>
        <v>No</v>
      </c>
      <c r="Q753" s="2286">
        <f>'Part VI-Revenues &amp; Expenses'!Q10</f>
        <v>21640</v>
      </c>
      <c r="R753" s="2287">
        <f>'Part VI-Revenues &amp; Expenses'!R10</f>
        <v>0.44118246687054025</v>
      </c>
      <c r="S753" s="2286">
        <f>'Part VI-Revenues &amp; Expenses'!S10</f>
        <v>0</v>
      </c>
      <c r="T753" s="2287">
        <f>'Part VI-Revenues &amp; Expenses'!T10</f>
        <v>0</v>
      </c>
      <c r="U753" s="2176">
        <f>'Part VI-Revenues &amp; Expenses'!U10</f>
        <v>0</v>
      </c>
      <c r="V753" s="2176"/>
      <c r="W753" s="873" t="str">
        <f t="shared" ref="W753:W790" si="3">IF(AND(C753="Efficiency",B753="60% AMI",NOT(M753="Common Space")),E753,"")</f>
        <v/>
      </c>
      <c r="X753" s="873" t="str">
        <f t="shared" ref="X753:X790" si="4">IF(AND(C753=1,B753="60% AMI",NOT(M753="Common Space")),E753,"")</f>
        <v/>
      </c>
      <c r="Y753" s="873" t="str">
        <f t="shared" ref="Y753:Y790" si="5">IF(AND(C753=2,B753="60% AMI",NOT(M753="Common Space")),E753,"")</f>
        <v/>
      </c>
      <c r="Z753" s="873" t="str">
        <f t="shared" ref="Z753:Z790" si="6">IF(AND(C753=3,B753="60% AMI",NOT(M753="Common Space")),E753,"")</f>
        <v/>
      </c>
      <c r="AA753" s="873" t="str">
        <f t="shared" ref="AA753:AA790" si="7">IF(AND(C753=4,B753="60% AMI",NOT(M753="Common Space")),E753,"")</f>
        <v/>
      </c>
      <c r="AB753" s="873" t="str">
        <f t="shared" ref="AB753:AB790" si="8">IF(AND(C753="Efficiency",B753="50% AMI",NOT(M753="Common Space")),E753,"")</f>
        <v/>
      </c>
      <c r="AC753" s="873">
        <f t="shared" ref="AC753:AC790" si="9">IF(AND(C753=1,B753="50% AMI",NOT(M753="Common Space")),E753,"")</f>
        <v>9</v>
      </c>
      <c r="AD753" s="873" t="str">
        <f t="shared" ref="AD753:AD790" si="10">IF(AND(C753=2,B753="50% AMI",NOT(M753="Common Space")),E753,"")</f>
        <v/>
      </c>
      <c r="AE753" s="873" t="str">
        <f t="shared" ref="AE753:AE790" si="11">IF(AND(C753=3,B753="50% AMI",NOT(M753="Common Space")),E753,"")</f>
        <v/>
      </c>
      <c r="AF753" s="873" t="str">
        <f t="shared" ref="AF753:AF790" si="12">IF(AND(C753=4,B753="50% AMI",NOT(M753="Common Space")),E753,"")</f>
        <v/>
      </c>
      <c r="AG753" s="873" t="str">
        <f t="shared" ref="AG753:AG790" si="13">IF(AND(C753="Efficiency",B753="30% AMI",NOT(M753="Common Space")),E753,"")</f>
        <v/>
      </c>
      <c r="AH753" s="873" t="str">
        <f t="shared" ref="AH753:AH790" si="14">IF(AND(C753=1,B753="30% AMI",NOT(M753="Common Space")),E753,"")</f>
        <v/>
      </c>
      <c r="AI753" s="873" t="str">
        <f t="shared" ref="AI753:AI790" si="15">IF(AND(C753=2,B753="30% AMI",NOT(M753="Common Space")),E753,"")</f>
        <v/>
      </c>
      <c r="AJ753" s="873" t="str">
        <f t="shared" ref="AJ753:AJ790" si="16">IF(AND(C753=3,B753="30% AMI",NOT(M753="Common Space")),E753,"")</f>
        <v/>
      </c>
      <c r="AK753" s="873" t="str">
        <f t="shared" ref="AK753:AK790" si="17">IF(AND(C753=4,B753="30% AMI",NOT(M753="Common Space")),E753,"")</f>
        <v/>
      </c>
      <c r="AL753" s="873" t="str">
        <f t="shared" ref="AL753:AL790" si="18">IF(AND(C753="Efficiency",B753="Unrestricted",NOT(M753="Common Space")),E753,"")</f>
        <v/>
      </c>
      <c r="AM753" s="873" t="str">
        <f t="shared" ref="AM753:AM790" si="19">IF(AND(C753=1,B753="Unrestricted",NOT(M753="Common Space")),E753,"")</f>
        <v/>
      </c>
      <c r="AN753" s="873" t="str">
        <f t="shared" ref="AN753:AN790" si="20">IF(AND(C753=2,B753="Unrestricted",NOT(M753="Common Space")),E753,"")</f>
        <v/>
      </c>
      <c r="AO753" s="873" t="str">
        <f t="shared" ref="AO753:AO790" si="21">IF(AND(C753=3,B753="Unrestricted",NOT(M753="Common Space")),E753,"")</f>
        <v/>
      </c>
      <c r="AP753" s="873" t="str">
        <f t="shared" ref="AP753:AP790" si="22">IF(AND(C753=4,B753="Unrestricted",NOT(M753="Common Space")),E753,"")</f>
        <v/>
      </c>
      <c r="AQ753" s="873" t="str">
        <f t="shared" ref="AQ753:AQ790" si="23">IF(OR(AND($C753="Efficiency",NOT($J753=""),NOT($J753="PHA Oper Sub"),$B753="30% AMI",NOT($M753="Common Space")),AND($C753="Efficiency",NOT($J753=""),NOT($J753="PHA Oper Sub"),$B753="HOME 30% AMI",NOT($M753="Common Space"))),$E753,"")</f>
        <v/>
      </c>
      <c r="AR753" s="873" t="str">
        <f t="shared" ref="AR753:AR790" si="24">IF(OR(AND($C753=1,NOT($J753=""),NOT($J753="PHA Oper Sub"),$B753="30% AMI",NOT($M753="Common Space")),AND($C753=1,NOT($J753=""),NOT($J753="PHA Oper Sub"),$B753="HOME 30% AMI",NOT($M753="Common Space"))),$E753,"")</f>
        <v/>
      </c>
      <c r="AS753" s="873" t="str">
        <f t="shared" ref="AS753:AS790" si="25">IF(OR(AND($C753=2,NOT($J753=""),NOT($J753="PHA Oper Sub"),$B753="30% AMI",NOT($M753="Common Space")),AND($C753=2,NOT($J753=""),NOT($J753="PHA Oper Sub"),$B753="HOME 30% AMI",NOT($M753="Common Space"))),$E753,"")</f>
        <v/>
      </c>
      <c r="AT753" s="873" t="str">
        <f t="shared" ref="AT753:AT790" si="26">IF(OR(AND($C753=3,NOT($J753=""),NOT($J753="PHA Oper Sub"),$B753="30% AMI",NOT($M753="Common Space")),AND($C753=3,NOT($J753=""),NOT($J753="PHA Oper Sub"),$B753="HOME 30% AMI",NOT($M753="Common Space"))),$E753,"")</f>
        <v/>
      </c>
      <c r="AU753" s="873" t="str">
        <f t="shared" ref="AU753:AU790" si="27">IF(OR(AND($C753=4,NOT($J753=""),NOT($J753="PHA Oper Sub"),$B753="30% AMI",NOT($M753="Common Space")),AND($C753=4,NOT($J753=""),NOT($J753="PHA Oper Sub"),$B753="HOME 30% AMI",NOT($M753="Common Space"))),$E753,"")</f>
        <v/>
      </c>
      <c r="AV753" s="873" t="str">
        <f t="shared" ref="AV753:AV790" si="28">IF(OR(AND($C753="Efficiency",NOT($J753=""),NOT($J753="PHA Oper Sub"),NOT($J753=0),$B753="50% AMI",NOT($M753="Common Space")),AND($C753="Efficiency",NOT($J753=""),NOT($J753=0),NOT($J753="PHA Oper Sub"),$B753="HOME 50% AMI",NOT($M753="Common Space"))),$E753,"")</f>
        <v/>
      </c>
      <c r="AW753" s="873" t="str">
        <f t="shared" ref="AW753:AW790" si="29">IF(OR(AND($C753=1,NOT($J753=""),NOT($J753=0),NOT($J753="PHA Oper Sub"),$B753="50% AMI",NOT($M753="Common Space")),AND($C753=1,NOT($J753=""),NOT($J753=0),NOT($J753="PHA Oper Sub"),$B753="HOME 50% AMI",NOT($M753="Common Space"))),$E753,"")</f>
        <v/>
      </c>
      <c r="AX753" s="873" t="str">
        <f t="shared" ref="AX753:AX790" si="30">IF(OR(AND($C753=2,NOT($J753=""),NOT($J753=0),NOT($J753="PHA Oper Sub"),$B753="50% AMI",NOT($M753="Common Space")),AND($C753=2,NOT($J753=""),NOT($J753=0),NOT($J753="PHA Oper Sub"),$B753="HOME 50% AMI",NOT($M753="Common Space"))),$E753,"")</f>
        <v/>
      </c>
      <c r="AY753" s="873" t="str">
        <f t="shared" ref="AY753:AY790" si="31">IF(OR(AND($C753=3,NOT($J753=""),NOT($J753=0),NOT($J753="PHA Oper Sub"),$B753="50% AMI",NOT($M753="Common Space")),AND($C753=3,NOT($J753=""),NOT($J753=0),NOT($J753="PHA Oper Sub"),$B753="HOME 50% AMI",NOT($M753="Common Space"))),$E753,"")</f>
        <v/>
      </c>
      <c r="AZ753" s="873" t="str">
        <f t="shared" ref="AZ753:AZ790" si="32">IF(OR(AND($C753=4,NOT($J753=""),NOT($J753=0),NOT($J753="PHA Oper Sub"),$B753="50% AMI",NOT($M753="Common Space")),AND($C753=4,NOT($J753=""),NOT($J753=0),NOT($J753="PHA Oper Sub"),$B753="HOME 50% AMI",NOT($M753="Common Space"))),$E753,"")</f>
        <v/>
      </c>
      <c r="BA753" s="873" t="str">
        <f t="shared" ref="BA753:BA790" si="33">IF(OR(AND($C753="Efficiency",NOT($J753=""),NOT($J753=0),NOT($J753="PHA Oper Sub"),$B753="60% AMI",NOT($M753="Common Space")),AND($C753="Efficiency",NOT($J753=""),NOT($J753=0),NOT($J753="PHA Oper Sub"),$B753="HOME 60% AMI",NOT($M753="Common Space"))),$E753,"")</f>
        <v/>
      </c>
      <c r="BB753" s="873" t="str">
        <f t="shared" ref="BB753:BB790" si="34">IF(OR(AND($C753=1,NOT($J753=""),NOT($J753=0),NOT($J753="PHA Oper Sub"),$B753="60% AMI",NOT($M753="Common Space")),AND($C753=1,NOT($J753=""),NOT($J753=0),NOT($J753="PHA Oper Sub"),$B753="HOME 60% AMI",NOT($M753="Common Space"))),$E753,"")</f>
        <v/>
      </c>
      <c r="BC753" s="873" t="str">
        <f t="shared" ref="BC753:BC790" si="35">IF(OR(AND($C753=2,NOT($J753=""),NOT($J753=0),NOT($J753="PHA Oper Sub"),$B753="60% AMI",NOT($M753="Common Space")),AND($C753=2,NOT($J753=""),NOT($J753=0),NOT($J753="PHA Oper Sub"),$B753="HOME 60% AMI",NOT($M753="Common Space"))),$E753,"")</f>
        <v/>
      </c>
      <c r="BD753" s="873" t="str">
        <f t="shared" ref="BD753:BD790" si="36">IF(OR(AND($C753=3,NOT($J753=""),NOT($J753=0),NOT($J753="PHA Oper Sub"),$B753="60% AMI",NOT($M753="Common Space")),AND($C753=3,NOT($J753=""),NOT($J753=0),NOT($J753="PHA Oper Sub"),$B753="HOME 60% AMI",NOT($M753="Common Space"))),$E753,"")</f>
        <v/>
      </c>
      <c r="BE753" s="873" t="str">
        <f t="shared" ref="BE753:BE790" si="37">IF(OR(AND($C753=4,NOT($J753=""),NOT($J753=0),NOT($J753="PHA Oper Sub"),$B753="60% AMI",NOT($M753="Common Space")),AND($C753=4,NOT($J753=""),NOT($J753=0),NOT($J753="PHA Oper Sub"),$B753="HOME 60% AMI",NOT($M753="Common Space"))),$E753,"")</f>
        <v/>
      </c>
      <c r="BF753" s="873" t="str">
        <f t="shared" ref="BF753:BF790" si="38">IF(OR(AND($C753="Efficiency",$J753="PHA Oper Sub",$B753="30% AMI",NOT($M753="Common Space")),AND($C753="Efficiency",$J753="PHA Oper Sub",$B753="HOME 30% AMI",NOT($M753="Common Space"))),$E753,"")</f>
        <v/>
      </c>
      <c r="BG753" s="873" t="str">
        <f t="shared" ref="BG753:BG790" si="39">IF(OR(AND($C753=1,$J753="PHA Oper Sub",$B753="30% AMI",NOT($M753="Common Space")),AND($C753=1,$J753="PHA Oper Sub",$B753="HOME 30% AMI",NOT($M753="Common Space"))),$E753,"")</f>
        <v/>
      </c>
      <c r="BH753" s="873" t="str">
        <f t="shared" ref="BH753:BH790" si="40">IF(OR(AND($C753=2,$J753="PHA Oper Sub",$B753="30% AMI",NOT($M753="Common Space")),AND($C753=2,$J753="PHA Oper Sub",$B753="HOME 30% AMI",NOT($M753="Common Space"))),$E753,"")</f>
        <v/>
      </c>
      <c r="BI753" s="873" t="str">
        <f t="shared" ref="BI753:BI790" si="41">IF(OR(AND($C753=3,$J753="PHA Oper Sub",$B753="30% AMI",NOT($M753="Common Space")),AND($C753=3,$J753="PHA Oper Sub",$B753="HOME 30% AMI",NOT($M753="Common Space"))),$E753,"")</f>
        <v/>
      </c>
      <c r="BJ753" s="873" t="str">
        <f t="shared" ref="BJ753:BJ790" si="42">IF(OR(AND($C753=4,$J753="PHA Oper Sub",$B753="30% AMI",NOT($M753="Common Space")),AND($C753=4,$J753="PHA Oper Sub",$B753="HOME 30% AMI",NOT($M753="Common Space"))),$E753,"")</f>
        <v/>
      </c>
      <c r="BK753" s="873" t="str">
        <f t="shared" ref="BK753:BK790" si="43">IF(OR(AND($C753="Efficiency",$J753="PHA Oper Sub",$B753="50% AMI",NOT($M753="Common Space")),AND($C753="Efficiency",$J753="PHA Oper Sub",$B753="HOME 50% AMI",NOT($M753="Common Space"))),$E753,"")</f>
        <v/>
      </c>
      <c r="BL753" s="873" t="str">
        <f t="shared" ref="BL753:BL790" si="44">IF(OR(AND($C753=1,$J753="PHA Oper Sub",$B753="50% AMI",NOT($M753="Common Space")),AND($C753=1,$J753="PHA Oper Sub",$B753="HOME 50% AMI",NOT($M753="Common Space"))),$E753,"")</f>
        <v/>
      </c>
      <c r="BM753" s="873" t="str">
        <f t="shared" ref="BM753:BM790" si="45">IF(OR(AND($C753=2,$J753="PHA Oper Sub",$B753="50% AMI",NOT($M753="Common Space")),AND($C753=2,$J753="PHA Oper Sub",$B753="HOME 50% AMI",NOT($M753="Common Space"))),$E753,"")</f>
        <v/>
      </c>
      <c r="BN753" s="873" t="str">
        <f t="shared" ref="BN753:BN790" si="46">IF(OR(AND($C753=3,$J753="PHA Oper Sub",$B753="50% AMI",NOT($M753="Common Space")),AND($C753=3,$J753="PHA Oper Sub",$B753="HOME 50% AMI",NOT($M753="Common Space"))),$E753,"")</f>
        <v/>
      </c>
      <c r="BO753" s="873" t="str">
        <f t="shared" ref="BO753:BO790" si="47">IF(OR(AND($C753=4,$J753="PHA Oper Sub",$B753="50% AMI",NOT($M753="Common Space")),AND($C753=4,$J753="PHA Oper Sub",$B753="HOME 50% AMI",NOT($M753="Common Space"))),$E753,"")</f>
        <v/>
      </c>
      <c r="BP753" s="873" t="str">
        <f t="shared" ref="BP753:BP790" si="48">IF(OR(AND($C753="Efficiency",$J753="PHA Oper Sub",$B753="60% AMI",NOT($M753="Common Space")),AND($C753="Efficiency",$J753="PHA Oper Sub",$B753="HOME 60% AMI",NOT($M753="Common Space"))),$E753,"")</f>
        <v/>
      </c>
      <c r="BQ753" s="873" t="str">
        <f t="shared" ref="BQ753:BQ790" si="49">IF(OR(AND($C753=1,$J753="PHA Oper Sub",$B753="60% AMI",NOT($M753="Common Space")),AND($C753=1,$J753="PHA Oper Sub",$B753="HOME 60% AMI",NOT($M753="Common Space"))),$E753,"")</f>
        <v/>
      </c>
      <c r="BR753" s="873" t="str">
        <f t="shared" ref="BR753:BR790" si="50">IF(OR(AND($C753=2,$J753="PHA Oper Sub",$B753="60% AMI",NOT($M753="Common Space")),AND($C753=2,$J753="PHA Oper Sub",$B753="HOME 60% AMI",NOT($M753="Common Space"))),$E753,"")</f>
        <v/>
      </c>
      <c r="BS753" s="873" t="str">
        <f t="shared" ref="BS753:BS790" si="51">IF(OR(AND($C753=3,$J753="PHA Oper Sub",$B753="60% AMI",NOT($M753="Common Space")),AND($C753=3,$J753="PHA Oper Sub",$B753="HOME 60% AMI",NOT($M753="Common Space"))),$E753,"")</f>
        <v/>
      </c>
      <c r="BT753" s="873" t="str">
        <f t="shared" ref="BT753:BT790" si="52">IF(OR(AND($C753=4,$J753="PHA Oper Sub",$B753="60% AMI",NOT($M753="Common Space")),AND($C753=4,$J753="PHA Oper Sub",$B753="HOME 60% AMI",NOT($M753="Common Space"))),$E753,"")</f>
        <v/>
      </c>
      <c r="BU753" s="873" t="str">
        <f t="shared" ref="BU753:BU790" si="53">IF(AND(C753="Efficiency",M753="Common Space"),E753,"")</f>
        <v/>
      </c>
      <c r="BV753" s="873" t="str">
        <f t="shared" ref="BV753:BV790" si="54">IF(AND(C753=1,M753="Common Space"),E753,"")</f>
        <v/>
      </c>
      <c r="BW753" s="873" t="str">
        <f t="shared" ref="BW753:BW790" si="55">IF(AND(C753=2,M753="Common Space"),E753,"")</f>
        <v/>
      </c>
      <c r="BX753" s="873" t="str">
        <f t="shared" ref="BX753:BX790" si="56">IF(AND(C753=3,M753="Common Space"),E753,"")</f>
        <v/>
      </c>
      <c r="BY753" s="873" t="str">
        <f t="shared" ref="BY753:BY790" si="57">IF(AND(C753=4,M753="Common Space"),E753,"")</f>
        <v/>
      </c>
      <c r="BZ753" s="873" t="str">
        <f t="shared" ref="BZ753:BZ790" si="58">IF(OR(AND(C753="Efficiency",B753="60% AMI",NOT(M753="Common Space")),AND(C753="Efficiency",B753="HOME 60% AMI",NOT(M753="Common Space"))),E753*F753,"")</f>
        <v/>
      </c>
      <c r="CA753" s="873" t="str">
        <f t="shared" ref="CA753:CA790" si="59">IF(OR(AND(C753=1,B753="60% AMI",NOT(M753="Common Space")),AND(C753=1,B753="HOME 60% AMI",NOT(M753="Common Space"))),E753*F753,"")</f>
        <v/>
      </c>
      <c r="CB753" s="873" t="str">
        <f t="shared" ref="CB753:CB790" si="60">IF(OR(AND(C753=2,B753="60% AMI",NOT(M753="Common Space")),AND(C753=2,B753="HOME 60% AMI",NOT(M753="Common Space"))),E753*F753,"")</f>
        <v/>
      </c>
      <c r="CC753" s="873" t="str">
        <f t="shared" ref="CC753:CC790" si="61">IF(OR(AND(C753=3,B753="60% AMI",NOT(M753="Common Space")),AND(C753=3,B753="HOME 60% AMI",NOT(M753="Common Space"))),E753*F753,"")</f>
        <v/>
      </c>
      <c r="CD753" s="873" t="str">
        <f t="shared" ref="CD753:CD790" si="62">IF(OR(AND(C753=4,B753="60% AMI",NOT(M753="Common Space")),AND(C753=4,B753="HOME 60% AMI",NOT(M753="Common Space"))),E753*F753,"")</f>
        <v/>
      </c>
      <c r="CE753" s="873" t="str">
        <f t="shared" ref="CE753:CE790" si="63">IF(OR(AND(C753="Efficiency",B753="50% AMI",NOT(M753="Common Space")),AND(C753="Efficiency",B753="HOME 50% AMI",NOT(M753="Common Space"))),E753*F753,"")</f>
        <v/>
      </c>
      <c r="CF753" s="873">
        <f t="shared" ref="CF753:CF790" si="64">IF(OR(AND(C753=1,B753="50% AMI",NOT(M753="Common Space")),AND(C753=1,B753="HOME 50% AMI",NOT(M753="Common Space"))),E753*F753,"")</f>
        <v>7470</v>
      </c>
      <c r="CG753" s="873" t="str">
        <f t="shared" ref="CG753:CG790" si="65">IF(OR(AND(C753=2,B753="50% AMI",NOT(M753="Common Space")),AND(C753=2,B753="HOME 50% AMI",NOT(M753="Common Space"))),E753*F753,"")</f>
        <v/>
      </c>
      <c r="CH753" s="873" t="str">
        <f t="shared" ref="CH753:CH790" si="66">IF(OR(AND(C753=3,B753="50% AMI",NOT(M753="Common Space")),AND(C753=3,B753="HOME 50% AMI",NOT(M753="Common Space"))),E753*F753,"")</f>
        <v/>
      </c>
      <c r="CI753" s="873" t="str">
        <f t="shared" ref="CI753:CI790" si="67">IF(OR(AND(C753=4,B753="50% AMI",NOT(M753="Common Space")),AND(C753=4,B753="HOME 50% AMI",NOT(M753="Common Space"))),E753*F753,"")</f>
        <v/>
      </c>
      <c r="CJ753" s="873" t="str">
        <f t="shared" ref="CJ753:CJ790" si="68">IF(OR(AND(C753="Efficiency",B753="30% AMI",NOT(M753="Common Space")),AND(C753="Efficiency",B753="HOME 30% AMI",NOT(M753="Common Space"))),E753*F753,"")</f>
        <v/>
      </c>
      <c r="CK753" s="873" t="str">
        <f t="shared" ref="CK753:CK790" si="69">IF(OR(AND(C753=1,B753="30% AMI",NOT(M753="Common Space")),AND(C753=1,B753="HOME 30% AMI",NOT(M753="Common Space"))),E753*F753,"")</f>
        <v/>
      </c>
      <c r="CL753" s="873" t="str">
        <f t="shared" ref="CL753:CL790" si="70">IF(OR(AND(C753=2,B753="30% AMI",NOT(M753="Common Space")),AND(C753=2,B753="HOME 30% AMI",NOT(M753="Common Space"))),E753*F753,"")</f>
        <v/>
      </c>
      <c r="CM753" s="873" t="str">
        <f t="shared" ref="CM753:CM790" si="71">IF(OR(AND(C753=3,B753="30% AMI",NOT(M753="Common Space")),AND(C753=3,B753="HOME 30% AMI",NOT(M753="Common Space"))),E753*F753,"")</f>
        <v/>
      </c>
      <c r="CN753" s="873" t="str">
        <f t="shared" ref="CN753:CN790" si="72">IF(OR(AND(C753=4,B753="30% AMI",NOT(M753="Common Space")),AND(C753=4,B753="HOME 30% AMI",NOT(M753="Common Space"))),E753*F753,"")</f>
        <v/>
      </c>
      <c r="CO753" s="873" t="str">
        <f t="shared" ref="CO753:CO790" si="73">IF(AND(C753="Efficiency",B753="Unrestricted",NOT(M753="Common Space")),E753*F753,"")</f>
        <v/>
      </c>
      <c r="CP753" s="873" t="str">
        <f t="shared" ref="CP753:CP790" si="74">IF(AND(C753=1,B753="Unrestricted",NOT(M753="Common Space")),E753*F753,"")</f>
        <v/>
      </c>
      <c r="CQ753" s="873" t="str">
        <f t="shared" ref="CQ753:CQ790" si="75">IF(AND(C753=2,B753="Unrestricted",NOT(M753="Common Space")),E753*F753,"")</f>
        <v/>
      </c>
      <c r="CR753" s="873" t="str">
        <f t="shared" ref="CR753:CR790" si="76">IF(AND(C753=3,B753="Unrestricted",NOT(M753="Common Space")),E753*F753,"")</f>
        <v/>
      </c>
      <c r="CS753" s="873" t="str">
        <f t="shared" ref="CS753:CS790" si="77">IF(AND(C753=4,B753="Unrestricted",NOT(M753="Common Space")),E753*F753,"")</f>
        <v/>
      </c>
      <c r="CT753" s="873" t="str">
        <f t="shared" ref="CT753:CT790" si="78">IF(AND(C753="Efficiency",NOT(J753=""),NOT($J753=0),NOT(M753="Common Space")),E753*F753,"")</f>
        <v/>
      </c>
      <c r="CU753" s="873" t="str">
        <f t="shared" ref="CU753:CU790" si="79">IF(AND(C753=1,NOT(J753=""),NOT($J753=0),NOT(M753="Common Space")),E753*F753,"")</f>
        <v/>
      </c>
      <c r="CV753" s="873" t="str">
        <f t="shared" ref="CV753:CV790" si="80">IF(AND(C753=2,NOT(J753=""),NOT($J753=0),NOT(M753="Common Space")),E753*F753,"")</f>
        <v/>
      </c>
      <c r="CW753" s="873" t="str">
        <f t="shared" ref="CW753:CW790" si="81">IF(AND(C753=3,NOT(J753=""),NOT($J753=0),NOT(M753="Common Space")),E753*F753,"")</f>
        <v/>
      </c>
      <c r="CX753" s="873" t="str">
        <f t="shared" ref="CX753:CX790" si="82">IF(AND(C753=4,NOT(J753=""),NOT($J753=0),NOT(M753="Common Space")),E753*F753,"")</f>
        <v/>
      </c>
      <c r="CY753" s="873" t="str">
        <f t="shared" ref="CY753:CY790" si="83">IF(AND(C753="Efficiency",M753="Common Space"),E753*F753,"")</f>
        <v/>
      </c>
      <c r="CZ753" s="873" t="str">
        <f t="shared" ref="CZ753:CZ790" si="84">IF(AND(C753=1,M753="Common Space"),E753*F753,"")</f>
        <v/>
      </c>
      <c r="DA753" s="873" t="str">
        <f t="shared" ref="DA753:DA790" si="85">IF(AND(C753=2,M753="Common Space"),E753*F753,"")</f>
        <v/>
      </c>
      <c r="DB753" s="873" t="str">
        <f t="shared" ref="DB753:DB790" si="86">IF(AND(C753=3,M753="Common Space"),E753*F753,"")</f>
        <v/>
      </c>
      <c r="DC753" s="873" t="str">
        <f t="shared" ref="DC753:DC790" si="87">IF(AND(C753=4,M753="Common Space"),E753*F753,"")</f>
        <v/>
      </c>
      <c r="DD753" s="873" t="str">
        <f t="shared" ref="DD753:DD790" si="88">IF(AND($C753="Efficiency", $O753="New Construction",NOT($B753="Unrestricted"),NOT($B753="NSP 120% AMI"),NOT($B753="N/A-CS"),NOT($M753="Common Space")),$E753,"")</f>
        <v/>
      </c>
      <c r="DE753" s="873">
        <f t="shared" ref="DE753:DE790" si="89">IF(AND($C753=1, $O753="New Construction",NOT($B753="Unrestricted"),NOT($B753="NSP 120% AMI"),NOT($B753="N/A-CS"),NOT($M753="Common Space")),$E753,"")</f>
        <v>9</v>
      </c>
      <c r="DF753" s="873" t="str">
        <f t="shared" ref="DF753:DF790" si="90">IF(AND($C753=2, $O753="New Construction",NOT($B753="Unrestricted"),NOT($B753="NSP 120% AMI"),NOT($B753="N/A-CS"),NOT($M753="Common Space")),$E753,"")</f>
        <v/>
      </c>
      <c r="DG753" s="873" t="str">
        <f t="shared" ref="DG753:DG790" si="91">IF(AND($C753=3, $O753="New Construction",NOT($B753="Unrestricted"),NOT($B753="NSP 120% AMI"),NOT($B753="N/A-CS"),NOT($M753="Common Space")),$E753,"")</f>
        <v/>
      </c>
      <c r="DH753" s="873" t="str">
        <f t="shared" ref="DH753:DH790" si="92">IF(AND($C753=4, $O753="New Construction",NOT($B753="Unrestricted"),NOT($B753="NSP 120% AMI"),NOT($B753="N/A-CS"),NOT($M753="Common Space")),$E753,"")</f>
        <v/>
      </c>
      <c r="DI753" s="873" t="str">
        <f t="shared" ref="DI753:DI790" si="93">IF(AND($C753="Efficiency", $O753="New Construction",$B753="Unrestricted",NOT($B753="N/A-CS"),NOT($M753="Common Space")),$E753,"")</f>
        <v/>
      </c>
      <c r="DJ753" s="873" t="str">
        <f t="shared" ref="DJ753:DJ790" si="94">IF(AND($C753=1, $O753="New Construction",$B753="Unrestricted",NOT($B753="N/A-CS"),NOT($M753="Common Space")),$E753,"")</f>
        <v/>
      </c>
      <c r="DK753" s="873" t="str">
        <f t="shared" ref="DK753:DK790" si="95">IF(AND($C753=2, $O753="New Construction",$B753="Unrestricted",NOT($B753="N/A-CS"),NOT($M753="Common Space")),$E753,"")</f>
        <v/>
      </c>
      <c r="DL753" s="873" t="str">
        <f t="shared" ref="DL753:DL790" si="96">IF(AND($C753=3, $O753="New Construction",$B753="Unrestricted",NOT($B753="N/A-CS"),NOT($M753="Common Space")),$E753,"")</f>
        <v/>
      </c>
      <c r="DM753" s="873" t="str">
        <f t="shared" ref="DM753:DM790" si="97">IF(AND($C753=4, $O753="New Construction",$B753="Unrestricted",NOT($B753="N/A-CS"),NOT($M753="Common Space")),$E753,"")</f>
        <v/>
      </c>
      <c r="DN753" s="873" t="str">
        <f t="shared" ref="DN753:DN790" si="98">IF(AND($C753="Efficiency", $O753="New Construction",$B753="N/A-CS",$M753="Common Space"),$E753,"")</f>
        <v/>
      </c>
      <c r="DO753" s="873" t="str">
        <f t="shared" ref="DO753:DO790" si="99">IF(AND($C753=1, $O753="New Construction",$B753="N/A-CS",$M753="Common Space"),$E753,"")</f>
        <v/>
      </c>
      <c r="DP753" s="873" t="str">
        <f t="shared" ref="DP753:DP790" si="100">IF(AND($C753=2, $O753="New Construction",$B753="N/A-CS",$M753="Common Space"),$E753,"")</f>
        <v/>
      </c>
      <c r="DQ753" s="873" t="str">
        <f t="shared" ref="DQ753:DQ790" si="101">IF(AND($C753=3, $O753="New Construction",$B753="N/A-CS",$M753="Common Space"),$E753,"")</f>
        <v/>
      </c>
      <c r="DR753" s="873" t="str">
        <f t="shared" ref="DR753:DR790" si="102">IF(AND($C753=4, $O753="New Construction",$B753="N/A-CS",$M753="Common Space"),$E753,"")</f>
        <v/>
      </c>
      <c r="DS753" s="873" t="str">
        <f t="shared" ref="DS753:DS790" si="103">IF(AND($C753="Efficiency", $O753="Acquisition/Rehab",NOT($B753="Unrestricted"),NOT($B753="NSP 120% AMI"),NOT($B753="N/A-CS"),NOT($M753="Common Space")),$E753,"")</f>
        <v/>
      </c>
      <c r="DT753" s="873" t="str">
        <f t="shared" ref="DT753:DT790" si="104">IF(AND($C753=1, $O753="Acquisition/Rehab",NOT($B753="Unrestricted"),NOT($B753="NSP 120% AMI"),NOT($B753="N/A-CS"),NOT($M753="Common Space")),$E753,"")</f>
        <v/>
      </c>
      <c r="DU753" s="873" t="str">
        <f t="shared" ref="DU753:DU790" si="105">IF(AND($C753=2, $O753="Acquisition/Rehab",NOT($B753="Unrestricted"),NOT($B753="NSP 120% AMI"),NOT($B753="N/A-CS"),NOT($M753="Common Space")),$E753,"")</f>
        <v/>
      </c>
      <c r="DV753" s="873" t="str">
        <f t="shared" ref="DV753:DV790" si="106">IF(AND($C753=3, $O753="Acquisition/Rehab",NOT($B753="Unrestricted"),NOT($B753="NSP 120% AMI"),NOT($B753="N/A-CS"),NOT($M753="Common Space")),$E753,"")</f>
        <v/>
      </c>
      <c r="DW753" s="873" t="str">
        <f t="shared" ref="DW753:DW790" si="107">IF(AND($C753=4, $O753="Acquisition/Rehab",NOT($B753="Unrestricted"),NOT($B753="NSP 120% AMI"),NOT($B753="N/A-CS"),NOT($M753="Common Space")),$E753,"")</f>
        <v/>
      </c>
      <c r="DX753" s="873" t="str">
        <f t="shared" ref="DX753:DX790" si="108">IF(AND($C753="Efficiency", $O753="Acquisition/Rehab",$B753="Unrestricted",NOT($B753="N/A-CS"),NOT($M753="Common Space")),$E753,"")</f>
        <v/>
      </c>
      <c r="DY753" s="873" t="str">
        <f t="shared" ref="DY753:DY790" si="109">IF(AND($C753=1, $O753="Acquisition/Rehab",$B753="Unrestricted",NOT($B753="N/A-CS"),NOT($M753="Common Space")),$E753,"")</f>
        <v/>
      </c>
      <c r="DZ753" s="873" t="str">
        <f t="shared" ref="DZ753:DZ790" si="110">IF(AND($C753=2, $O753="Acquisition/Rehab",$B753="Unrestricted",NOT($B753="N/A-CS"),NOT($M753="Common Space")),$E753,"")</f>
        <v/>
      </c>
      <c r="EA753" s="873" t="str">
        <f t="shared" ref="EA753:EA790" si="111">IF(AND($C753=3, $O753="Acquisition/Rehab",$B753="Unrestricted",NOT($B753="N/A-CS"),NOT($M753="Common Space")),$E753,"")</f>
        <v/>
      </c>
      <c r="EB753" s="873" t="str">
        <f t="shared" ref="EB753:EB790" si="112">IF(AND($C753=4, $O753="Acquisition/Rehab",$B753="Unrestricted",NOT($B753="N/A-CS"),NOT($M753="Common Space")),$E753,"")</f>
        <v/>
      </c>
      <c r="EC753" s="873" t="str">
        <f t="shared" ref="EC753:EC790" si="113">IF(AND($C753="Efficiency", $O753="Acquisition/Rehab",$B753="N/A-CS",$M753="Common Space"),$E753,"")</f>
        <v/>
      </c>
      <c r="ED753" s="873" t="str">
        <f t="shared" ref="ED753:ED790" si="114">IF(AND($C753=1, $O753="Acquisition/Rehab",$B753="N/A-CS",$M753="Common Space"),$E753,"")</f>
        <v/>
      </c>
      <c r="EE753" s="873" t="str">
        <f t="shared" ref="EE753:EE790" si="115">IF(AND($C753=2, $O753="Acquisition/Rehab",$B753="N/A-CS",$M753="Common Space"),$E753,"")</f>
        <v/>
      </c>
      <c r="EF753" s="873" t="str">
        <f t="shared" ref="EF753:EF790" si="116">IF(AND($C753=3, $O753="Acquisition/Rehab",$B753="N/A-CS",$M753="Common Space"),$E753,"")</f>
        <v/>
      </c>
      <c r="EG753" s="873" t="str">
        <f t="shared" ref="EG753:EG790" si="117">IF(AND($C753=4, $O753="Acquisition/Rehab",$B753="N/A-CS",$M753="Common Space"),$E753,"")</f>
        <v/>
      </c>
      <c r="EH753" s="873" t="str">
        <f t="shared" ref="EH753:EH790" si="118">IF(AND($C753="Efficiency", $O753="Rehabilitation",NOT($B753="Unrestricted"),NOT($B753="NSP 120% AMI"),NOT($B753="N/A-CS"),NOT($M753="Common Space")),$E753,"")</f>
        <v/>
      </c>
      <c r="EI753" s="873" t="str">
        <f t="shared" ref="EI753:EI790" si="119">IF(AND($C753=1, $O753="Rehabilitation",NOT($B753="Unrestricted"),NOT($B753="NSP 120% AMI"),NOT($B753="N/A-CS"),NOT($M753="Common Space")),$E753,"")</f>
        <v/>
      </c>
      <c r="EJ753" s="873" t="str">
        <f t="shared" ref="EJ753:EJ790" si="120">IF(AND($C753=2, $O753="Rehabilitation",NOT($B753="Unrestricted"),NOT($B753="NSP 120% AMI"),NOT($B753="N/A-CS"),NOT($M753="Common Space")),$E753,"")</f>
        <v/>
      </c>
      <c r="EK753" s="873" t="str">
        <f t="shared" ref="EK753:EK790" si="121">IF(AND($C753=3, $O753="Rehabilitation",NOT($B753="Unrestricted"),NOT($B753="NSP 120% AMI"),NOT($B753="N/A-CS"),NOT($M753="Common Space")),$E753,"")</f>
        <v/>
      </c>
      <c r="EL753" s="873" t="str">
        <f t="shared" ref="EL753:EL790" si="122">IF(AND($C753=4, $O753="Rehabilitation",NOT($B753="Unrestricted"),NOT($B753="NSP 120% AMI"),NOT($B753="N/A-CS"),NOT($M753="Common Space")),$E753,"")</f>
        <v/>
      </c>
      <c r="EM753" s="873" t="str">
        <f t="shared" ref="EM753:EM790" si="123">IF(AND($C753="Efficiency", $O753="Rehabilitation",$B753="Unrestricted",NOT($B753="N/A-CS"),NOT($M753="Common Space")),$E753,"")</f>
        <v/>
      </c>
      <c r="EN753" s="873" t="str">
        <f t="shared" ref="EN753:EN790" si="124">IF(AND($C753=1, $O753="Rehabilitation",$B753="Unrestricted",NOT($B753="N/A-CS"),NOT($M753="Common Space")),$E753,"")</f>
        <v/>
      </c>
      <c r="EO753" s="873" t="str">
        <f t="shared" ref="EO753:EO790" si="125">IF(AND($C753=2, $O753="Rehabilitation",$B753="Unrestricted",NOT($B753="N/A-CS"),NOT($M753="Common Space")),$E753,"")</f>
        <v/>
      </c>
      <c r="EP753" s="873" t="str">
        <f t="shared" ref="EP753:EP790" si="126">IF(AND($C753=3, $O753="Rehabilitation",$B753="Unrestricted",NOT($B753="N/A-CS"),NOT($M753="Common Space")),$E753,"")</f>
        <v/>
      </c>
      <c r="EQ753" s="873" t="str">
        <f t="shared" ref="EQ753:EQ790" si="127">IF(AND($C753=4, $O753="Rehabilitation",$B753="Unrestricted",NOT($B753="N/A-CS"),NOT($M753="Common Space")),$E753,"")</f>
        <v/>
      </c>
      <c r="ER753" s="873" t="str">
        <f t="shared" ref="ER753:ER790" si="128">IF(AND($C753="Efficiency", $O753="Rehabilitation",$B753="N/A-CS",$M753="Common Space"),$E753,"")</f>
        <v/>
      </c>
      <c r="ES753" s="873" t="str">
        <f t="shared" ref="ES753:ES790" si="129">IF(AND($C753=1, $O753="Rehabilitation",$B753="N/A-CS",$M753="Common Space"),$E753,"")</f>
        <v/>
      </c>
      <c r="ET753" s="873" t="str">
        <f t="shared" ref="ET753:ET790" si="130">IF(AND($C753=2, $O753="Rehabilitation",$B753="N/A-CS",$M753="Common Space"),$E753,"")</f>
        <v/>
      </c>
      <c r="EU753" s="873" t="str">
        <f t="shared" ref="EU753:EU790" si="131">IF(AND($C753=3, $O753="Rehabilitation",$B753="N/A-CS",$M753="Common Space"),$E753,"")</f>
        <v/>
      </c>
      <c r="EV753" s="873" t="str">
        <f t="shared" ref="EV753:EV790" si="132">IF(AND($C753=4, $O753="Rehabilitation",$B753="N/A-CS",$M753="Common Space"),$E753,"")</f>
        <v/>
      </c>
      <c r="EW753" s="2288" t="str">
        <f t="shared" ref="EW753:EW790" si="133">IF(AND($C753="Efficiency", NOT(OR($N753="SF Detached",$N753="Mfd Home",$N753="Duplex",$N753="Townhome"))),$E753,"")</f>
        <v/>
      </c>
      <c r="EX753" s="2288">
        <f t="shared" ref="EX753:EX790" si="134">IF(AND($C753=1, NOT(OR($N753="SF Detached",$N753="Mfd Home",$N753="Duplex",$N753="Townhome"))),$E753,"")</f>
        <v>9</v>
      </c>
      <c r="EY753" s="2288" t="str">
        <f t="shared" ref="EY753:EY790" si="135">IF(AND($C753=2, NOT(OR($N753="SF Detached",$N753="Mfd Home",$N753="Duplex",$N753="Townhome"))),$E753,"")</f>
        <v/>
      </c>
      <c r="EZ753" s="2288" t="str">
        <f t="shared" ref="EZ753:EZ790" si="136">IF(AND($C753=3, NOT(OR($N753="SF Detached",$N753="Mfd Home",$N753="Duplex",$N753="Townhome"))),$E753,"")</f>
        <v/>
      </c>
      <c r="FA753" s="2288" t="str">
        <f t="shared" ref="FA753:FA790" si="137">IF(AND($C753=4, NOT(OR($N753="SF Detached",$N753="Mfd Home",$N753="Duplex",$N753="Townhome"))),$E753,"")</f>
        <v/>
      </c>
      <c r="FB753" s="2288" t="str">
        <f t="shared" ref="FB753:FB790" si="138">IF(AND($C753="Efficiency", $N753="SF Detached",NOT($P753="Yes")),$E753,"")</f>
        <v/>
      </c>
      <c r="FC753" s="2288" t="str">
        <f t="shared" ref="FC753:FC790" si="139">IF(AND($C753=1, $N753="SF Detached",NOT($P753="Yes")),$E753,"")</f>
        <v/>
      </c>
      <c r="FD753" s="2288" t="str">
        <f t="shared" ref="FD753:FD790" si="140">IF(AND($C753=2, $N753="SF Detached",NOT($P753="Yes")),$E753,"")</f>
        <v/>
      </c>
      <c r="FE753" s="2288" t="str">
        <f t="shared" ref="FE753:FE790" si="141">IF(AND($C753=3, $N753="SF Detached",NOT($P753="Yes")),$E753,"")</f>
        <v/>
      </c>
      <c r="FF753" s="2288" t="str">
        <f t="shared" ref="FF753:FF790" si="142">IF(AND($C753=4, $N753="SF Detached",NOT($P753="Yes")),$E753,"")</f>
        <v/>
      </c>
      <c r="FG753" s="2288" t="str">
        <f t="shared" ref="FG753:FG790" si="143">IF(AND($C753="Efficiency", $N753="SF Detached",$P753="Yes"),$E753,"")</f>
        <v/>
      </c>
      <c r="FH753" s="2288" t="str">
        <f t="shared" ref="FH753:FH790" si="144">IF(AND($C753=1, $N753="SF Detached",$P753="Yes"),$E753,"")</f>
        <v/>
      </c>
      <c r="FI753" s="2288" t="str">
        <f t="shared" ref="FI753:FI790" si="145">IF(AND($C753=2, $N753="SF Detached",$P753="Yes"),$E753,"")</f>
        <v/>
      </c>
      <c r="FJ753" s="2288" t="str">
        <f t="shared" ref="FJ753:FJ790" si="146">IF(AND($C753=3, $N753="SF Detached",$P753="Yes"),$E753,"")</f>
        <v/>
      </c>
      <c r="FK753" s="2288" t="str">
        <f t="shared" ref="FK753:FK790" si="147">IF(AND($C753=4, $N753="SF Detached",$P753="Yes"),$E753,"")</f>
        <v/>
      </c>
      <c r="FL753" s="2288" t="str">
        <f t="shared" ref="FL753:FL790" si="148">IF(AND($C753="Efficiency", $N753="Mfd Home",NOT($P753="Yes")),$E753,"")</f>
        <v/>
      </c>
      <c r="FM753" s="2288" t="str">
        <f t="shared" ref="FM753:FM790" si="149">IF(AND($C753=1, $N753="Mfd Home",NOT($P753="Yes")),$E753,"")</f>
        <v/>
      </c>
      <c r="FN753" s="2288" t="str">
        <f t="shared" ref="FN753:FN790" si="150">IF(AND($C753=2, $N753="Mfd Home",NOT($P753="Yes")),$E753,"")</f>
        <v/>
      </c>
      <c r="FO753" s="2288" t="str">
        <f t="shared" ref="FO753:FO790" si="151">IF(AND($C753=3, $N753="Mfd Home",NOT($P753="Yes")),$E753,"")</f>
        <v/>
      </c>
      <c r="FP753" s="2288" t="str">
        <f t="shared" ref="FP753:FP790" si="152">IF(AND($C753=4, $N753="Mfd Home",NOT($P753="Yes")),$E753,"")</f>
        <v/>
      </c>
      <c r="FQ753" s="2288" t="str">
        <f t="shared" ref="FQ753:FQ790" si="153">IF(AND($C753="Efficiency", $N753="Mfd Home",$P753="Yes"),$E753,"")</f>
        <v/>
      </c>
      <c r="FR753" s="2288" t="str">
        <f t="shared" ref="FR753:FR790" si="154">IF(AND($C753=1, $N753="Mfd Home",$P753="Yes"),$E753,"")</f>
        <v/>
      </c>
      <c r="FS753" s="2288" t="str">
        <f t="shared" ref="FS753:FS790" si="155">IF(AND($C753=2, $N753="Mfd Home",$P753="Yes"),$E753,"")</f>
        <v/>
      </c>
      <c r="FT753" s="2288" t="str">
        <f t="shared" ref="FT753:FT790" si="156">IF(AND($C753=3, $N753="Mfd Home",$P753="Yes"),$E753,"")</f>
        <v/>
      </c>
      <c r="FU753" s="2288" t="str">
        <f t="shared" ref="FU753:FU790" si="157">IF(AND($C753=4, $N753="Mfd Home",$P753="Yes"),$E753,"")</f>
        <v/>
      </c>
      <c r="FV753" s="2288" t="str">
        <f t="shared" ref="FV753:FV790" si="158">IF(AND($C753="Efficiency", $N753="Duplex",NOT($P753="Yes")),$E753,"")</f>
        <v/>
      </c>
      <c r="FW753" s="2288" t="str">
        <f t="shared" ref="FW753:FW790" si="159">IF(AND($C753=1, $N753="Duplex",NOT($P753="Yes")),$E753,"")</f>
        <v/>
      </c>
      <c r="FX753" s="2288" t="str">
        <f t="shared" ref="FX753:FX790" si="160">IF(AND($C753=2, $N753="Duplex",NOT($P753="Yes")),$E753,"")</f>
        <v/>
      </c>
      <c r="FY753" s="2288" t="str">
        <f t="shared" ref="FY753:FY790" si="161">IF(AND($C753=3, $N753="Duplex",NOT($P753="Yes")),$E753,"")</f>
        <v/>
      </c>
      <c r="FZ753" s="2288" t="str">
        <f t="shared" ref="FZ753:FZ790" si="162">IF(AND($C753=4, $N753="Duplex",NOT($P753="Yes")),$E753,"")</f>
        <v/>
      </c>
      <c r="GA753" s="2288" t="str">
        <f t="shared" ref="GA753:GA790" si="163">IF(AND($C753="Efficiency", $N753="Duplex",$P753="Yes"),$E753,"")</f>
        <v/>
      </c>
      <c r="GB753" s="2288" t="str">
        <f t="shared" ref="GB753:GB790" si="164">IF(AND($C753=1, $N753="Duplex",$P753="Yes"),$E753,"")</f>
        <v/>
      </c>
      <c r="GC753" s="2288" t="str">
        <f t="shared" ref="GC753:GC790" si="165">IF(AND($C753=2, $N753="Duplex",$P753="Yes"),$E753,"")</f>
        <v/>
      </c>
      <c r="GD753" s="2288" t="str">
        <f t="shared" ref="GD753:GD790" si="166">IF(AND($C753=3, $N753="Duplex",$P753="Yes"),$E753,"")</f>
        <v/>
      </c>
      <c r="GE753" s="2288" t="str">
        <f t="shared" ref="GE753:GE790" si="167">IF(AND($C753=4, $N753="Duplex",$P753="Yes"),$E753,"")</f>
        <v/>
      </c>
      <c r="GF753" s="2288" t="str">
        <f t="shared" ref="GF753:GF790" si="168">IF(AND($C753="Efficiency", $N753="Townhome",NOT($P753="Yes")),$E753,"")</f>
        <v/>
      </c>
      <c r="GG753" s="2288" t="str">
        <f t="shared" ref="GG753:GG790" si="169">IF(AND($C753=1, $N753="Townhome",NOT($P753="Yes")),$E753,"")</f>
        <v/>
      </c>
      <c r="GH753" s="2288" t="str">
        <f t="shared" ref="GH753:GH790" si="170">IF(AND($C753=2, $N753="Townhome",NOT($P753="Yes")),$E753,"")</f>
        <v/>
      </c>
      <c r="GI753" s="2288" t="str">
        <f t="shared" ref="GI753:GI790" si="171">IF(AND($C753=3, $N753="Townhome",NOT($P753="Yes")),$E753,"")</f>
        <v/>
      </c>
      <c r="GJ753" s="2288" t="str">
        <f t="shared" ref="GJ753:GJ790" si="172">IF(AND($C753=4, $N753="Townhome",NOT($P753="Yes")),$E753,"")</f>
        <v/>
      </c>
      <c r="GK753" s="2288" t="str">
        <f t="shared" ref="GK753:GK790" si="173">IF(AND($C753="Efficiency", $N753="Townhome",$P753="Yes"),$E753,"")</f>
        <v/>
      </c>
      <c r="GL753" s="2288" t="str">
        <f t="shared" ref="GL753:GL790" si="174">IF(AND($C753=1, $N753="Townhome",$P753="Yes"),$E753,"")</f>
        <v/>
      </c>
      <c r="GM753" s="2288" t="str">
        <f t="shared" ref="GM753:GM790" si="175">IF(AND($C753=2, $N753="Townhome",$P753="Yes"),$E753,"")</f>
        <v/>
      </c>
      <c r="GN753" s="2288" t="str">
        <f t="shared" ref="GN753:GN790" si="176">IF(AND($C753=3, $N753="Townhome",$P753="Yes"),$E753,"")</f>
        <v/>
      </c>
      <c r="GO753" s="2288" t="str">
        <f t="shared" ref="GO753:GO790" si="177">IF(AND($C753=4, $N753="Townhome",$P753="Yes"),$E753,"")</f>
        <v/>
      </c>
      <c r="GP753" s="2288" t="str">
        <f t="shared" ref="GP753:GP790" si="178">IF(AND($C753="Efficiency", $N753="1-Story",NOT($P753="Yes")),$E753,"")</f>
        <v/>
      </c>
      <c r="GQ753" s="2288" t="str">
        <f t="shared" ref="GQ753:GQ790" si="179">IF(AND($C753=1, $N753="1-Story",NOT($P753="Yes")),$E753,"")</f>
        <v/>
      </c>
      <c r="GR753" s="2288" t="str">
        <f t="shared" ref="GR753:GR790" si="180">IF(AND($C753=2, $N753="1-Story",NOT($P753="Yes")),$E753,"")</f>
        <v/>
      </c>
      <c r="GS753" s="2288" t="str">
        <f t="shared" ref="GS753:GS790" si="181">IF(AND($C753=3, $N753="1-Story",NOT($P753="Yes")),$E753,"")</f>
        <v/>
      </c>
      <c r="GT753" s="2288" t="str">
        <f t="shared" ref="GT753:GT790" si="182">IF(AND($C753=4, $N753="1-Story",NOT($P753="Yes")),$E753,"")</f>
        <v/>
      </c>
      <c r="GU753" s="2288" t="str">
        <f t="shared" ref="GU753:GU790" si="183">IF(AND($C753="Efficiency", $N753="1-Story",$P753="Yes"),$E753,"")</f>
        <v/>
      </c>
      <c r="GV753" s="2288" t="str">
        <f t="shared" ref="GV753:GV790" si="184">IF(AND($C753=1, $N753="1-Story",$P753="Yes"),$E753,"")</f>
        <v/>
      </c>
      <c r="GW753" s="2288" t="str">
        <f t="shared" ref="GW753:GW790" si="185">IF(AND($C753=2, $N753="1-Story",$P753="Yes"),$E753,"")</f>
        <v/>
      </c>
      <c r="GX753" s="2288" t="str">
        <f t="shared" ref="GX753:GX790" si="186">IF(AND($C753=3, $N753="1-Story",$P753="Yes"),$E753,"")</f>
        <v/>
      </c>
      <c r="GY753" s="2288" t="str">
        <f t="shared" ref="GY753:GY790" si="187">IF(AND($C753=4, $N753="1-Story",$P753="Yes"),$E753,"")</f>
        <v/>
      </c>
      <c r="GZ753" s="2288" t="str">
        <f t="shared" ref="GZ753:GZ790" si="188">IF(AND($C753="Efficiency", $N753="2-Story",NOT($P753="Yes")),$E753,"")</f>
        <v/>
      </c>
      <c r="HA753" s="2288" t="str">
        <f t="shared" ref="HA753:HA790" si="189">IF(AND($C753=1, $N753="2-Story",NOT($P753="Yes")),$E753,"")</f>
        <v/>
      </c>
      <c r="HB753" s="2288" t="str">
        <f t="shared" ref="HB753:HB790" si="190">IF(AND($C753=2, $N753="2-Story",NOT($P753="Yes")),$E753,"")</f>
        <v/>
      </c>
      <c r="HC753" s="2288" t="str">
        <f t="shared" ref="HC753:HC790" si="191">IF(AND($C753=3, $N753="2-Story",NOT($P753="Yes")),$E753,"")</f>
        <v/>
      </c>
      <c r="HD753" s="2288" t="str">
        <f t="shared" ref="HD753:HD790" si="192">IF(AND($C753=4, $N753="2-Story",NOT($P753="Yes")),$E753,"")</f>
        <v/>
      </c>
      <c r="HE753" s="2288" t="str">
        <f t="shared" ref="HE753:HE790" si="193">IF(AND($C753="Efficiency", $N753="2-Story",$P753="Yes"),$E753,"")</f>
        <v/>
      </c>
      <c r="HF753" s="2288" t="str">
        <f t="shared" ref="HF753:HF790" si="194">IF(AND($C753=1, $N753="2-Story",$P753="Yes"),$E753,"")</f>
        <v/>
      </c>
      <c r="HG753" s="2288" t="str">
        <f t="shared" ref="HG753:HG790" si="195">IF(AND($C753=2, $N753="2-Story",$P753="Yes"),$E753,"")</f>
        <v/>
      </c>
      <c r="HH753" s="2288" t="str">
        <f t="shared" ref="HH753:HH790" si="196">IF(AND($C753=3, $N753="2-Story",$P753="Yes"),$E753,"")</f>
        <v/>
      </c>
      <c r="HI753" s="2288" t="str">
        <f t="shared" ref="HI753:HI790" si="197">IF(AND($C753=4, $N753="2-Story",$P753="Yes"),$E753,"")</f>
        <v/>
      </c>
      <c r="HJ753" s="2288" t="str">
        <f t="shared" ref="HJ753:HJ790" si="198">IF(AND($C753="Efficiency", $N753="2-Story Walkup",NOT($P753="Yes")),$E753,"")</f>
        <v/>
      </c>
      <c r="HK753" s="2288">
        <f t="shared" ref="HK753:HK790" si="199">IF(AND($C753=1, $N753="2-Story Walkup",NOT($P753="Yes")),$E753,"")</f>
        <v>9</v>
      </c>
      <c r="HL753" s="2288" t="str">
        <f t="shared" ref="HL753:HL790" si="200">IF(AND($C753=2, $N753="2-Story Walkup",NOT($P753="Yes")),$E753,"")</f>
        <v/>
      </c>
      <c r="HM753" s="2288" t="str">
        <f t="shared" ref="HM753:HM790" si="201">IF(AND($C753=3, $N753="2-Story Walkup",NOT($P753="Yes")),$E753,"")</f>
        <v/>
      </c>
      <c r="HN753" s="2288" t="str">
        <f t="shared" ref="HN753:HN790" si="202">IF(AND($C753=4, $N753="2-Story Walkup",NOT($P753="Yes")),$E753,"")</f>
        <v/>
      </c>
      <c r="HO753" s="2288" t="str">
        <f t="shared" ref="HO753:HO790" si="203">IF(AND($C753="Efficiency", $N753="2-Story Walkup",$P753="Yes"),$E753,"")</f>
        <v/>
      </c>
      <c r="HP753" s="2288" t="str">
        <f t="shared" ref="HP753:HP790" si="204">IF(AND($C753=1, $N753="2-Story Walkup",$P753="Yes"),$E753,"")</f>
        <v/>
      </c>
      <c r="HQ753" s="2288" t="str">
        <f t="shared" ref="HQ753:HQ790" si="205">IF(AND($C753=2, $N753="2-Story Walkup",$P753="Yes"),$E753,"")</f>
        <v/>
      </c>
      <c r="HR753" s="2288" t="str">
        <f t="shared" ref="HR753:HR790" si="206">IF(AND($C753=3, $N753="2-Story Walkup",$P753="Yes"),$E753,"")</f>
        <v/>
      </c>
      <c r="HS753" s="2288" t="str">
        <f t="shared" ref="HS753:HS790" si="207">IF(AND($C753=4, $N753="2-Story Walkup",$P753="Yes"),$E753,"")</f>
        <v/>
      </c>
      <c r="HT753" s="2288" t="str">
        <f t="shared" ref="HT753:HT790" si="208">IF(AND($C753="Efficiency", $N753="3+ Story",NOT($P753="Yes")),$E753,"")</f>
        <v/>
      </c>
      <c r="HU753" s="2288" t="str">
        <f t="shared" ref="HU753:HU790" si="209">IF(AND($C753=1, $N753="3+ Story",NOT($P753="Yes")),$E753,"")</f>
        <v/>
      </c>
      <c r="HV753" s="2288" t="str">
        <f t="shared" ref="HV753:HV790" si="210">IF(AND($C753=2, $N753="3+ Story",NOT($P753="Yes")),$E753,"")</f>
        <v/>
      </c>
      <c r="HW753" s="2288" t="str">
        <f t="shared" ref="HW753:HW790" si="211">IF(AND($C753=3, $N753="3+ Story",NOT($P753="Yes")),$E753,"")</f>
        <v/>
      </c>
      <c r="HX753" s="2288" t="str">
        <f t="shared" ref="HX753:HX790" si="212">IF(AND($C753=4, $N753="3+ Story",NOT($P753="Yes")),$E753,"")</f>
        <v/>
      </c>
      <c r="HY753" s="2288" t="str">
        <f t="shared" ref="HY753:HY790" si="213">IF(AND($C753="Efficiency", $N753="3+ Story",$P753="Yes"),$E753,"")</f>
        <v/>
      </c>
      <c r="HZ753" s="2288" t="str">
        <f t="shared" ref="HZ753:HZ790" si="214">IF(AND($C753=1, $N753="3+ Story",$P753="Yes"),$E753,"")</f>
        <v/>
      </c>
      <c r="IA753" s="2288" t="str">
        <f t="shared" ref="IA753:IA790" si="215">IF(AND($C753=2, $N753="3+ Story",$P753="Yes"),$E753,"")</f>
        <v/>
      </c>
      <c r="IB753" s="2288" t="str">
        <f t="shared" ref="IB753:IB790" si="216">IF(AND($C753=3, $N753="3+ Story",$P753="Yes"),$E753,"")</f>
        <v/>
      </c>
      <c r="IC753" s="2288" t="str">
        <f t="shared" ref="IC753:IC790" si="217">IF(AND($C753=4, $N753="3+ Story",$P753="Yes"),$E753,"")</f>
        <v/>
      </c>
      <c r="ID753" s="2255" t="str">
        <f t="shared" ref="ID753:ID790" si="218">IF(AND($B753="NSP 120% AMI",$C753="Efficiency", NOT($M753="Common Space")),$E753,"")</f>
        <v/>
      </c>
      <c r="IE753" s="2255" t="str">
        <f t="shared" ref="IE753:IE790" si="219">IF(AND($B753="NSP 120% AMI",$C753=1,NOT($M753="Common Space")),$E753,"")</f>
        <v/>
      </c>
      <c r="IF753" s="2255" t="str">
        <f t="shared" ref="IF753:IF790" si="220">IF(AND($B753="NSP 120% AMI",$C753=2,NOT($M753="Common Space")),$E753,"")</f>
        <v/>
      </c>
      <c r="IG753" s="2255" t="str">
        <f t="shared" ref="IG753:IG790" si="221">IF(AND($B753="NSP 120% AMI",$C753=3,NOT($M753="Common Space")),$E753,"")</f>
        <v/>
      </c>
      <c r="IH753" s="2255" t="str">
        <f t="shared" ref="IH753:IH790" si="222">IF(AND($B753="NSP 120% AMI",$C753=4,NOT($M753="Common Space")),$E753,"")</f>
        <v/>
      </c>
      <c r="II753" s="873" t="str">
        <f t="shared" ref="II753:II790" si="223">IF(AND(C753="Efficiency",B753="NSP 120% AMI",NOT(M753="Common Space")),E753*F753,"")</f>
        <v/>
      </c>
      <c r="IJ753" s="873" t="str">
        <f t="shared" ref="IJ753:IJ790" si="224">IF(AND(C753=1,B753="NSP 120% AMI",NOT(M753="Common Space")),E753*F753,"")</f>
        <v/>
      </c>
      <c r="IK753" s="873" t="str">
        <f t="shared" ref="IK753:IK790" si="225">IF(AND(C753=2,B753="NSP 120% AMI",NOT(M753="Common Space")),E753*F753,"")</f>
        <v/>
      </c>
      <c r="IL753" s="873" t="str">
        <f t="shared" ref="IL753:IL790" si="226">IF(AND(C753=3,B753="NSP 120% AMI",NOT(M753="Common Space")),E753*F753,"")</f>
        <v/>
      </c>
      <c r="IM753" s="873" t="str">
        <f t="shared" ref="IM753:IM790" si="227">IF(AND(C753=4,B753="NSP 120% AMI",NOT(M753="Common Space")),E753*F753,"")</f>
        <v/>
      </c>
      <c r="IN753" s="873" t="str">
        <f t="shared" ref="IN753:IN790" si="228">IF(AND($C753="Efficiency", $O753="New Construction",$B753="NSP 120% AMI",NOT($M753="Common Space")),$E753,"")</f>
        <v/>
      </c>
      <c r="IO753" s="873" t="str">
        <f t="shared" ref="IO753:IO790" si="229">IF(AND($C753=1, $O753="New Construction",$B753="NSP 120% AMI",NOT($M753="Common Space")),$E753,"")</f>
        <v/>
      </c>
      <c r="IP753" s="873" t="str">
        <f t="shared" ref="IP753:IP790" si="230">IF(AND($C753=2, $O753="New Construction",$B753="NSP 120% AMI",NOT($M753="Common Space")),$E753,"")</f>
        <v/>
      </c>
      <c r="IQ753" s="873" t="str">
        <f t="shared" ref="IQ753:IQ790" si="231">IF(AND($C753=3, $O753="New Construction",$B753="NSP 120% AMI",NOT($M753="Common Space")),$E753,"")</f>
        <v/>
      </c>
      <c r="IR753" s="873" t="str">
        <f t="shared" ref="IR753:IR790" si="232">IF(AND($C753=4, $O753="New Construction",$B753="NSP 120% AMI",NOT($M753="Common Space")),$E753,"")</f>
        <v/>
      </c>
      <c r="IS753" s="873" t="str">
        <f t="shared" ref="IS753:IS790" si="233">IF(AND($C753="Efficiency", $O753="Acquisition/Rehab",$B753="NSP 120% AMI",NOT($M753="Common Space")),$E753,"")</f>
        <v/>
      </c>
      <c r="IT753" s="873" t="str">
        <f t="shared" ref="IT753:IT790" si="234">IF(AND($C753=1, $O753="Acquisition/Rehab",$B753="NSP 120% AMI",NOT($M753="Common Space")),$E753,"")</f>
        <v/>
      </c>
      <c r="IU753" s="873" t="str">
        <f t="shared" ref="IU753:IU790" si="235">IF(AND($C753=2, $O753="Acquisition/Rehab",$B753="NSP 120% AMI",NOT($M753="Common Space")),$E753,"")</f>
        <v/>
      </c>
      <c r="IV753" s="873" t="str">
        <f t="shared" ref="IV753:IV790" si="236">IF(AND($C753=3, $O753="Acquisition/Rehab",$B753="NSP 120% AMI",NOT($M753="Common Space")),$E753,"")</f>
        <v/>
      </c>
      <c r="IW753" s="873" t="str">
        <f t="shared" ref="IW753:IW790" si="237">IF(AND($C753=4, $O753="Acquisition/Rehab",$B753="NSP 120% AMI",NOT($M753="Common Space")),$E753,"")</f>
        <v/>
      </c>
      <c r="IX753" s="873" t="str">
        <f t="shared" ref="IX753:IX790" si="238">IF(AND($C753="Efficiency", $O753="Rehabilitation",$B753="NSP 120% AMI",NOT($M753="Common Space")),$E753,"")</f>
        <v/>
      </c>
      <c r="IY753" s="873" t="str">
        <f t="shared" ref="IY753:IY790" si="239">IF(AND($C753=1, $O753="Rehabilitation",$B753="NSP 120% AMI",NOT($M753="Common Space")),$E753,"")</f>
        <v/>
      </c>
      <c r="IZ753" s="873" t="str">
        <f t="shared" ref="IZ753:IZ790" si="240">IF(AND($C753=2, $O753="Rehabilitation",$B753="NSP 120% AMI",NOT($M753="Common Space")),$E753,"")</f>
        <v/>
      </c>
      <c r="JA753" s="873" t="str">
        <f t="shared" ref="JA753:JA790" si="241">IF(AND($C753=3, $O753="Rehabilitation",$B753="NSP 120% AMI",NOT($M753="Common Space")),$E753,"")</f>
        <v/>
      </c>
      <c r="JB753" s="873" t="str">
        <f t="shared" ref="JB753:JB790" si="242">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9</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0"/>
        <v/>
      </c>
      <c r="B754" s="2279" t="str">
        <f>'Part VI-Revenues &amp; Expenses'!B11</f>
        <v>50% AMI</v>
      </c>
      <c r="C754" s="2280">
        <f>'Part VI-Revenues &amp; Expenses'!C11</f>
        <v>2</v>
      </c>
      <c r="D754" s="2281">
        <f>'Part VI-Revenues &amp; Expenses'!D11</f>
        <v>2</v>
      </c>
      <c r="E754" s="2282">
        <f>'Part VI-Revenues &amp; Expenses'!E11</f>
        <v>8</v>
      </c>
      <c r="F754" s="2282">
        <f>'Part VI-Revenues &amp; Expenses'!F11</f>
        <v>1083</v>
      </c>
      <c r="G754" s="2282">
        <f>'Part VI-Revenues &amp; Expenses'!G11</f>
        <v>736</v>
      </c>
      <c r="H754" s="2282">
        <f>'Part VI-Revenues &amp; Expenses'!H11</f>
        <v>652</v>
      </c>
      <c r="I754" s="2282">
        <f>'Part VI-Revenues &amp; Expenses'!I11</f>
        <v>157</v>
      </c>
      <c r="J754" s="2283">
        <f>'Part VI-Revenues &amp; Expenses'!J11</f>
        <v>0</v>
      </c>
      <c r="K754" s="2284">
        <f t="shared" si="1"/>
        <v>495</v>
      </c>
      <c r="L754" s="2284">
        <f t="shared" si="2"/>
        <v>3960</v>
      </c>
      <c r="M754" s="2285" t="str">
        <f>'Part VI-Revenues &amp; Expenses'!M11</f>
        <v>No</v>
      </c>
      <c r="N754" s="2285" t="str">
        <f>'Part VI-Revenues &amp; Expenses'!N11</f>
        <v>2-Story Walkup</v>
      </c>
      <c r="O754" s="2285" t="str">
        <f>'Part VI-Revenues &amp; Expenses'!O11</f>
        <v>New Construction</v>
      </c>
      <c r="P754" s="2262" t="str">
        <f>'Part VI-Revenues &amp; Expenses'!P11</f>
        <v>No</v>
      </c>
      <c r="Q754" s="2286">
        <f>'Part VI-Revenues &amp; Expenses'!Q11</f>
        <v>26080</v>
      </c>
      <c r="R754" s="2287">
        <f>'Part VI-Revenues &amp; Expenses'!R11</f>
        <v>0.44308528712198436</v>
      </c>
      <c r="S754" s="2286">
        <f>'Part VI-Revenues &amp; Expenses'!S11</f>
        <v>0</v>
      </c>
      <c r="T754" s="2287">
        <f>'Part VI-Revenues &amp; Expenses'!T11</f>
        <v>0</v>
      </c>
      <c r="U754" s="2176"/>
      <c r="V754" s="2176"/>
      <c r="W754" s="873" t="str">
        <f t="shared" si="3"/>
        <v/>
      </c>
      <c r="X754" s="873" t="str">
        <f t="shared" si="4"/>
        <v/>
      </c>
      <c r="Y754" s="873" t="str">
        <f t="shared" si="5"/>
        <v/>
      </c>
      <c r="Z754" s="873" t="str">
        <f t="shared" si="6"/>
        <v/>
      </c>
      <c r="AA754" s="873" t="str">
        <f t="shared" si="7"/>
        <v/>
      </c>
      <c r="AB754" s="873" t="str">
        <f t="shared" si="8"/>
        <v/>
      </c>
      <c r="AC754" s="873" t="str">
        <f t="shared" si="9"/>
        <v/>
      </c>
      <c r="AD754" s="873">
        <f t="shared" si="10"/>
        <v>8</v>
      </c>
      <c r="AE754" s="873" t="str">
        <f t="shared" si="11"/>
        <v/>
      </c>
      <c r="AF754" s="873" t="str">
        <f t="shared" si="12"/>
        <v/>
      </c>
      <c r="AG754" s="873" t="str">
        <f t="shared" si="13"/>
        <v/>
      </c>
      <c r="AH754" s="873" t="str">
        <f t="shared" si="14"/>
        <v/>
      </c>
      <c r="AI754" s="873" t="str">
        <f t="shared" si="15"/>
        <v/>
      </c>
      <c r="AJ754" s="873" t="str">
        <f t="shared" si="16"/>
        <v/>
      </c>
      <c r="AK754" s="873" t="str">
        <f t="shared" si="17"/>
        <v/>
      </c>
      <c r="AL754" s="873" t="str">
        <f t="shared" si="18"/>
        <v/>
      </c>
      <c r="AM754" s="873" t="str">
        <f t="shared" si="19"/>
        <v/>
      </c>
      <c r="AN754" s="873" t="str">
        <f t="shared" si="20"/>
        <v/>
      </c>
      <c r="AO754" s="873" t="str">
        <f t="shared" si="21"/>
        <v/>
      </c>
      <c r="AP754" s="873" t="str">
        <f t="shared" si="22"/>
        <v/>
      </c>
      <c r="AQ754" s="873" t="str">
        <f t="shared" si="23"/>
        <v/>
      </c>
      <c r="AR754" s="873" t="str">
        <f t="shared" si="24"/>
        <v/>
      </c>
      <c r="AS754" s="873" t="str">
        <f t="shared" si="25"/>
        <v/>
      </c>
      <c r="AT754" s="873" t="str">
        <f t="shared" si="26"/>
        <v/>
      </c>
      <c r="AU754" s="873" t="str">
        <f t="shared" si="27"/>
        <v/>
      </c>
      <c r="AV754" s="873" t="str">
        <f t="shared" si="28"/>
        <v/>
      </c>
      <c r="AW754" s="873" t="str">
        <f t="shared" si="29"/>
        <v/>
      </c>
      <c r="AX754" s="873" t="str">
        <f t="shared" si="30"/>
        <v/>
      </c>
      <c r="AY754" s="873" t="str">
        <f t="shared" si="31"/>
        <v/>
      </c>
      <c r="AZ754" s="873" t="str">
        <f t="shared" si="32"/>
        <v/>
      </c>
      <c r="BA754" s="873" t="str">
        <f t="shared" si="33"/>
        <v/>
      </c>
      <c r="BB754" s="873" t="str">
        <f t="shared" si="34"/>
        <v/>
      </c>
      <c r="BC754" s="873" t="str">
        <f t="shared" si="35"/>
        <v/>
      </c>
      <c r="BD754" s="873" t="str">
        <f t="shared" si="36"/>
        <v/>
      </c>
      <c r="BE754" s="873" t="str">
        <f t="shared" si="37"/>
        <v/>
      </c>
      <c r="BF754" s="873" t="str">
        <f t="shared" si="38"/>
        <v/>
      </c>
      <c r="BG754" s="873" t="str">
        <f t="shared" si="39"/>
        <v/>
      </c>
      <c r="BH754" s="873" t="str">
        <f t="shared" si="40"/>
        <v/>
      </c>
      <c r="BI754" s="873" t="str">
        <f t="shared" si="41"/>
        <v/>
      </c>
      <c r="BJ754" s="873" t="str">
        <f t="shared" si="42"/>
        <v/>
      </c>
      <c r="BK754" s="873" t="str">
        <f t="shared" si="43"/>
        <v/>
      </c>
      <c r="BL754" s="873" t="str">
        <f t="shared" si="44"/>
        <v/>
      </c>
      <c r="BM754" s="873" t="str">
        <f t="shared" si="45"/>
        <v/>
      </c>
      <c r="BN754" s="873" t="str">
        <f t="shared" si="46"/>
        <v/>
      </c>
      <c r="BO754" s="873" t="str">
        <f t="shared" si="47"/>
        <v/>
      </c>
      <c r="BP754" s="873" t="str">
        <f t="shared" si="48"/>
        <v/>
      </c>
      <c r="BQ754" s="873" t="str">
        <f t="shared" si="49"/>
        <v/>
      </c>
      <c r="BR754" s="873" t="str">
        <f t="shared" si="50"/>
        <v/>
      </c>
      <c r="BS754" s="873" t="str">
        <f t="shared" si="51"/>
        <v/>
      </c>
      <c r="BT754" s="873" t="str">
        <f t="shared" si="52"/>
        <v/>
      </c>
      <c r="BU754" s="873" t="str">
        <f t="shared" si="53"/>
        <v/>
      </c>
      <c r="BV754" s="873" t="str">
        <f t="shared" si="54"/>
        <v/>
      </c>
      <c r="BW754" s="873" t="str">
        <f t="shared" si="55"/>
        <v/>
      </c>
      <c r="BX754" s="873" t="str">
        <f t="shared" si="56"/>
        <v/>
      </c>
      <c r="BY754" s="873" t="str">
        <f t="shared" si="57"/>
        <v/>
      </c>
      <c r="BZ754" s="873" t="str">
        <f t="shared" si="58"/>
        <v/>
      </c>
      <c r="CA754" s="873" t="str">
        <f t="shared" si="59"/>
        <v/>
      </c>
      <c r="CB754" s="873" t="str">
        <f t="shared" si="60"/>
        <v/>
      </c>
      <c r="CC754" s="873" t="str">
        <f t="shared" si="61"/>
        <v/>
      </c>
      <c r="CD754" s="873" t="str">
        <f t="shared" si="62"/>
        <v/>
      </c>
      <c r="CE754" s="873" t="str">
        <f t="shared" si="63"/>
        <v/>
      </c>
      <c r="CF754" s="873" t="str">
        <f t="shared" si="64"/>
        <v/>
      </c>
      <c r="CG754" s="873">
        <f t="shared" si="65"/>
        <v>8664</v>
      </c>
      <c r="CH754" s="873" t="str">
        <f t="shared" si="66"/>
        <v/>
      </c>
      <c r="CI754" s="873" t="str">
        <f t="shared" si="67"/>
        <v/>
      </c>
      <c r="CJ754" s="873" t="str">
        <f t="shared" si="68"/>
        <v/>
      </c>
      <c r="CK754" s="873" t="str">
        <f t="shared" si="69"/>
        <v/>
      </c>
      <c r="CL754" s="873" t="str">
        <f t="shared" si="70"/>
        <v/>
      </c>
      <c r="CM754" s="873" t="str">
        <f t="shared" si="71"/>
        <v/>
      </c>
      <c r="CN754" s="873" t="str">
        <f t="shared" si="72"/>
        <v/>
      </c>
      <c r="CO754" s="873" t="str">
        <f t="shared" si="73"/>
        <v/>
      </c>
      <c r="CP754" s="873" t="str">
        <f t="shared" si="74"/>
        <v/>
      </c>
      <c r="CQ754" s="873" t="str">
        <f t="shared" si="75"/>
        <v/>
      </c>
      <c r="CR754" s="873" t="str">
        <f t="shared" si="76"/>
        <v/>
      </c>
      <c r="CS754" s="873" t="str">
        <f t="shared" si="77"/>
        <v/>
      </c>
      <c r="CT754" s="873" t="str">
        <f t="shared" si="78"/>
        <v/>
      </c>
      <c r="CU754" s="873" t="str">
        <f t="shared" si="79"/>
        <v/>
      </c>
      <c r="CV754" s="873" t="str">
        <f t="shared" si="80"/>
        <v/>
      </c>
      <c r="CW754" s="873" t="str">
        <f t="shared" si="81"/>
        <v/>
      </c>
      <c r="CX754" s="873" t="str">
        <f t="shared" si="82"/>
        <v/>
      </c>
      <c r="CY754" s="873" t="str">
        <f t="shared" si="83"/>
        <v/>
      </c>
      <c r="CZ754" s="873" t="str">
        <f t="shared" si="84"/>
        <v/>
      </c>
      <c r="DA754" s="873" t="str">
        <f t="shared" si="85"/>
        <v/>
      </c>
      <c r="DB754" s="873" t="str">
        <f t="shared" si="86"/>
        <v/>
      </c>
      <c r="DC754" s="873" t="str">
        <f t="shared" si="87"/>
        <v/>
      </c>
      <c r="DD754" s="873" t="str">
        <f t="shared" si="88"/>
        <v/>
      </c>
      <c r="DE754" s="873" t="str">
        <f t="shared" si="89"/>
        <v/>
      </c>
      <c r="DF754" s="873">
        <f t="shared" si="90"/>
        <v>8</v>
      </c>
      <c r="DG754" s="873" t="str">
        <f t="shared" si="91"/>
        <v/>
      </c>
      <c r="DH754" s="873" t="str">
        <f t="shared" si="92"/>
        <v/>
      </c>
      <c r="DI754" s="873" t="str">
        <f t="shared" si="93"/>
        <v/>
      </c>
      <c r="DJ754" s="873" t="str">
        <f t="shared" si="94"/>
        <v/>
      </c>
      <c r="DK754" s="873" t="str">
        <f t="shared" si="95"/>
        <v/>
      </c>
      <c r="DL754" s="873" t="str">
        <f t="shared" si="96"/>
        <v/>
      </c>
      <c r="DM754" s="873" t="str">
        <f t="shared" si="97"/>
        <v/>
      </c>
      <c r="DN754" s="873" t="str">
        <f t="shared" si="98"/>
        <v/>
      </c>
      <c r="DO754" s="873" t="str">
        <f t="shared" si="99"/>
        <v/>
      </c>
      <c r="DP754" s="873" t="str">
        <f t="shared" si="100"/>
        <v/>
      </c>
      <c r="DQ754" s="873" t="str">
        <f t="shared" si="101"/>
        <v/>
      </c>
      <c r="DR754" s="873" t="str">
        <f t="shared" si="102"/>
        <v/>
      </c>
      <c r="DS754" s="873" t="str">
        <f t="shared" si="103"/>
        <v/>
      </c>
      <c r="DT754" s="873" t="str">
        <f t="shared" si="104"/>
        <v/>
      </c>
      <c r="DU754" s="873" t="str">
        <f t="shared" si="105"/>
        <v/>
      </c>
      <c r="DV754" s="873" t="str">
        <f t="shared" si="106"/>
        <v/>
      </c>
      <c r="DW754" s="873" t="str">
        <f t="shared" si="107"/>
        <v/>
      </c>
      <c r="DX754" s="873" t="str">
        <f t="shared" si="108"/>
        <v/>
      </c>
      <c r="DY754" s="873" t="str">
        <f t="shared" si="109"/>
        <v/>
      </c>
      <c r="DZ754" s="873" t="str">
        <f t="shared" si="110"/>
        <v/>
      </c>
      <c r="EA754" s="873" t="str">
        <f t="shared" si="111"/>
        <v/>
      </c>
      <c r="EB754" s="873" t="str">
        <f t="shared" si="112"/>
        <v/>
      </c>
      <c r="EC754" s="873" t="str">
        <f t="shared" si="113"/>
        <v/>
      </c>
      <c r="ED754" s="873" t="str">
        <f t="shared" si="114"/>
        <v/>
      </c>
      <c r="EE754" s="873" t="str">
        <f t="shared" si="115"/>
        <v/>
      </c>
      <c r="EF754" s="873" t="str">
        <f t="shared" si="116"/>
        <v/>
      </c>
      <c r="EG754" s="873" t="str">
        <f t="shared" si="117"/>
        <v/>
      </c>
      <c r="EH754" s="873" t="str">
        <f t="shared" si="118"/>
        <v/>
      </c>
      <c r="EI754" s="873" t="str">
        <f t="shared" si="119"/>
        <v/>
      </c>
      <c r="EJ754" s="873" t="str">
        <f t="shared" si="120"/>
        <v/>
      </c>
      <c r="EK754" s="873" t="str">
        <f t="shared" si="121"/>
        <v/>
      </c>
      <c r="EL754" s="873" t="str">
        <f t="shared" si="122"/>
        <v/>
      </c>
      <c r="EM754" s="873" t="str">
        <f t="shared" si="123"/>
        <v/>
      </c>
      <c r="EN754" s="873" t="str">
        <f t="shared" si="124"/>
        <v/>
      </c>
      <c r="EO754" s="873" t="str">
        <f t="shared" si="125"/>
        <v/>
      </c>
      <c r="EP754" s="873" t="str">
        <f t="shared" si="126"/>
        <v/>
      </c>
      <c r="EQ754" s="873" t="str">
        <f t="shared" si="127"/>
        <v/>
      </c>
      <c r="ER754" s="873" t="str">
        <f t="shared" si="128"/>
        <v/>
      </c>
      <c r="ES754" s="873" t="str">
        <f t="shared" si="129"/>
        <v/>
      </c>
      <c r="ET754" s="873" t="str">
        <f t="shared" si="130"/>
        <v/>
      </c>
      <c r="EU754" s="873" t="str">
        <f t="shared" si="131"/>
        <v/>
      </c>
      <c r="EV754" s="873" t="str">
        <f t="shared" si="132"/>
        <v/>
      </c>
      <c r="EW754" s="2288" t="str">
        <f t="shared" si="133"/>
        <v/>
      </c>
      <c r="EX754" s="2288" t="str">
        <f t="shared" si="134"/>
        <v/>
      </c>
      <c r="EY754" s="2288">
        <f t="shared" si="135"/>
        <v>8</v>
      </c>
      <c r="EZ754" s="2288" t="str">
        <f t="shared" si="136"/>
        <v/>
      </c>
      <c r="FA754" s="2288" t="str">
        <f t="shared" si="137"/>
        <v/>
      </c>
      <c r="FB754" s="2288" t="str">
        <f t="shared" si="138"/>
        <v/>
      </c>
      <c r="FC754" s="2288" t="str">
        <f t="shared" si="139"/>
        <v/>
      </c>
      <c r="FD754" s="2288" t="str">
        <f t="shared" si="140"/>
        <v/>
      </c>
      <c r="FE754" s="2288" t="str">
        <f t="shared" si="141"/>
        <v/>
      </c>
      <c r="FF754" s="2288" t="str">
        <f t="shared" si="142"/>
        <v/>
      </c>
      <c r="FG754" s="2288" t="str">
        <f t="shared" si="143"/>
        <v/>
      </c>
      <c r="FH754" s="2288" t="str">
        <f t="shared" si="144"/>
        <v/>
      </c>
      <c r="FI754" s="2288" t="str">
        <f t="shared" si="145"/>
        <v/>
      </c>
      <c r="FJ754" s="2288" t="str">
        <f t="shared" si="146"/>
        <v/>
      </c>
      <c r="FK754" s="2288" t="str">
        <f t="shared" si="147"/>
        <v/>
      </c>
      <c r="FL754" s="2288" t="str">
        <f t="shared" si="148"/>
        <v/>
      </c>
      <c r="FM754" s="2288" t="str">
        <f t="shared" si="149"/>
        <v/>
      </c>
      <c r="FN754" s="2288" t="str">
        <f t="shared" si="150"/>
        <v/>
      </c>
      <c r="FO754" s="2288" t="str">
        <f t="shared" si="151"/>
        <v/>
      </c>
      <c r="FP754" s="2288" t="str">
        <f t="shared" si="152"/>
        <v/>
      </c>
      <c r="FQ754" s="2288" t="str">
        <f t="shared" si="153"/>
        <v/>
      </c>
      <c r="FR754" s="2288" t="str">
        <f t="shared" si="154"/>
        <v/>
      </c>
      <c r="FS754" s="2288" t="str">
        <f t="shared" si="155"/>
        <v/>
      </c>
      <c r="FT754" s="2288" t="str">
        <f t="shared" si="156"/>
        <v/>
      </c>
      <c r="FU754" s="2288" t="str">
        <f t="shared" si="157"/>
        <v/>
      </c>
      <c r="FV754" s="2288" t="str">
        <f t="shared" si="158"/>
        <v/>
      </c>
      <c r="FW754" s="2288" t="str">
        <f t="shared" si="159"/>
        <v/>
      </c>
      <c r="FX754" s="2288" t="str">
        <f t="shared" si="160"/>
        <v/>
      </c>
      <c r="FY754" s="2288" t="str">
        <f t="shared" si="161"/>
        <v/>
      </c>
      <c r="FZ754" s="2288" t="str">
        <f t="shared" si="162"/>
        <v/>
      </c>
      <c r="GA754" s="2288" t="str">
        <f t="shared" si="163"/>
        <v/>
      </c>
      <c r="GB754" s="2288" t="str">
        <f t="shared" si="164"/>
        <v/>
      </c>
      <c r="GC754" s="2288" t="str">
        <f t="shared" si="165"/>
        <v/>
      </c>
      <c r="GD754" s="2288" t="str">
        <f t="shared" si="166"/>
        <v/>
      </c>
      <c r="GE754" s="2288" t="str">
        <f t="shared" si="167"/>
        <v/>
      </c>
      <c r="GF754" s="2288" t="str">
        <f t="shared" si="168"/>
        <v/>
      </c>
      <c r="GG754" s="2288" t="str">
        <f t="shared" si="169"/>
        <v/>
      </c>
      <c r="GH754" s="2288" t="str">
        <f t="shared" si="170"/>
        <v/>
      </c>
      <c r="GI754" s="2288" t="str">
        <f t="shared" si="171"/>
        <v/>
      </c>
      <c r="GJ754" s="2288" t="str">
        <f t="shared" si="172"/>
        <v/>
      </c>
      <c r="GK754" s="2288" t="str">
        <f t="shared" si="173"/>
        <v/>
      </c>
      <c r="GL754" s="2288" t="str">
        <f t="shared" si="174"/>
        <v/>
      </c>
      <c r="GM754" s="2288" t="str">
        <f t="shared" si="175"/>
        <v/>
      </c>
      <c r="GN754" s="2288" t="str">
        <f t="shared" si="176"/>
        <v/>
      </c>
      <c r="GO754" s="2288" t="str">
        <f t="shared" si="177"/>
        <v/>
      </c>
      <c r="GP754" s="2288" t="str">
        <f t="shared" si="178"/>
        <v/>
      </c>
      <c r="GQ754" s="2288" t="str">
        <f t="shared" si="179"/>
        <v/>
      </c>
      <c r="GR754" s="2288" t="str">
        <f t="shared" si="180"/>
        <v/>
      </c>
      <c r="GS754" s="2288" t="str">
        <f t="shared" si="181"/>
        <v/>
      </c>
      <c r="GT754" s="2288" t="str">
        <f t="shared" si="182"/>
        <v/>
      </c>
      <c r="GU754" s="2288" t="str">
        <f t="shared" si="183"/>
        <v/>
      </c>
      <c r="GV754" s="2288" t="str">
        <f t="shared" si="184"/>
        <v/>
      </c>
      <c r="GW754" s="2288" t="str">
        <f t="shared" si="185"/>
        <v/>
      </c>
      <c r="GX754" s="2288" t="str">
        <f t="shared" si="186"/>
        <v/>
      </c>
      <c r="GY754" s="2288" t="str">
        <f t="shared" si="187"/>
        <v/>
      </c>
      <c r="GZ754" s="2288" t="str">
        <f t="shared" si="188"/>
        <v/>
      </c>
      <c r="HA754" s="2288" t="str">
        <f t="shared" si="189"/>
        <v/>
      </c>
      <c r="HB754" s="2288" t="str">
        <f t="shared" si="190"/>
        <v/>
      </c>
      <c r="HC754" s="2288" t="str">
        <f t="shared" si="191"/>
        <v/>
      </c>
      <c r="HD754" s="2288" t="str">
        <f t="shared" si="192"/>
        <v/>
      </c>
      <c r="HE754" s="2288" t="str">
        <f t="shared" si="193"/>
        <v/>
      </c>
      <c r="HF754" s="2288" t="str">
        <f t="shared" si="194"/>
        <v/>
      </c>
      <c r="HG754" s="2288" t="str">
        <f t="shared" si="195"/>
        <v/>
      </c>
      <c r="HH754" s="2288" t="str">
        <f t="shared" si="196"/>
        <v/>
      </c>
      <c r="HI754" s="2288" t="str">
        <f t="shared" si="197"/>
        <v/>
      </c>
      <c r="HJ754" s="2288" t="str">
        <f t="shared" si="198"/>
        <v/>
      </c>
      <c r="HK754" s="2288" t="str">
        <f t="shared" si="199"/>
        <v/>
      </c>
      <c r="HL754" s="2288">
        <f t="shared" si="200"/>
        <v>8</v>
      </c>
      <c r="HM754" s="2288" t="str">
        <f t="shared" si="201"/>
        <v/>
      </c>
      <c r="HN754" s="2288" t="str">
        <f t="shared" si="202"/>
        <v/>
      </c>
      <c r="HO754" s="2288" t="str">
        <f t="shared" si="203"/>
        <v/>
      </c>
      <c r="HP754" s="2288" t="str">
        <f t="shared" si="204"/>
        <v/>
      </c>
      <c r="HQ754" s="2288" t="str">
        <f t="shared" si="205"/>
        <v/>
      </c>
      <c r="HR754" s="2288" t="str">
        <f t="shared" si="206"/>
        <v/>
      </c>
      <c r="HS754" s="2288" t="str">
        <f t="shared" si="207"/>
        <v/>
      </c>
      <c r="HT754" s="2288" t="str">
        <f t="shared" si="208"/>
        <v/>
      </c>
      <c r="HU754" s="2288" t="str">
        <f t="shared" si="209"/>
        <v/>
      </c>
      <c r="HV754" s="2288" t="str">
        <f t="shared" si="210"/>
        <v/>
      </c>
      <c r="HW754" s="2288" t="str">
        <f t="shared" si="211"/>
        <v/>
      </c>
      <c r="HX754" s="2288" t="str">
        <f t="shared" si="212"/>
        <v/>
      </c>
      <c r="HY754" s="2288" t="str">
        <f t="shared" si="213"/>
        <v/>
      </c>
      <c r="HZ754" s="2288" t="str">
        <f t="shared" si="214"/>
        <v/>
      </c>
      <c r="IA754" s="2288" t="str">
        <f t="shared" si="215"/>
        <v/>
      </c>
      <c r="IB754" s="2288" t="str">
        <f t="shared" si="216"/>
        <v/>
      </c>
      <c r="IC754" s="2288" t="str">
        <f t="shared" si="217"/>
        <v/>
      </c>
      <c r="ID754" s="2255" t="str">
        <f t="shared" si="218"/>
        <v/>
      </c>
      <c r="IE754" s="2255" t="str">
        <f t="shared" si="219"/>
        <v/>
      </c>
      <c r="IF754" s="2255" t="str">
        <f t="shared" si="220"/>
        <v/>
      </c>
      <c r="IG754" s="2255" t="str">
        <f t="shared" si="221"/>
        <v/>
      </c>
      <c r="IH754" s="2255" t="str">
        <f t="shared" si="222"/>
        <v/>
      </c>
      <c r="II754" s="873" t="str">
        <f t="shared" si="223"/>
        <v/>
      </c>
      <c r="IJ754" s="873" t="str">
        <f t="shared" si="224"/>
        <v/>
      </c>
      <c r="IK754" s="873" t="str">
        <f t="shared" si="225"/>
        <v/>
      </c>
      <c r="IL754" s="873" t="str">
        <f t="shared" si="226"/>
        <v/>
      </c>
      <c r="IM754" s="873" t="str">
        <f t="shared" si="227"/>
        <v/>
      </c>
      <c r="IN754" s="873" t="str">
        <f t="shared" si="228"/>
        <v/>
      </c>
      <c r="IO754" s="873" t="str">
        <f t="shared" si="229"/>
        <v/>
      </c>
      <c r="IP754" s="873" t="str">
        <f t="shared" si="230"/>
        <v/>
      </c>
      <c r="IQ754" s="873" t="str">
        <f t="shared" si="231"/>
        <v/>
      </c>
      <c r="IR754" s="873" t="str">
        <f t="shared" si="232"/>
        <v/>
      </c>
      <c r="IS754" s="873" t="str">
        <f t="shared" si="233"/>
        <v/>
      </c>
      <c r="IT754" s="873" t="str">
        <f t="shared" si="234"/>
        <v/>
      </c>
      <c r="IU754" s="873" t="str">
        <f t="shared" si="235"/>
        <v/>
      </c>
      <c r="IV754" s="873" t="str">
        <f t="shared" si="236"/>
        <v/>
      </c>
      <c r="IW754" s="873" t="str">
        <f t="shared" si="237"/>
        <v/>
      </c>
      <c r="IX754" s="873" t="str">
        <f t="shared" si="238"/>
        <v/>
      </c>
      <c r="IY754" s="873" t="str">
        <f t="shared" si="239"/>
        <v/>
      </c>
      <c r="IZ754" s="873" t="str">
        <f t="shared" si="240"/>
        <v/>
      </c>
      <c r="JA754" s="873" t="str">
        <f t="shared" si="241"/>
        <v/>
      </c>
      <c r="JB754" s="873" t="str">
        <f t="shared" si="242"/>
        <v/>
      </c>
      <c r="JC754" s="2253">
        <f t="shared" ref="JC754:JC790" si="243">IF(AND($C754="Efficiency",$E754&gt;0,OR($N754="1-Story",$N754="2-Story",$N754="3+ Story",$N754="2-Story Walkup",$N754="Townhome"),OR($O754="Acquisition/Rehab",$O754="Rehabilitation"),NOT($P754="Yes")),$E754,0)</f>
        <v>0</v>
      </c>
      <c r="JD754" s="2253">
        <f t="shared" ref="JD754:JD790" si="244">IF(AND($C754=1,$E754&gt;0,OR($N754="1-Story",$N754="2-Story",$N754="3+ Story",$N754="2-Story Walkup",$N754="Townhome"),OR($O754="Acquisition/Rehab",$O754="Rehabilitation"),NOT($P754="Yes")),$E754,0)</f>
        <v>0</v>
      </c>
      <c r="JE754" s="2253">
        <f t="shared" ref="JE754:JE790" si="245">IF(AND($C754=2,$E754&gt;0,OR($N754="1-Story",$N754="2-Story",$N754="3+ Story",$N754="2-Story Walkup",$N754="Townhome"),OR($O754="Acquisition/Rehab",$O754="Rehabilitation"),NOT($P754="Yes")),$E754,0)</f>
        <v>0</v>
      </c>
      <c r="JF754" s="2253">
        <f t="shared" ref="JF754:JF790" si="246">IF(AND($C754=3,$E754&gt;0,OR($N754="1-Story",$N754="2-Story",$N754="3+ Story",$N754="2-Story Walkup",$N754="Townhome"),OR($O754="Acquisition/Rehab",$O754="Rehabilitation"),NOT($P754="Yes")),$E754,0)</f>
        <v>0</v>
      </c>
      <c r="JG754" s="2253">
        <f t="shared" ref="JG754:JG790" si="247">IF(AND($C754=4,$E754&gt;0,OR($N754="1-Story",$N754="2-Story",$N754="3+ Story",$N754="2-Story Walkup",$N754="Townhome"),OR($O754="Acquisition/Rehab",$O754="Rehabilitation"),NOT($P754="Yes")),$E754,0)</f>
        <v>0</v>
      </c>
      <c r="JH754" s="2253">
        <f t="shared" ref="JH754:JH790" si="248">IF(AND($C754="Efficiency",$E754&gt;0,OR($N754="1-Story",$N754="2-Story",$N754="3+ Story",$N754="2-Story Walkup",$N754="Townhome"),$O754="New Construction"),$E754,0)</f>
        <v>0</v>
      </c>
      <c r="JI754" s="2253">
        <f t="shared" ref="JI754:JI790" si="249">IF(AND($C754=1,$E754&gt;0,OR($N754="1-Story",$N754="2-Story",$N754="3+ Story",$N754="2-Story Walkup",$N754="Townhome"),$O754="New Construction"),$E754,0)</f>
        <v>0</v>
      </c>
      <c r="JJ754" s="2253">
        <f t="shared" ref="JJ754:JJ790" si="250">IF(AND($C754=2,$E754&gt;0,OR($N754="1-Story",$N754="2-Story",$N754="3+ Story",$N754="2-Story Walkup",$N754="Townhome"),$O754="New Construction"),$E754,0)</f>
        <v>8</v>
      </c>
      <c r="JK754" s="2253">
        <f t="shared" ref="JK754:JK790" si="251">IF(AND($C754=3,$E754&gt;0,OR($N754="1-Story",$N754="2-Story",$N754="3+ Story",$N754="2-Story Walkup",$N754="Townhome"),$O754="New Construction"),$E754,0)</f>
        <v>0</v>
      </c>
      <c r="JL754" s="2253">
        <f t="shared" ref="JL754:JL790" si="252">IF(AND($C754=4,$E754&gt;0,OR($N754="1-Story",$N754="2-Story",$N754="3+ Story",$N754="2-Story Walkup",$N754="Townhome"),$O754="New Construction"),$E754,0)</f>
        <v>0</v>
      </c>
      <c r="JM754" s="2253">
        <f t="shared" ref="JM754:JM790" si="253">IF(AND($C754="Efficiency",$E754&gt;0,OR($N754="SF Detached",$N754="Duplex",$N754="Mfd Home"),NOT($P754="Yes")),$E754,0)</f>
        <v>0</v>
      </c>
      <c r="JN754" s="2253">
        <f t="shared" ref="JN754:JN790" si="254">IF(AND($C754=1,$E754&gt;0,OR($N754="SF Detached",$N754="Duplex",$N754="Mfd Home"),NOT($P754="Yes")),$E754,0)</f>
        <v>0</v>
      </c>
      <c r="JO754" s="2253">
        <f t="shared" ref="JO754:JO790" si="255">IF(AND($C754=2,$E754&gt;0,OR($N754="SF Detached",$N754="Duplex",$N754="Mfd Home"),NOT($P754="Yes")),$E754,0)</f>
        <v>0</v>
      </c>
      <c r="JP754" s="2253">
        <f t="shared" ref="JP754:JP790" si="256">IF(AND($C754=3,$E754&gt;0,OR($N754="SF Detached",$N754="Duplex",$N754="Mfd Home"),NOT($P754="Yes")),$E754,0)</f>
        <v>0</v>
      </c>
      <c r="JQ754" s="2253">
        <f t="shared" ref="JQ754:JQ790" si="257">IF(AND($C754=4,$E754&gt;0,OR($N754="SF Detached",$N754="Duplex",$N754="Mfd Home"),NOT($P754="Yes")),$E754,0)</f>
        <v>0</v>
      </c>
    </row>
    <row r="755" spans="1:277" ht="12" customHeight="1">
      <c r="A755" s="2258" t="str">
        <f t="shared" si="0"/>
        <v/>
      </c>
      <c r="B755" s="2279" t="str">
        <f>'Part VI-Revenues &amp; Expenses'!B12</f>
        <v>50% AMI</v>
      </c>
      <c r="C755" s="2280">
        <f>'Part VI-Revenues &amp; Expenses'!C12</f>
        <v>3</v>
      </c>
      <c r="D755" s="2281">
        <f>'Part VI-Revenues &amp; Expenses'!D12</f>
        <v>2</v>
      </c>
      <c r="E755" s="2282">
        <f>'Part VI-Revenues &amp; Expenses'!E12</f>
        <v>4</v>
      </c>
      <c r="F755" s="2282">
        <f>'Part VI-Revenues &amp; Expenses'!F12</f>
        <v>1301</v>
      </c>
      <c r="G755" s="2282">
        <f>'Part VI-Revenues &amp; Expenses'!G12</f>
        <v>850</v>
      </c>
      <c r="H755" s="2282">
        <f>'Part VI-Revenues &amp; Expenses'!H12</f>
        <v>775</v>
      </c>
      <c r="I755" s="2282">
        <f>'Part VI-Revenues &amp; Expenses'!I12</f>
        <v>205</v>
      </c>
      <c r="J755" s="2283">
        <f>'Part VI-Revenues &amp; Expenses'!J12</f>
        <v>0</v>
      </c>
      <c r="K755" s="2284">
        <f t="shared" si="1"/>
        <v>570</v>
      </c>
      <c r="L755" s="2284">
        <f t="shared" si="2"/>
        <v>2280</v>
      </c>
      <c r="M755" s="2285" t="str">
        <f>'Part VI-Revenues &amp; Expenses'!M12</f>
        <v>No</v>
      </c>
      <c r="N755" s="2285" t="str">
        <f>'Part VI-Revenues &amp; Expenses'!N12</f>
        <v>2-Story Walkup</v>
      </c>
      <c r="O755" s="2285" t="str">
        <f>'Part VI-Revenues &amp; Expenses'!O12</f>
        <v>New Construction</v>
      </c>
      <c r="P755" s="2262" t="str">
        <f>'Part VI-Revenues &amp; Expenses'!P12</f>
        <v>No</v>
      </c>
      <c r="Q755" s="2286">
        <f>'Part VI-Revenues &amp; Expenses'!Q12</f>
        <v>31000</v>
      </c>
      <c r="R755" s="2287">
        <f>'Part VI-Revenues &amp; Expenses'!R12</f>
        <v>0.45577511173841451</v>
      </c>
      <c r="S755" s="2286">
        <f>'Part VI-Revenues &amp; Expenses'!S12</f>
        <v>0</v>
      </c>
      <c r="T755" s="2287">
        <f>'Part VI-Revenues &amp; Expenses'!T12</f>
        <v>0</v>
      </c>
      <c r="U755" s="2176"/>
      <c r="V755" s="2176"/>
      <c r="W755" s="873" t="str">
        <f t="shared" si="3"/>
        <v/>
      </c>
      <c r="X755" s="873" t="str">
        <f t="shared" si="4"/>
        <v/>
      </c>
      <c r="Y755" s="873" t="str">
        <f t="shared" si="5"/>
        <v/>
      </c>
      <c r="Z755" s="873" t="str">
        <f t="shared" si="6"/>
        <v/>
      </c>
      <c r="AA755" s="873" t="str">
        <f t="shared" si="7"/>
        <v/>
      </c>
      <c r="AB755" s="873" t="str">
        <f t="shared" si="8"/>
        <v/>
      </c>
      <c r="AC755" s="873" t="str">
        <f t="shared" si="9"/>
        <v/>
      </c>
      <c r="AD755" s="873" t="str">
        <f t="shared" si="10"/>
        <v/>
      </c>
      <c r="AE755" s="873">
        <f t="shared" si="11"/>
        <v>4</v>
      </c>
      <c r="AF755" s="873" t="str">
        <f t="shared" si="12"/>
        <v/>
      </c>
      <c r="AG755" s="873" t="str">
        <f t="shared" si="13"/>
        <v/>
      </c>
      <c r="AH755" s="873" t="str">
        <f t="shared" si="14"/>
        <v/>
      </c>
      <c r="AI755" s="873" t="str">
        <f t="shared" si="15"/>
        <v/>
      </c>
      <c r="AJ755" s="873" t="str">
        <f t="shared" si="16"/>
        <v/>
      </c>
      <c r="AK755" s="873" t="str">
        <f t="shared" si="17"/>
        <v/>
      </c>
      <c r="AL755" s="873" t="str">
        <f t="shared" si="18"/>
        <v/>
      </c>
      <c r="AM755" s="873" t="str">
        <f t="shared" si="19"/>
        <v/>
      </c>
      <c r="AN755" s="873" t="str">
        <f t="shared" si="20"/>
        <v/>
      </c>
      <c r="AO755" s="873" t="str">
        <f t="shared" si="21"/>
        <v/>
      </c>
      <c r="AP755" s="873" t="str">
        <f t="shared" si="22"/>
        <v/>
      </c>
      <c r="AQ755" s="873" t="str">
        <f t="shared" si="23"/>
        <v/>
      </c>
      <c r="AR755" s="873" t="str">
        <f t="shared" si="24"/>
        <v/>
      </c>
      <c r="AS755" s="873" t="str">
        <f t="shared" si="25"/>
        <v/>
      </c>
      <c r="AT755" s="873" t="str">
        <f t="shared" si="26"/>
        <v/>
      </c>
      <c r="AU755" s="873" t="str">
        <f t="shared" si="27"/>
        <v/>
      </c>
      <c r="AV755" s="873" t="str">
        <f t="shared" si="28"/>
        <v/>
      </c>
      <c r="AW755" s="873" t="str">
        <f t="shared" si="29"/>
        <v/>
      </c>
      <c r="AX755" s="873" t="str">
        <f t="shared" si="30"/>
        <v/>
      </c>
      <c r="AY755" s="873" t="str">
        <f t="shared" si="31"/>
        <v/>
      </c>
      <c r="AZ755" s="873" t="str">
        <f t="shared" si="32"/>
        <v/>
      </c>
      <c r="BA755" s="873" t="str">
        <f t="shared" si="33"/>
        <v/>
      </c>
      <c r="BB755" s="873" t="str">
        <f t="shared" si="34"/>
        <v/>
      </c>
      <c r="BC755" s="873" t="str">
        <f t="shared" si="35"/>
        <v/>
      </c>
      <c r="BD755" s="873" t="str">
        <f t="shared" si="36"/>
        <v/>
      </c>
      <c r="BE755" s="873" t="str">
        <f t="shared" si="37"/>
        <v/>
      </c>
      <c r="BF755" s="873" t="str">
        <f t="shared" si="38"/>
        <v/>
      </c>
      <c r="BG755" s="873" t="str">
        <f t="shared" si="39"/>
        <v/>
      </c>
      <c r="BH755" s="873" t="str">
        <f t="shared" si="40"/>
        <v/>
      </c>
      <c r="BI755" s="873" t="str">
        <f t="shared" si="41"/>
        <v/>
      </c>
      <c r="BJ755" s="873" t="str">
        <f t="shared" si="42"/>
        <v/>
      </c>
      <c r="BK755" s="873" t="str">
        <f t="shared" si="43"/>
        <v/>
      </c>
      <c r="BL755" s="873" t="str">
        <f t="shared" si="44"/>
        <v/>
      </c>
      <c r="BM755" s="873" t="str">
        <f t="shared" si="45"/>
        <v/>
      </c>
      <c r="BN755" s="873" t="str">
        <f t="shared" si="46"/>
        <v/>
      </c>
      <c r="BO755" s="873" t="str">
        <f t="shared" si="47"/>
        <v/>
      </c>
      <c r="BP755" s="873" t="str">
        <f t="shared" si="48"/>
        <v/>
      </c>
      <c r="BQ755" s="873" t="str">
        <f t="shared" si="49"/>
        <v/>
      </c>
      <c r="BR755" s="873" t="str">
        <f t="shared" si="50"/>
        <v/>
      </c>
      <c r="BS755" s="873" t="str">
        <f t="shared" si="51"/>
        <v/>
      </c>
      <c r="BT755" s="873" t="str">
        <f t="shared" si="52"/>
        <v/>
      </c>
      <c r="BU755" s="873" t="str">
        <f t="shared" si="53"/>
        <v/>
      </c>
      <c r="BV755" s="873" t="str">
        <f t="shared" si="54"/>
        <v/>
      </c>
      <c r="BW755" s="873" t="str">
        <f t="shared" si="55"/>
        <v/>
      </c>
      <c r="BX755" s="873" t="str">
        <f t="shared" si="56"/>
        <v/>
      </c>
      <c r="BY755" s="873" t="str">
        <f t="shared" si="57"/>
        <v/>
      </c>
      <c r="BZ755" s="873" t="str">
        <f t="shared" si="58"/>
        <v/>
      </c>
      <c r="CA755" s="873" t="str">
        <f t="shared" si="59"/>
        <v/>
      </c>
      <c r="CB755" s="873" t="str">
        <f t="shared" si="60"/>
        <v/>
      </c>
      <c r="CC755" s="873" t="str">
        <f t="shared" si="61"/>
        <v/>
      </c>
      <c r="CD755" s="873" t="str">
        <f t="shared" si="62"/>
        <v/>
      </c>
      <c r="CE755" s="873" t="str">
        <f t="shared" si="63"/>
        <v/>
      </c>
      <c r="CF755" s="873" t="str">
        <f t="shared" si="64"/>
        <v/>
      </c>
      <c r="CG755" s="873" t="str">
        <f t="shared" si="65"/>
        <v/>
      </c>
      <c r="CH755" s="873">
        <f t="shared" si="66"/>
        <v>5204</v>
      </c>
      <c r="CI755" s="873" t="str">
        <f t="shared" si="67"/>
        <v/>
      </c>
      <c r="CJ755" s="873" t="str">
        <f t="shared" si="68"/>
        <v/>
      </c>
      <c r="CK755" s="873" t="str">
        <f t="shared" si="69"/>
        <v/>
      </c>
      <c r="CL755" s="873" t="str">
        <f t="shared" si="70"/>
        <v/>
      </c>
      <c r="CM755" s="873" t="str">
        <f t="shared" si="71"/>
        <v/>
      </c>
      <c r="CN755" s="873" t="str">
        <f t="shared" si="72"/>
        <v/>
      </c>
      <c r="CO755" s="873" t="str">
        <f t="shared" si="73"/>
        <v/>
      </c>
      <c r="CP755" s="873" t="str">
        <f t="shared" si="74"/>
        <v/>
      </c>
      <c r="CQ755" s="873" t="str">
        <f t="shared" si="75"/>
        <v/>
      </c>
      <c r="CR755" s="873" t="str">
        <f t="shared" si="76"/>
        <v/>
      </c>
      <c r="CS755" s="873" t="str">
        <f t="shared" si="77"/>
        <v/>
      </c>
      <c r="CT755" s="873" t="str">
        <f t="shared" si="78"/>
        <v/>
      </c>
      <c r="CU755" s="873" t="str">
        <f t="shared" si="79"/>
        <v/>
      </c>
      <c r="CV755" s="873" t="str">
        <f t="shared" si="80"/>
        <v/>
      </c>
      <c r="CW755" s="873" t="str">
        <f t="shared" si="81"/>
        <v/>
      </c>
      <c r="CX755" s="873" t="str">
        <f t="shared" si="82"/>
        <v/>
      </c>
      <c r="CY755" s="873" t="str">
        <f t="shared" si="83"/>
        <v/>
      </c>
      <c r="CZ755" s="873" t="str">
        <f t="shared" si="84"/>
        <v/>
      </c>
      <c r="DA755" s="873" t="str">
        <f t="shared" si="85"/>
        <v/>
      </c>
      <c r="DB755" s="873" t="str">
        <f t="shared" si="86"/>
        <v/>
      </c>
      <c r="DC755" s="873" t="str">
        <f t="shared" si="87"/>
        <v/>
      </c>
      <c r="DD755" s="873" t="str">
        <f t="shared" si="88"/>
        <v/>
      </c>
      <c r="DE755" s="873" t="str">
        <f t="shared" si="89"/>
        <v/>
      </c>
      <c r="DF755" s="873" t="str">
        <f t="shared" si="90"/>
        <v/>
      </c>
      <c r="DG755" s="873">
        <f t="shared" si="91"/>
        <v>4</v>
      </c>
      <c r="DH755" s="873" t="str">
        <f t="shared" si="92"/>
        <v/>
      </c>
      <c r="DI755" s="873" t="str">
        <f t="shared" si="93"/>
        <v/>
      </c>
      <c r="DJ755" s="873" t="str">
        <f t="shared" si="94"/>
        <v/>
      </c>
      <c r="DK755" s="873" t="str">
        <f t="shared" si="95"/>
        <v/>
      </c>
      <c r="DL755" s="873" t="str">
        <f t="shared" si="96"/>
        <v/>
      </c>
      <c r="DM755" s="873" t="str">
        <f t="shared" si="97"/>
        <v/>
      </c>
      <c r="DN755" s="873" t="str">
        <f t="shared" si="98"/>
        <v/>
      </c>
      <c r="DO755" s="873" t="str">
        <f t="shared" si="99"/>
        <v/>
      </c>
      <c r="DP755" s="873" t="str">
        <f t="shared" si="100"/>
        <v/>
      </c>
      <c r="DQ755" s="873" t="str">
        <f t="shared" si="101"/>
        <v/>
      </c>
      <c r="DR755" s="873" t="str">
        <f t="shared" si="102"/>
        <v/>
      </c>
      <c r="DS755" s="873" t="str">
        <f t="shared" si="103"/>
        <v/>
      </c>
      <c r="DT755" s="873" t="str">
        <f t="shared" si="104"/>
        <v/>
      </c>
      <c r="DU755" s="873" t="str">
        <f t="shared" si="105"/>
        <v/>
      </c>
      <c r="DV755" s="873" t="str">
        <f t="shared" si="106"/>
        <v/>
      </c>
      <c r="DW755" s="873" t="str">
        <f t="shared" si="107"/>
        <v/>
      </c>
      <c r="DX755" s="873" t="str">
        <f t="shared" si="108"/>
        <v/>
      </c>
      <c r="DY755" s="873" t="str">
        <f t="shared" si="109"/>
        <v/>
      </c>
      <c r="DZ755" s="873" t="str">
        <f t="shared" si="110"/>
        <v/>
      </c>
      <c r="EA755" s="873" t="str">
        <f t="shared" si="111"/>
        <v/>
      </c>
      <c r="EB755" s="873" t="str">
        <f t="shared" si="112"/>
        <v/>
      </c>
      <c r="EC755" s="873" t="str">
        <f t="shared" si="113"/>
        <v/>
      </c>
      <c r="ED755" s="873" t="str">
        <f t="shared" si="114"/>
        <v/>
      </c>
      <c r="EE755" s="873" t="str">
        <f t="shared" si="115"/>
        <v/>
      </c>
      <c r="EF755" s="873" t="str">
        <f t="shared" si="116"/>
        <v/>
      </c>
      <c r="EG755" s="873" t="str">
        <f t="shared" si="117"/>
        <v/>
      </c>
      <c r="EH755" s="873" t="str">
        <f t="shared" si="118"/>
        <v/>
      </c>
      <c r="EI755" s="873" t="str">
        <f t="shared" si="119"/>
        <v/>
      </c>
      <c r="EJ755" s="873" t="str">
        <f t="shared" si="120"/>
        <v/>
      </c>
      <c r="EK755" s="873" t="str">
        <f t="shared" si="121"/>
        <v/>
      </c>
      <c r="EL755" s="873" t="str">
        <f t="shared" si="122"/>
        <v/>
      </c>
      <c r="EM755" s="873" t="str">
        <f t="shared" si="123"/>
        <v/>
      </c>
      <c r="EN755" s="873" t="str">
        <f t="shared" si="124"/>
        <v/>
      </c>
      <c r="EO755" s="873" t="str">
        <f t="shared" si="125"/>
        <v/>
      </c>
      <c r="EP755" s="873" t="str">
        <f t="shared" si="126"/>
        <v/>
      </c>
      <c r="EQ755" s="873" t="str">
        <f t="shared" si="127"/>
        <v/>
      </c>
      <c r="ER755" s="873" t="str">
        <f t="shared" si="128"/>
        <v/>
      </c>
      <c r="ES755" s="873" t="str">
        <f t="shared" si="129"/>
        <v/>
      </c>
      <c r="ET755" s="873" t="str">
        <f t="shared" si="130"/>
        <v/>
      </c>
      <c r="EU755" s="873" t="str">
        <f t="shared" si="131"/>
        <v/>
      </c>
      <c r="EV755" s="873" t="str">
        <f t="shared" si="132"/>
        <v/>
      </c>
      <c r="EW755" s="2288" t="str">
        <f t="shared" si="133"/>
        <v/>
      </c>
      <c r="EX755" s="2288" t="str">
        <f t="shared" si="134"/>
        <v/>
      </c>
      <c r="EY755" s="2288" t="str">
        <f t="shared" si="135"/>
        <v/>
      </c>
      <c r="EZ755" s="2288">
        <f t="shared" si="136"/>
        <v>4</v>
      </c>
      <c r="FA755" s="2288" t="str">
        <f t="shared" si="137"/>
        <v/>
      </c>
      <c r="FB755" s="2288" t="str">
        <f t="shared" si="138"/>
        <v/>
      </c>
      <c r="FC755" s="2288" t="str">
        <f t="shared" si="139"/>
        <v/>
      </c>
      <c r="FD755" s="2288" t="str">
        <f t="shared" si="140"/>
        <v/>
      </c>
      <c r="FE755" s="2288" t="str">
        <f t="shared" si="141"/>
        <v/>
      </c>
      <c r="FF755" s="2288" t="str">
        <f t="shared" si="142"/>
        <v/>
      </c>
      <c r="FG755" s="2288" t="str">
        <f t="shared" si="143"/>
        <v/>
      </c>
      <c r="FH755" s="2288" t="str">
        <f t="shared" si="144"/>
        <v/>
      </c>
      <c r="FI755" s="2288" t="str">
        <f t="shared" si="145"/>
        <v/>
      </c>
      <c r="FJ755" s="2288" t="str">
        <f t="shared" si="146"/>
        <v/>
      </c>
      <c r="FK755" s="2288" t="str">
        <f t="shared" si="147"/>
        <v/>
      </c>
      <c r="FL755" s="2288" t="str">
        <f t="shared" si="148"/>
        <v/>
      </c>
      <c r="FM755" s="2288" t="str">
        <f t="shared" si="149"/>
        <v/>
      </c>
      <c r="FN755" s="2288" t="str">
        <f t="shared" si="150"/>
        <v/>
      </c>
      <c r="FO755" s="2288" t="str">
        <f t="shared" si="151"/>
        <v/>
      </c>
      <c r="FP755" s="2288" t="str">
        <f t="shared" si="152"/>
        <v/>
      </c>
      <c r="FQ755" s="2288" t="str">
        <f t="shared" si="153"/>
        <v/>
      </c>
      <c r="FR755" s="2288" t="str">
        <f t="shared" si="154"/>
        <v/>
      </c>
      <c r="FS755" s="2288" t="str">
        <f t="shared" si="155"/>
        <v/>
      </c>
      <c r="FT755" s="2288" t="str">
        <f t="shared" si="156"/>
        <v/>
      </c>
      <c r="FU755" s="2288" t="str">
        <f t="shared" si="157"/>
        <v/>
      </c>
      <c r="FV755" s="2288" t="str">
        <f t="shared" si="158"/>
        <v/>
      </c>
      <c r="FW755" s="2288" t="str">
        <f t="shared" si="159"/>
        <v/>
      </c>
      <c r="FX755" s="2288" t="str">
        <f t="shared" si="160"/>
        <v/>
      </c>
      <c r="FY755" s="2288" t="str">
        <f t="shared" si="161"/>
        <v/>
      </c>
      <c r="FZ755" s="2288" t="str">
        <f t="shared" si="162"/>
        <v/>
      </c>
      <c r="GA755" s="2288" t="str">
        <f t="shared" si="163"/>
        <v/>
      </c>
      <c r="GB755" s="2288" t="str">
        <f t="shared" si="164"/>
        <v/>
      </c>
      <c r="GC755" s="2288" t="str">
        <f t="shared" si="165"/>
        <v/>
      </c>
      <c r="GD755" s="2288" t="str">
        <f t="shared" si="166"/>
        <v/>
      </c>
      <c r="GE755" s="2288" t="str">
        <f t="shared" si="167"/>
        <v/>
      </c>
      <c r="GF755" s="2288" t="str">
        <f t="shared" si="168"/>
        <v/>
      </c>
      <c r="GG755" s="2288" t="str">
        <f t="shared" si="169"/>
        <v/>
      </c>
      <c r="GH755" s="2288" t="str">
        <f t="shared" si="170"/>
        <v/>
      </c>
      <c r="GI755" s="2288" t="str">
        <f t="shared" si="171"/>
        <v/>
      </c>
      <c r="GJ755" s="2288" t="str">
        <f t="shared" si="172"/>
        <v/>
      </c>
      <c r="GK755" s="2288" t="str">
        <f t="shared" si="173"/>
        <v/>
      </c>
      <c r="GL755" s="2288" t="str">
        <f t="shared" si="174"/>
        <v/>
      </c>
      <c r="GM755" s="2288" t="str">
        <f t="shared" si="175"/>
        <v/>
      </c>
      <c r="GN755" s="2288" t="str">
        <f t="shared" si="176"/>
        <v/>
      </c>
      <c r="GO755" s="2288" t="str">
        <f t="shared" si="177"/>
        <v/>
      </c>
      <c r="GP755" s="2288" t="str">
        <f t="shared" si="178"/>
        <v/>
      </c>
      <c r="GQ755" s="2288" t="str">
        <f t="shared" si="179"/>
        <v/>
      </c>
      <c r="GR755" s="2288" t="str">
        <f t="shared" si="180"/>
        <v/>
      </c>
      <c r="GS755" s="2288" t="str">
        <f t="shared" si="181"/>
        <v/>
      </c>
      <c r="GT755" s="2288" t="str">
        <f t="shared" si="182"/>
        <v/>
      </c>
      <c r="GU755" s="2288" t="str">
        <f t="shared" si="183"/>
        <v/>
      </c>
      <c r="GV755" s="2288" t="str">
        <f t="shared" si="184"/>
        <v/>
      </c>
      <c r="GW755" s="2288" t="str">
        <f t="shared" si="185"/>
        <v/>
      </c>
      <c r="GX755" s="2288" t="str">
        <f t="shared" si="186"/>
        <v/>
      </c>
      <c r="GY755" s="2288" t="str">
        <f t="shared" si="187"/>
        <v/>
      </c>
      <c r="GZ755" s="2288" t="str">
        <f t="shared" si="188"/>
        <v/>
      </c>
      <c r="HA755" s="2288" t="str">
        <f t="shared" si="189"/>
        <v/>
      </c>
      <c r="HB755" s="2288" t="str">
        <f t="shared" si="190"/>
        <v/>
      </c>
      <c r="HC755" s="2288" t="str">
        <f t="shared" si="191"/>
        <v/>
      </c>
      <c r="HD755" s="2288" t="str">
        <f t="shared" si="192"/>
        <v/>
      </c>
      <c r="HE755" s="2288" t="str">
        <f t="shared" si="193"/>
        <v/>
      </c>
      <c r="HF755" s="2288" t="str">
        <f t="shared" si="194"/>
        <v/>
      </c>
      <c r="HG755" s="2288" t="str">
        <f t="shared" si="195"/>
        <v/>
      </c>
      <c r="HH755" s="2288" t="str">
        <f t="shared" si="196"/>
        <v/>
      </c>
      <c r="HI755" s="2288" t="str">
        <f t="shared" si="197"/>
        <v/>
      </c>
      <c r="HJ755" s="2288" t="str">
        <f t="shared" si="198"/>
        <v/>
      </c>
      <c r="HK755" s="2288" t="str">
        <f t="shared" si="199"/>
        <v/>
      </c>
      <c r="HL755" s="2288" t="str">
        <f t="shared" si="200"/>
        <v/>
      </c>
      <c r="HM755" s="2288">
        <f t="shared" si="201"/>
        <v>4</v>
      </c>
      <c r="HN755" s="2288" t="str">
        <f t="shared" si="202"/>
        <v/>
      </c>
      <c r="HO755" s="2288" t="str">
        <f t="shared" si="203"/>
        <v/>
      </c>
      <c r="HP755" s="2288" t="str">
        <f t="shared" si="204"/>
        <v/>
      </c>
      <c r="HQ755" s="2288" t="str">
        <f t="shared" si="205"/>
        <v/>
      </c>
      <c r="HR755" s="2288" t="str">
        <f t="shared" si="206"/>
        <v/>
      </c>
      <c r="HS755" s="2288" t="str">
        <f t="shared" si="207"/>
        <v/>
      </c>
      <c r="HT755" s="2288" t="str">
        <f t="shared" si="208"/>
        <v/>
      </c>
      <c r="HU755" s="2288" t="str">
        <f t="shared" si="209"/>
        <v/>
      </c>
      <c r="HV755" s="2288" t="str">
        <f t="shared" si="210"/>
        <v/>
      </c>
      <c r="HW755" s="2288" t="str">
        <f t="shared" si="211"/>
        <v/>
      </c>
      <c r="HX755" s="2288" t="str">
        <f t="shared" si="212"/>
        <v/>
      </c>
      <c r="HY755" s="2288" t="str">
        <f t="shared" si="213"/>
        <v/>
      </c>
      <c r="HZ755" s="2288" t="str">
        <f t="shared" si="214"/>
        <v/>
      </c>
      <c r="IA755" s="2288" t="str">
        <f t="shared" si="215"/>
        <v/>
      </c>
      <c r="IB755" s="2288" t="str">
        <f t="shared" si="216"/>
        <v/>
      </c>
      <c r="IC755" s="2288" t="str">
        <f t="shared" si="217"/>
        <v/>
      </c>
      <c r="ID755" s="2255" t="str">
        <f t="shared" si="218"/>
        <v/>
      </c>
      <c r="IE755" s="2255" t="str">
        <f t="shared" si="219"/>
        <v/>
      </c>
      <c r="IF755" s="2255" t="str">
        <f t="shared" si="220"/>
        <v/>
      </c>
      <c r="IG755" s="2255" t="str">
        <f t="shared" si="221"/>
        <v/>
      </c>
      <c r="IH755" s="2255" t="str">
        <f t="shared" si="222"/>
        <v/>
      </c>
      <c r="II755" s="873" t="str">
        <f t="shared" si="223"/>
        <v/>
      </c>
      <c r="IJ755" s="873" t="str">
        <f t="shared" si="224"/>
        <v/>
      </c>
      <c r="IK755" s="873" t="str">
        <f t="shared" si="225"/>
        <v/>
      </c>
      <c r="IL755" s="873" t="str">
        <f t="shared" si="226"/>
        <v/>
      </c>
      <c r="IM755" s="873" t="str">
        <f t="shared" si="227"/>
        <v/>
      </c>
      <c r="IN755" s="873" t="str">
        <f t="shared" si="228"/>
        <v/>
      </c>
      <c r="IO755" s="873" t="str">
        <f t="shared" si="229"/>
        <v/>
      </c>
      <c r="IP755" s="873" t="str">
        <f t="shared" si="230"/>
        <v/>
      </c>
      <c r="IQ755" s="873" t="str">
        <f t="shared" si="231"/>
        <v/>
      </c>
      <c r="IR755" s="873" t="str">
        <f t="shared" si="232"/>
        <v/>
      </c>
      <c r="IS755" s="873" t="str">
        <f t="shared" si="233"/>
        <v/>
      </c>
      <c r="IT755" s="873" t="str">
        <f t="shared" si="234"/>
        <v/>
      </c>
      <c r="IU755" s="873" t="str">
        <f t="shared" si="235"/>
        <v/>
      </c>
      <c r="IV755" s="873" t="str">
        <f t="shared" si="236"/>
        <v/>
      </c>
      <c r="IW755" s="873" t="str">
        <f t="shared" si="237"/>
        <v/>
      </c>
      <c r="IX755" s="873" t="str">
        <f t="shared" si="238"/>
        <v/>
      </c>
      <c r="IY755" s="873" t="str">
        <f t="shared" si="239"/>
        <v/>
      </c>
      <c r="IZ755" s="873" t="str">
        <f t="shared" si="240"/>
        <v/>
      </c>
      <c r="JA755" s="873" t="str">
        <f t="shared" si="241"/>
        <v/>
      </c>
      <c r="JB755" s="873" t="str">
        <f t="shared" si="242"/>
        <v/>
      </c>
      <c r="JC755" s="2253">
        <f t="shared" si="243"/>
        <v>0</v>
      </c>
      <c r="JD755" s="2253">
        <f t="shared" si="244"/>
        <v>0</v>
      </c>
      <c r="JE755" s="2253">
        <f t="shared" si="245"/>
        <v>0</v>
      </c>
      <c r="JF755" s="2253">
        <f t="shared" si="246"/>
        <v>0</v>
      </c>
      <c r="JG755" s="2253">
        <f t="shared" si="247"/>
        <v>0</v>
      </c>
      <c r="JH755" s="2253">
        <f t="shared" si="248"/>
        <v>0</v>
      </c>
      <c r="JI755" s="2253">
        <f t="shared" si="249"/>
        <v>0</v>
      </c>
      <c r="JJ755" s="2253">
        <f t="shared" si="250"/>
        <v>0</v>
      </c>
      <c r="JK755" s="2253">
        <f t="shared" si="251"/>
        <v>4</v>
      </c>
      <c r="JL755" s="2253">
        <f t="shared" si="252"/>
        <v>0</v>
      </c>
      <c r="JM755" s="2253">
        <f t="shared" si="253"/>
        <v>0</v>
      </c>
      <c r="JN755" s="2253">
        <f t="shared" si="254"/>
        <v>0</v>
      </c>
      <c r="JO755" s="2253">
        <f t="shared" si="255"/>
        <v>0</v>
      </c>
      <c r="JP755" s="2253">
        <f t="shared" si="256"/>
        <v>0</v>
      </c>
      <c r="JQ755" s="2253">
        <f t="shared" si="257"/>
        <v>0</v>
      </c>
    </row>
    <row r="756" spans="1:277" ht="12" customHeight="1">
      <c r="A756" s="2258" t="str">
        <f t="shared" si="0"/>
        <v/>
      </c>
      <c r="B756" s="2279" t="str">
        <f>'Part VI-Revenues &amp; Expenses'!B13</f>
        <v>60% AMI</v>
      </c>
      <c r="C756" s="2280">
        <f>'Part VI-Revenues &amp; Expenses'!C13</f>
        <v>1</v>
      </c>
      <c r="D756" s="2281">
        <f>'Part VI-Revenues &amp; Expenses'!D13</f>
        <v>1</v>
      </c>
      <c r="E756" s="2282">
        <f>'Part VI-Revenues &amp; Expenses'!E13</f>
        <v>3</v>
      </c>
      <c r="F756" s="2282">
        <f>'Part VI-Revenues &amp; Expenses'!F13</f>
        <v>830</v>
      </c>
      <c r="G756" s="2282">
        <f>'Part VI-Revenues &amp; Expenses'!G13</f>
        <v>575</v>
      </c>
      <c r="H756" s="2282">
        <f>'Part VI-Revenues &amp; Expenses'!H13</f>
        <v>541</v>
      </c>
      <c r="I756" s="2282">
        <f>'Part VI-Revenues &amp; Expenses'!I13</f>
        <v>119</v>
      </c>
      <c r="J756" s="2283">
        <f>'Part VI-Revenues &amp; Expenses'!J13</f>
        <v>0</v>
      </c>
      <c r="K756" s="2284">
        <f t="shared" si="1"/>
        <v>422</v>
      </c>
      <c r="L756" s="2284">
        <f t="shared" si="2"/>
        <v>1266</v>
      </c>
      <c r="M756" s="2285" t="str">
        <f>'Part VI-Revenues &amp; Expenses'!M13</f>
        <v>No</v>
      </c>
      <c r="N756" s="2285" t="str">
        <f>'Part VI-Revenues &amp; Expenses'!N13</f>
        <v>2-Story Walkup</v>
      </c>
      <c r="O756" s="2285" t="str">
        <f>'Part VI-Revenues &amp; Expenses'!O13</f>
        <v>New Construction</v>
      </c>
      <c r="P756" s="2262" t="str">
        <f>'Part VI-Revenues &amp; Expenses'!P13</f>
        <v>No</v>
      </c>
      <c r="Q756" s="2286">
        <f>'Part VI-Revenues &amp; Expenses'!Q13</f>
        <v>21640</v>
      </c>
      <c r="R756" s="2287">
        <f>'Part VI-Revenues &amp; Expenses'!R13</f>
        <v>0.44118246687054025</v>
      </c>
      <c r="S756" s="2286">
        <f>'Part VI-Revenues &amp; Expenses'!S13</f>
        <v>0</v>
      </c>
      <c r="T756" s="2287">
        <f>'Part VI-Revenues &amp; Expenses'!T13</f>
        <v>0</v>
      </c>
      <c r="U756" s="2176"/>
      <c r="V756" s="2176"/>
      <c r="W756" s="873" t="str">
        <f t="shared" si="3"/>
        <v/>
      </c>
      <c r="X756" s="873">
        <f t="shared" si="4"/>
        <v>3</v>
      </c>
      <c r="Y756" s="873" t="str">
        <f t="shared" si="5"/>
        <v/>
      </c>
      <c r="Z756" s="873" t="str">
        <f t="shared" si="6"/>
        <v/>
      </c>
      <c r="AA756" s="873" t="str">
        <f t="shared" si="7"/>
        <v/>
      </c>
      <c r="AB756" s="873" t="str">
        <f t="shared" si="8"/>
        <v/>
      </c>
      <c r="AC756" s="873" t="str">
        <f t="shared" si="9"/>
        <v/>
      </c>
      <c r="AD756" s="873" t="str">
        <f t="shared" si="10"/>
        <v/>
      </c>
      <c r="AE756" s="873" t="str">
        <f t="shared" si="11"/>
        <v/>
      </c>
      <c r="AF756" s="873" t="str">
        <f t="shared" si="12"/>
        <v/>
      </c>
      <c r="AG756" s="873" t="str">
        <f t="shared" si="13"/>
        <v/>
      </c>
      <c r="AH756" s="873" t="str">
        <f t="shared" si="14"/>
        <v/>
      </c>
      <c r="AI756" s="873" t="str">
        <f t="shared" si="15"/>
        <v/>
      </c>
      <c r="AJ756" s="873" t="str">
        <f t="shared" si="16"/>
        <v/>
      </c>
      <c r="AK756" s="873" t="str">
        <f t="shared" si="17"/>
        <v/>
      </c>
      <c r="AL756" s="873" t="str">
        <f t="shared" si="18"/>
        <v/>
      </c>
      <c r="AM756" s="873" t="str">
        <f t="shared" si="19"/>
        <v/>
      </c>
      <c r="AN756" s="873" t="str">
        <f t="shared" si="20"/>
        <v/>
      </c>
      <c r="AO756" s="873" t="str">
        <f t="shared" si="21"/>
        <v/>
      </c>
      <c r="AP756" s="873" t="str">
        <f t="shared" si="22"/>
        <v/>
      </c>
      <c r="AQ756" s="873" t="str">
        <f t="shared" si="23"/>
        <v/>
      </c>
      <c r="AR756" s="873" t="str">
        <f t="shared" si="24"/>
        <v/>
      </c>
      <c r="AS756" s="873" t="str">
        <f t="shared" si="25"/>
        <v/>
      </c>
      <c r="AT756" s="873" t="str">
        <f t="shared" si="26"/>
        <v/>
      </c>
      <c r="AU756" s="873" t="str">
        <f t="shared" si="27"/>
        <v/>
      </c>
      <c r="AV756" s="873" t="str">
        <f t="shared" si="28"/>
        <v/>
      </c>
      <c r="AW756" s="873" t="str">
        <f t="shared" si="29"/>
        <v/>
      </c>
      <c r="AX756" s="873" t="str">
        <f t="shared" si="30"/>
        <v/>
      </c>
      <c r="AY756" s="873" t="str">
        <f t="shared" si="31"/>
        <v/>
      </c>
      <c r="AZ756" s="873" t="str">
        <f t="shared" si="32"/>
        <v/>
      </c>
      <c r="BA756" s="873" t="str">
        <f t="shared" si="33"/>
        <v/>
      </c>
      <c r="BB756" s="873" t="str">
        <f t="shared" si="34"/>
        <v/>
      </c>
      <c r="BC756" s="873" t="str">
        <f t="shared" si="35"/>
        <v/>
      </c>
      <c r="BD756" s="873" t="str">
        <f t="shared" si="36"/>
        <v/>
      </c>
      <c r="BE756" s="873" t="str">
        <f t="shared" si="37"/>
        <v/>
      </c>
      <c r="BF756" s="873" t="str">
        <f t="shared" si="38"/>
        <v/>
      </c>
      <c r="BG756" s="873" t="str">
        <f t="shared" si="39"/>
        <v/>
      </c>
      <c r="BH756" s="873" t="str">
        <f t="shared" si="40"/>
        <v/>
      </c>
      <c r="BI756" s="873" t="str">
        <f t="shared" si="41"/>
        <v/>
      </c>
      <c r="BJ756" s="873" t="str">
        <f t="shared" si="42"/>
        <v/>
      </c>
      <c r="BK756" s="873" t="str">
        <f t="shared" si="43"/>
        <v/>
      </c>
      <c r="BL756" s="873" t="str">
        <f t="shared" si="44"/>
        <v/>
      </c>
      <c r="BM756" s="873" t="str">
        <f t="shared" si="45"/>
        <v/>
      </c>
      <c r="BN756" s="873" t="str">
        <f t="shared" si="46"/>
        <v/>
      </c>
      <c r="BO756" s="873" t="str">
        <f t="shared" si="47"/>
        <v/>
      </c>
      <c r="BP756" s="873" t="str">
        <f t="shared" si="48"/>
        <v/>
      </c>
      <c r="BQ756" s="873" t="str">
        <f t="shared" si="49"/>
        <v/>
      </c>
      <c r="BR756" s="873" t="str">
        <f t="shared" si="50"/>
        <v/>
      </c>
      <c r="BS756" s="873" t="str">
        <f t="shared" si="51"/>
        <v/>
      </c>
      <c r="BT756" s="873" t="str">
        <f t="shared" si="52"/>
        <v/>
      </c>
      <c r="BU756" s="873" t="str">
        <f t="shared" si="53"/>
        <v/>
      </c>
      <c r="BV756" s="873" t="str">
        <f t="shared" si="54"/>
        <v/>
      </c>
      <c r="BW756" s="873" t="str">
        <f t="shared" si="55"/>
        <v/>
      </c>
      <c r="BX756" s="873" t="str">
        <f t="shared" si="56"/>
        <v/>
      </c>
      <c r="BY756" s="873" t="str">
        <f t="shared" si="57"/>
        <v/>
      </c>
      <c r="BZ756" s="873" t="str">
        <f t="shared" si="58"/>
        <v/>
      </c>
      <c r="CA756" s="873">
        <f t="shared" si="59"/>
        <v>2490</v>
      </c>
      <c r="CB756" s="873" t="str">
        <f t="shared" si="60"/>
        <v/>
      </c>
      <c r="CC756" s="873" t="str">
        <f t="shared" si="61"/>
        <v/>
      </c>
      <c r="CD756" s="873" t="str">
        <f t="shared" si="62"/>
        <v/>
      </c>
      <c r="CE756" s="873" t="str">
        <f t="shared" si="63"/>
        <v/>
      </c>
      <c r="CF756" s="873" t="str">
        <f t="shared" si="64"/>
        <v/>
      </c>
      <c r="CG756" s="873" t="str">
        <f t="shared" si="65"/>
        <v/>
      </c>
      <c r="CH756" s="873" t="str">
        <f t="shared" si="66"/>
        <v/>
      </c>
      <c r="CI756" s="873" t="str">
        <f t="shared" si="67"/>
        <v/>
      </c>
      <c r="CJ756" s="873" t="str">
        <f t="shared" si="68"/>
        <v/>
      </c>
      <c r="CK756" s="873" t="str">
        <f t="shared" si="69"/>
        <v/>
      </c>
      <c r="CL756" s="873" t="str">
        <f t="shared" si="70"/>
        <v/>
      </c>
      <c r="CM756" s="873" t="str">
        <f t="shared" si="71"/>
        <v/>
      </c>
      <c r="CN756" s="873" t="str">
        <f t="shared" si="72"/>
        <v/>
      </c>
      <c r="CO756" s="873" t="str">
        <f t="shared" si="73"/>
        <v/>
      </c>
      <c r="CP756" s="873" t="str">
        <f t="shared" si="74"/>
        <v/>
      </c>
      <c r="CQ756" s="873" t="str">
        <f t="shared" si="75"/>
        <v/>
      </c>
      <c r="CR756" s="873" t="str">
        <f t="shared" si="76"/>
        <v/>
      </c>
      <c r="CS756" s="873" t="str">
        <f t="shared" si="77"/>
        <v/>
      </c>
      <c r="CT756" s="873" t="str">
        <f t="shared" si="78"/>
        <v/>
      </c>
      <c r="CU756" s="873" t="str">
        <f t="shared" si="79"/>
        <v/>
      </c>
      <c r="CV756" s="873" t="str">
        <f t="shared" si="80"/>
        <v/>
      </c>
      <c r="CW756" s="873" t="str">
        <f t="shared" si="81"/>
        <v/>
      </c>
      <c r="CX756" s="873" t="str">
        <f t="shared" si="82"/>
        <v/>
      </c>
      <c r="CY756" s="873" t="str">
        <f t="shared" si="83"/>
        <v/>
      </c>
      <c r="CZ756" s="873" t="str">
        <f t="shared" si="84"/>
        <v/>
      </c>
      <c r="DA756" s="873" t="str">
        <f t="shared" si="85"/>
        <v/>
      </c>
      <c r="DB756" s="873" t="str">
        <f t="shared" si="86"/>
        <v/>
      </c>
      <c r="DC756" s="873" t="str">
        <f t="shared" si="87"/>
        <v/>
      </c>
      <c r="DD756" s="873" t="str">
        <f t="shared" si="88"/>
        <v/>
      </c>
      <c r="DE756" s="873">
        <f t="shared" si="89"/>
        <v>3</v>
      </c>
      <c r="DF756" s="873" t="str">
        <f t="shared" si="90"/>
        <v/>
      </c>
      <c r="DG756" s="873" t="str">
        <f t="shared" si="91"/>
        <v/>
      </c>
      <c r="DH756" s="873" t="str">
        <f t="shared" si="92"/>
        <v/>
      </c>
      <c r="DI756" s="873" t="str">
        <f t="shared" si="93"/>
        <v/>
      </c>
      <c r="DJ756" s="873" t="str">
        <f t="shared" si="94"/>
        <v/>
      </c>
      <c r="DK756" s="873" t="str">
        <f t="shared" si="95"/>
        <v/>
      </c>
      <c r="DL756" s="873" t="str">
        <f t="shared" si="96"/>
        <v/>
      </c>
      <c r="DM756" s="873" t="str">
        <f t="shared" si="97"/>
        <v/>
      </c>
      <c r="DN756" s="873" t="str">
        <f t="shared" si="98"/>
        <v/>
      </c>
      <c r="DO756" s="873" t="str">
        <f t="shared" si="99"/>
        <v/>
      </c>
      <c r="DP756" s="873" t="str">
        <f t="shared" si="100"/>
        <v/>
      </c>
      <c r="DQ756" s="873" t="str">
        <f t="shared" si="101"/>
        <v/>
      </c>
      <c r="DR756" s="873" t="str">
        <f t="shared" si="102"/>
        <v/>
      </c>
      <c r="DS756" s="873" t="str">
        <f t="shared" si="103"/>
        <v/>
      </c>
      <c r="DT756" s="873" t="str">
        <f t="shared" si="104"/>
        <v/>
      </c>
      <c r="DU756" s="873" t="str">
        <f t="shared" si="105"/>
        <v/>
      </c>
      <c r="DV756" s="873" t="str">
        <f t="shared" si="106"/>
        <v/>
      </c>
      <c r="DW756" s="873" t="str">
        <f t="shared" si="107"/>
        <v/>
      </c>
      <c r="DX756" s="873" t="str">
        <f t="shared" si="108"/>
        <v/>
      </c>
      <c r="DY756" s="873" t="str">
        <f t="shared" si="109"/>
        <v/>
      </c>
      <c r="DZ756" s="873" t="str">
        <f t="shared" si="110"/>
        <v/>
      </c>
      <c r="EA756" s="873" t="str">
        <f t="shared" si="111"/>
        <v/>
      </c>
      <c r="EB756" s="873" t="str">
        <f t="shared" si="112"/>
        <v/>
      </c>
      <c r="EC756" s="873" t="str">
        <f t="shared" si="113"/>
        <v/>
      </c>
      <c r="ED756" s="873" t="str">
        <f t="shared" si="114"/>
        <v/>
      </c>
      <c r="EE756" s="873" t="str">
        <f t="shared" si="115"/>
        <v/>
      </c>
      <c r="EF756" s="873" t="str">
        <f t="shared" si="116"/>
        <v/>
      </c>
      <c r="EG756" s="873" t="str">
        <f t="shared" si="117"/>
        <v/>
      </c>
      <c r="EH756" s="873" t="str">
        <f t="shared" si="118"/>
        <v/>
      </c>
      <c r="EI756" s="873" t="str">
        <f t="shared" si="119"/>
        <v/>
      </c>
      <c r="EJ756" s="873" t="str">
        <f t="shared" si="120"/>
        <v/>
      </c>
      <c r="EK756" s="873" t="str">
        <f t="shared" si="121"/>
        <v/>
      </c>
      <c r="EL756" s="873" t="str">
        <f t="shared" si="122"/>
        <v/>
      </c>
      <c r="EM756" s="873" t="str">
        <f t="shared" si="123"/>
        <v/>
      </c>
      <c r="EN756" s="873" t="str">
        <f t="shared" si="124"/>
        <v/>
      </c>
      <c r="EO756" s="873" t="str">
        <f t="shared" si="125"/>
        <v/>
      </c>
      <c r="EP756" s="873" t="str">
        <f t="shared" si="126"/>
        <v/>
      </c>
      <c r="EQ756" s="873" t="str">
        <f t="shared" si="127"/>
        <v/>
      </c>
      <c r="ER756" s="873" t="str">
        <f t="shared" si="128"/>
        <v/>
      </c>
      <c r="ES756" s="873" t="str">
        <f t="shared" si="129"/>
        <v/>
      </c>
      <c r="ET756" s="873" t="str">
        <f t="shared" si="130"/>
        <v/>
      </c>
      <c r="EU756" s="873" t="str">
        <f t="shared" si="131"/>
        <v/>
      </c>
      <c r="EV756" s="873" t="str">
        <f t="shared" si="132"/>
        <v/>
      </c>
      <c r="EW756" s="2288" t="str">
        <f t="shared" si="133"/>
        <v/>
      </c>
      <c r="EX756" s="2288">
        <f t="shared" si="134"/>
        <v>3</v>
      </c>
      <c r="EY756" s="2288" t="str">
        <f t="shared" si="135"/>
        <v/>
      </c>
      <c r="EZ756" s="2288" t="str">
        <f t="shared" si="136"/>
        <v/>
      </c>
      <c r="FA756" s="2288" t="str">
        <f t="shared" si="137"/>
        <v/>
      </c>
      <c r="FB756" s="2288" t="str">
        <f t="shared" si="138"/>
        <v/>
      </c>
      <c r="FC756" s="2288" t="str">
        <f t="shared" si="139"/>
        <v/>
      </c>
      <c r="FD756" s="2288" t="str">
        <f t="shared" si="140"/>
        <v/>
      </c>
      <c r="FE756" s="2288" t="str">
        <f t="shared" si="141"/>
        <v/>
      </c>
      <c r="FF756" s="2288" t="str">
        <f t="shared" si="142"/>
        <v/>
      </c>
      <c r="FG756" s="2288" t="str">
        <f t="shared" si="143"/>
        <v/>
      </c>
      <c r="FH756" s="2288" t="str">
        <f t="shared" si="144"/>
        <v/>
      </c>
      <c r="FI756" s="2288" t="str">
        <f t="shared" si="145"/>
        <v/>
      </c>
      <c r="FJ756" s="2288" t="str">
        <f t="shared" si="146"/>
        <v/>
      </c>
      <c r="FK756" s="2288" t="str">
        <f t="shared" si="147"/>
        <v/>
      </c>
      <c r="FL756" s="2288" t="str">
        <f t="shared" si="148"/>
        <v/>
      </c>
      <c r="FM756" s="2288" t="str">
        <f t="shared" si="149"/>
        <v/>
      </c>
      <c r="FN756" s="2288" t="str">
        <f t="shared" si="150"/>
        <v/>
      </c>
      <c r="FO756" s="2288" t="str">
        <f t="shared" si="151"/>
        <v/>
      </c>
      <c r="FP756" s="2288" t="str">
        <f t="shared" si="152"/>
        <v/>
      </c>
      <c r="FQ756" s="2288" t="str">
        <f t="shared" si="153"/>
        <v/>
      </c>
      <c r="FR756" s="2288" t="str">
        <f t="shared" si="154"/>
        <v/>
      </c>
      <c r="FS756" s="2288" t="str">
        <f t="shared" si="155"/>
        <v/>
      </c>
      <c r="FT756" s="2288" t="str">
        <f t="shared" si="156"/>
        <v/>
      </c>
      <c r="FU756" s="2288" t="str">
        <f t="shared" si="157"/>
        <v/>
      </c>
      <c r="FV756" s="2288" t="str">
        <f t="shared" si="158"/>
        <v/>
      </c>
      <c r="FW756" s="2288" t="str">
        <f t="shared" si="159"/>
        <v/>
      </c>
      <c r="FX756" s="2288" t="str">
        <f t="shared" si="160"/>
        <v/>
      </c>
      <c r="FY756" s="2288" t="str">
        <f t="shared" si="161"/>
        <v/>
      </c>
      <c r="FZ756" s="2288" t="str">
        <f t="shared" si="162"/>
        <v/>
      </c>
      <c r="GA756" s="2288" t="str">
        <f t="shared" si="163"/>
        <v/>
      </c>
      <c r="GB756" s="2288" t="str">
        <f t="shared" si="164"/>
        <v/>
      </c>
      <c r="GC756" s="2288" t="str">
        <f t="shared" si="165"/>
        <v/>
      </c>
      <c r="GD756" s="2288" t="str">
        <f t="shared" si="166"/>
        <v/>
      </c>
      <c r="GE756" s="2288" t="str">
        <f t="shared" si="167"/>
        <v/>
      </c>
      <c r="GF756" s="2288" t="str">
        <f t="shared" si="168"/>
        <v/>
      </c>
      <c r="GG756" s="2288" t="str">
        <f t="shared" si="169"/>
        <v/>
      </c>
      <c r="GH756" s="2288" t="str">
        <f t="shared" si="170"/>
        <v/>
      </c>
      <c r="GI756" s="2288" t="str">
        <f t="shared" si="171"/>
        <v/>
      </c>
      <c r="GJ756" s="2288" t="str">
        <f t="shared" si="172"/>
        <v/>
      </c>
      <c r="GK756" s="2288" t="str">
        <f t="shared" si="173"/>
        <v/>
      </c>
      <c r="GL756" s="2288" t="str">
        <f t="shared" si="174"/>
        <v/>
      </c>
      <c r="GM756" s="2288" t="str">
        <f t="shared" si="175"/>
        <v/>
      </c>
      <c r="GN756" s="2288" t="str">
        <f t="shared" si="176"/>
        <v/>
      </c>
      <c r="GO756" s="2288" t="str">
        <f t="shared" si="177"/>
        <v/>
      </c>
      <c r="GP756" s="2288" t="str">
        <f t="shared" si="178"/>
        <v/>
      </c>
      <c r="GQ756" s="2288" t="str">
        <f t="shared" si="179"/>
        <v/>
      </c>
      <c r="GR756" s="2288" t="str">
        <f t="shared" si="180"/>
        <v/>
      </c>
      <c r="GS756" s="2288" t="str">
        <f t="shared" si="181"/>
        <v/>
      </c>
      <c r="GT756" s="2288" t="str">
        <f t="shared" si="182"/>
        <v/>
      </c>
      <c r="GU756" s="2288" t="str">
        <f t="shared" si="183"/>
        <v/>
      </c>
      <c r="GV756" s="2288" t="str">
        <f t="shared" si="184"/>
        <v/>
      </c>
      <c r="GW756" s="2288" t="str">
        <f t="shared" si="185"/>
        <v/>
      </c>
      <c r="GX756" s="2288" t="str">
        <f t="shared" si="186"/>
        <v/>
      </c>
      <c r="GY756" s="2288" t="str">
        <f t="shared" si="187"/>
        <v/>
      </c>
      <c r="GZ756" s="2288" t="str">
        <f t="shared" si="188"/>
        <v/>
      </c>
      <c r="HA756" s="2288" t="str">
        <f t="shared" si="189"/>
        <v/>
      </c>
      <c r="HB756" s="2288" t="str">
        <f t="shared" si="190"/>
        <v/>
      </c>
      <c r="HC756" s="2288" t="str">
        <f t="shared" si="191"/>
        <v/>
      </c>
      <c r="HD756" s="2288" t="str">
        <f t="shared" si="192"/>
        <v/>
      </c>
      <c r="HE756" s="2288" t="str">
        <f t="shared" si="193"/>
        <v/>
      </c>
      <c r="HF756" s="2288" t="str">
        <f t="shared" si="194"/>
        <v/>
      </c>
      <c r="HG756" s="2288" t="str">
        <f t="shared" si="195"/>
        <v/>
      </c>
      <c r="HH756" s="2288" t="str">
        <f t="shared" si="196"/>
        <v/>
      </c>
      <c r="HI756" s="2288" t="str">
        <f t="shared" si="197"/>
        <v/>
      </c>
      <c r="HJ756" s="2288" t="str">
        <f t="shared" si="198"/>
        <v/>
      </c>
      <c r="HK756" s="2288">
        <f t="shared" si="199"/>
        <v>3</v>
      </c>
      <c r="HL756" s="2288" t="str">
        <f t="shared" si="200"/>
        <v/>
      </c>
      <c r="HM756" s="2288" t="str">
        <f t="shared" si="201"/>
        <v/>
      </c>
      <c r="HN756" s="2288" t="str">
        <f t="shared" si="202"/>
        <v/>
      </c>
      <c r="HO756" s="2288" t="str">
        <f t="shared" si="203"/>
        <v/>
      </c>
      <c r="HP756" s="2288" t="str">
        <f t="shared" si="204"/>
        <v/>
      </c>
      <c r="HQ756" s="2288" t="str">
        <f t="shared" si="205"/>
        <v/>
      </c>
      <c r="HR756" s="2288" t="str">
        <f t="shared" si="206"/>
        <v/>
      </c>
      <c r="HS756" s="2288" t="str">
        <f t="shared" si="207"/>
        <v/>
      </c>
      <c r="HT756" s="2288" t="str">
        <f t="shared" si="208"/>
        <v/>
      </c>
      <c r="HU756" s="2288" t="str">
        <f t="shared" si="209"/>
        <v/>
      </c>
      <c r="HV756" s="2288" t="str">
        <f t="shared" si="210"/>
        <v/>
      </c>
      <c r="HW756" s="2288" t="str">
        <f t="shared" si="211"/>
        <v/>
      </c>
      <c r="HX756" s="2288" t="str">
        <f t="shared" si="212"/>
        <v/>
      </c>
      <c r="HY756" s="2288" t="str">
        <f t="shared" si="213"/>
        <v/>
      </c>
      <c r="HZ756" s="2288" t="str">
        <f t="shared" si="214"/>
        <v/>
      </c>
      <c r="IA756" s="2288" t="str">
        <f t="shared" si="215"/>
        <v/>
      </c>
      <c r="IB756" s="2288" t="str">
        <f t="shared" si="216"/>
        <v/>
      </c>
      <c r="IC756" s="2288" t="str">
        <f t="shared" si="217"/>
        <v/>
      </c>
      <c r="ID756" s="2255" t="str">
        <f t="shared" si="218"/>
        <v/>
      </c>
      <c r="IE756" s="2255" t="str">
        <f t="shared" si="219"/>
        <v/>
      </c>
      <c r="IF756" s="2255" t="str">
        <f t="shared" si="220"/>
        <v/>
      </c>
      <c r="IG756" s="2255" t="str">
        <f t="shared" si="221"/>
        <v/>
      </c>
      <c r="IH756" s="2255" t="str">
        <f t="shared" si="222"/>
        <v/>
      </c>
      <c r="II756" s="873" t="str">
        <f t="shared" si="223"/>
        <v/>
      </c>
      <c r="IJ756" s="873" t="str">
        <f t="shared" si="224"/>
        <v/>
      </c>
      <c r="IK756" s="873" t="str">
        <f t="shared" si="225"/>
        <v/>
      </c>
      <c r="IL756" s="873" t="str">
        <f t="shared" si="226"/>
        <v/>
      </c>
      <c r="IM756" s="873" t="str">
        <f t="shared" si="227"/>
        <v/>
      </c>
      <c r="IN756" s="873" t="str">
        <f t="shared" si="228"/>
        <v/>
      </c>
      <c r="IO756" s="873" t="str">
        <f t="shared" si="229"/>
        <v/>
      </c>
      <c r="IP756" s="873" t="str">
        <f t="shared" si="230"/>
        <v/>
      </c>
      <c r="IQ756" s="873" t="str">
        <f t="shared" si="231"/>
        <v/>
      </c>
      <c r="IR756" s="873" t="str">
        <f t="shared" si="232"/>
        <v/>
      </c>
      <c r="IS756" s="873" t="str">
        <f t="shared" si="233"/>
        <v/>
      </c>
      <c r="IT756" s="873" t="str">
        <f t="shared" si="234"/>
        <v/>
      </c>
      <c r="IU756" s="873" t="str">
        <f t="shared" si="235"/>
        <v/>
      </c>
      <c r="IV756" s="873" t="str">
        <f t="shared" si="236"/>
        <v/>
      </c>
      <c r="IW756" s="873" t="str">
        <f t="shared" si="237"/>
        <v/>
      </c>
      <c r="IX756" s="873" t="str">
        <f t="shared" si="238"/>
        <v/>
      </c>
      <c r="IY756" s="873" t="str">
        <f t="shared" si="239"/>
        <v/>
      </c>
      <c r="IZ756" s="873" t="str">
        <f t="shared" si="240"/>
        <v/>
      </c>
      <c r="JA756" s="873" t="str">
        <f t="shared" si="241"/>
        <v/>
      </c>
      <c r="JB756" s="873" t="str">
        <f t="shared" si="242"/>
        <v/>
      </c>
      <c r="JC756" s="2253">
        <f t="shared" si="243"/>
        <v>0</v>
      </c>
      <c r="JD756" s="2253">
        <f t="shared" si="244"/>
        <v>0</v>
      </c>
      <c r="JE756" s="2253">
        <f t="shared" si="245"/>
        <v>0</v>
      </c>
      <c r="JF756" s="2253">
        <f t="shared" si="246"/>
        <v>0</v>
      </c>
      <c r="JG756" s="2253">
        <f t="shared" si="247"/>
        <v>0</v>
      </c>
      <c r="JH756" s="2253">
        <f t="shared" si="248"/>
        <v>0</v>
      </c>
      <c r="JI756" s="2253">
        <f t="shared" si="249"/>
        <v>3</v>
      </c>
      <c r="JJ756" s="2253">
        <f t="shared" si="250"/>
        <v>0</v>
      </c>
      <c r="JK756" s="2253">
        <f t="shared" si="251"/>
        <v>0</v>
      </c>
      <c r="JL756" s="2253">
        <f t="shared" si="252"/>
        <v>0</v>
      </c>
      <c r="JM756" s="2253">
        <f t="shared" si="253"/>
        <v>0</v>
      </c>
      <c r="JN756" s="2253">
        <f t="shared" si="254"/>
        <v>0</v>
      </c>
      <c r="JO756" s="2253">
        <f t="shared" si="255"/>
        <v>0</v>
      </c>
      <c r="JP756" s="2253">
        <f t="shared" si="256"/>
        <v>0</v>
      </c>
      <c r="JQ756" s="2253">
        <f t="shared" si="257"/>
        <v>0</v>
      </c>
    </row>
    <row r="757" spans="1:277" ht="12" customHeight="1">
      <c r="A757" s="2258" t="str">
        <f t="shared" si="0"/>
        <v/>
      </c>
      <c r="B757" s="2279" t="str">
        <f>'Part VI-Revenues &amp; Expenses'!B14</f>
        <v>60% AMI</v>
      </c>
      <c r="C757" s="2280">
        <f>'Part VI-Revenues &amp; Expenses'!C14</f>
        <v>2</v>
      </c>
      <c r="D757" s="2281">
        <f>'Part VI-Revenues &amp; Expenses'!D14</f>
        <v>2</v>
      </c>
      <c r="E757" s="2282">
        <f>'Part VI-Revenues &amp; Expenses'!E14</f>
        <v>32</v>
      </c>
      <c r="F757" s="2282">
        <f>'Part VI-Revenues &amp; Expenses'!F14</f>
        <v>1083</v>
      </c>
      <c r="G757" s="2282">
        <f>'Part VI-Revenues &amp; Expenses'!G14</f>
        <v>778</v>
      </c>
      <c r="H757" s="2282">
        <f>'Part VI-Revenues &amp; Expenses'!H14</f>
        <v>707</v>
      </c>
      <c r="I757" s="2282">
        <f>'Part VI-Revenues &amp; Expenses'!I14</f>
        <v>157</v>
      </c>
      <c r="J757" s="2283">
        <f>'Part VI-Revenues &amp; Expenses'!J14</f>
        <v>0</v>
      </c>
      <c r="K757" s="2284">
        <f t="shared" si="1"/>
        <v>550</v>
      </c>
      <c r="L757" s="2284">
        <f t="shared" si="2"/>
        <v>17600</v>
      </c>
      <c r="M757" s="2285" t="str">
        <f>'Part VI-Revenues &amp; Expenses'!M14</f>
        <v>No</v>
      </c>
      <c r="N757" s="2285" t="str">
        <f>'Part VI-Revenues &amp; Expenses'!N14</f>
        <v>2-Story Walkup</v>
      </c>
      <c r="O757" s="2285" t="str">
        <f>'Part VI-Revenues &amp; Expenses'!O14</f>
        <v>New Construction</v>
      </c>
      <c r="P757" s="2262" t="str">
        <f>'Part VI-Revenues &amp; Expenses'!P14</f>
        <v>No</v>
      </c>
      <c r="Q757" s="2286">
        <f>'Part VI-Revenues &amp; Expenses'!Q14</f>
        <v>28280</v>
      </c>
      <c r="R757" s="2287">
        <f>'Part VI-Revenues &amp; Expenses'!R14</f>
        <v>0.48046211348963641</v>
      </c>
      <c r="S757" s="2286">
        <f>'Part VI-Revenues &amp; Expenses'!S14</f>
        <v>0</v>
      </c>
      <c r="T757" s="2287">
        <f>'Part VI-Revenues &amp; Expenses'!T14</f>
        <v>0</v>
      </c>
      <c r="U757" s="2176"/>
      <c r="V757" s="2176"/>
      <c r="W757" s="873" t="str">
        <f t="shared" si="3"/>
        <v/>
      </c>
      <c r="X757" s="873" t="str">
        <f t="shared" si="4"/>
        <v/>
      </c>
      <c r="Y757" s="873">
        <f t="shared" si="5"/>
        <v>32</v>
      </c>
      <c r="Z757" s="873" t="str">
        <f t="shared" si="6"/>
        <v/>
      </c>
      <c r="AA757" s="873" t="str">
        <f t="shared" si="7"/>
        <v/>
      </c>
      <c r="AB757" s="873" t="str">
        <f t="shared" si="8"/>
        <v/>
      </c>
      <c r="AC757" s="873" t="str">
        <f t="shared" si="9"/>
        <v/>
      </c>
      <c r="AD757" s="873" t="str">
        <f t="shared" si="10"/>
        <v/>
      </c>
      <c r="AE757" s="873" t="str">
        <f t="shared" si="11"/>
        <v/>
      </c>
      <c r="AF757" s="873" t="str">
        <f t="shared" si="12"/>
        <v/>
      </c>
      <c r="AG757" s="873" t="str">
        <f t="shared" si="13"/>
        <v/>
      </c>
      <c r="AH757" s="873" t="str">
        <f t="shared" si="14"/>
        <v/>
      </c>
      <c r="AI757" s="873" t="str">
        <f t="shared" si="15"/>
        <v/>
      </c>
      <c r="AJ757" s="873" t="str">
        <f t="shared" si="16"/>
        <v/>
      </c>
      <c r="AK757" s="873" t="str">
        <f t="shared" si="17"/>
        <v/>
      </c>
      <c r="AL757" s="873" t="str">
        <f t="shared" si="18"/>
        <v/>
      </c>
      <c r="AM757" s="873" t="str">
        <f t="shared" si="19"/>
        <v/>
      </c>
      <c r="AN757" s="873" t="str">
        <f t="shared" si="20"/>
        <v/>
      </c>
      <c r="AO757" s="873" t="str">
        <f t="shared" si="21"/>
        <v/>
      </c>
      <c r="AP757" s="873" t="str">
        <f t="shared" si="22"/>
        <v/>
      </c>
      <c r="AQ757" s="873" t="str">
        <f t="shared" si="23"/>
        <v/>
      </c>
      <c r="AR757" s="873" t="str">
        <f t="shared" si="24"/>
        <v/>
      </c>
      <c r="AS757" s="873" t="str">
        <f t="shared" si="25"/>
        <v/>
      </c>
      <c r="AT757" s="873" t="str">
        <f t="shared" si="26"/>
        <v/>
      </c>
      <c r="AU757" s="873" t="str">
        <f t="shared" si="27"/>
        <v/>
      </c>
      <c r="AV757" s="873" t="str">
        <f t="shared" si="28"/>
        <v/>
      </c>
      <c r="AW757" s="873" t="str">
        <f t="shared" si="29"/>
        <v/>
      </c>
      <c r="AX757" s="873" t="str">
        <f t="shared" si="30"/>
        <v/>
      </c>
      <c r="AY757" s="873" t="str">
        <f t="shared" si="31"/>
        <v/>
      </c>
      <c r="AZ757" s="873" t="str">
        <f t="shared" si="32"/>
        <v/>
      </c>
      <c r="BA757" s="873" t="str">
        <f t="shared" si="33"/>
        <v/>
      </c>
      <c r="BB757" s="873" t="str">
        <f t="shared" si="34"/>
        <v/>
      </c>
      <c r="BC757" s="873" t="str">
        <f t="shared" si="35"/>
        <v/>
      </c>
      <c r="BD757" s="873" t="str">
        <f t="shared" si="36"/>
        <v/>
      </c>
      <c r="BE757" s="873" t="str">
        <f t="shared" si="37"/>
        <v/>
      </c>
      <c r="BF757" s="873" t="str">
        <f t="shared" si="38"/>
        <v/>
      </c>
      <c r="BG757" s="873" t="str">
        <f t="shared" si="39"/>
        <v/>
      </c>
      <c r="BH757" s="873" t="str">
        <f t="shared" si="40"/>
        <v/>
      </c>
      <c r="BI757" s="873" t="str">
        <f t="shared" si="41"/>
        <v/>
      </c>
      <c r="BJ757" s="873" t="str">
        <f t="shared" si="42"/>
        <v/>
      </c>
      <c r="BK757" s="873" t="str">
        <f t="shared" si="43"/>
        <v/>
      </c>
      <c r="BL757" s="873" t="str">
        <f t="shared" si="44"/>
        <v/>
      </c>
      <c r="BM757" s="873" t="str">
        <f t="shared" si="45"/>
        <v/>
      </c>
      <c r="BN757" s="873" t="str">
        <f t="shared" si="46"/>
        <v/>
      </c>
      <c r="BO757" s="873" t="str">
        <f t="shared" si="47"/>
        <v/>
      </c>
      <c r="BP757" s="873" t="str">
        <f t="shared" si="48"/>
        <v/>
      </c>
      <c r="BQ757" s="873" t="str">
        <f t="shared" si="49"/>
        <v/>
      </c>
      <c r="BR757" s="873" t="str">
        <f t="shared" si="50"/>
        <v/>
      </c>
      <c r="BS757" s="873" t="str">
        <f t="shared" si="51"/>
        <v/>
      </c>
      <c r="BT757" s="873" t="str">
        <f t="shared" si="52"/>
        <v/>
      </c>
      <c r="BU757" s="873" t="str">
        <f t="shared" si="53"/>
        <v/>
      </c>
      <c r="BV757" s="873" t="str">
        <f t="shared" si="54"/>
        <v/>
      </c>
      <c r="BW757" s="873" t="str">
        <f t="shared" si="55"/>
        <v/>
      </c>
      <c r="BX757" s="873" t="str">
        <f t="shared" si="56"/>
        <v/>
      </c>
      <c r="BY757" s="873" t="str">
        <f t="shared" si="57"/>
        <v/>
      </c>
      <c r="BZ757" s="873" t="str">
        <f t="shared" si="58"/>
        <v/>
      </c>
      <c r="CA757" s="873" t="str">
        <f t="shared" si="59"/>
        <v/>
      </c>
      <c r="CB757" s="873">
        <f t="shared" si="60"/>
        <v>34656</v>
      </c>
      <c r="CC757" s="873" t="str">
        <f t="shared" si="61"/>
        <v/>
      </c>
      <c r="CD757" s="873" t="str">
        <f t="shared" si="62"/>
        <v/>
      </c>
      <c r="CE757" s="873" t="str">
        <f t="shared" si="63"/>
        <v/>
      </c>
      <c r="CF757" s="873" t="str">
        <f t="shared" si="64"/>
        <v/>
      </c>
      <c r="CG757" s="873" t="str">
        <f t="shared" si="65"/>
        <v/>
      </c>
      <c r="CH757" s="873" t="str">
        <f t="shared" si="66"/>
        <v/>
      </c>
      <c r="CI757" s="873" t="str">
        <f t="shared" si="67"/>
        <v/>
      </c>
      <c r="CJ757" s="873" t="str">
        <f t="shared" si="68"/>
        <v/>
      </c>
      <c r="CK757" s="873" t="str">
        <f t="shared" si="69"/>
        <v/>
      </c>
      <c r="CL757" s="873" t="str">
        <f t="shared" si="70"/>
        <v/>
      </c>
      <c r="CM757" s="873" t="str">
        <f t="shared" si="71"/>
        <v/>
      </c>
      <c r="CN757" s="873" t="str">
        <f t="shared" si="72"/>
        <v/>
      </c>
      <c r="CO757" s="873" t="str">
        <f t="shared" si="73"/>
        <v/>
      </c>
      <c r="CP757" s="873" t="str">
        <f t="shared" si="74"/>
        <v/>
      </c>
      <c r="CQ757" s="873" t="str">
        <f t="shared" si="75"/>
        <v/>
      </c>
      <c r="CR757" s="873" t="str">
        <f t="shared" si="76"/>
        <v/>
      </c>
      <c r="CS757" s="873" t="str">
        <f t="shared" si="77"/>
        <v/>
      </c>
      <c r="CT757" s="873" t="str">
        <f t="shared" si="78"/>
        <v/>
      </c>
      <c r="CU757" s="873" t="str">
        <f t="shared" si="79"/>
        <v/>
      </c>
      <c r="CV757" s="873" t="str">
        <f t="shared" si="80"/>
        <v/>
      </c>
      <c r="CW757" s="873" t="str">
        <f t="shared" si="81"/>
        <v/>
      </c>
      <c r="CX757" s="873" t="str">
        <f t="shared" si="82"/>
        <v/>
      </c>
      <c r="CY757" s="873" t="str">
        <f t="shared" si="83"/>
        <v/>
      </c>
      <c r="CZ757" s="873" t="str">
        <f t="shared" si="84"/>
        <v/>
      </c>
      <c r="DA757" s="873" t="str">
        <f t="shared" si="85"/>
        <v/>
      </c>
      <c r="DB757" s="873" t="str">
        <f t="shared" si="86"/>
        <v/>
      </c>
      <c r="DC757" s="873" t="str">
        <f t="shared" si="87"/>
        <v/>
      </c>
      <c r="DD757" s="873" t="str">
        <f t="shared" si="88"/>
        <v/>
      </c>
      <c r="DE757" s="873" t="str">
        <f t="shared" si="89"/>
        <v/>
      </c>
      <c r="DF757" s="873">
        <f t="shared" si="90"/>
        <v>32</v>
      </c>
      <c r="DG757" s="873" t="str">
        <f t="shared" si="91"/>
        <v/>
      </c>
      <c r="DH757" s="873" t="str">
        <f t="shared" si="92"/>
        <v/>
      </c>
      <c r="DI757" s="873" t="str">
        <f t="shared" si="93"/>
        <v/>
      </c>
      <c r="DJ757" s="873" t="str">
        <f t="shared" si="94"/>
        <v/>
      </c>
      <c r="DK757" s="873" t="str">
        <f t="shared" si="95"/>
        <v/>
      </c>
      <c r="DL757" s="873" t="str">
        <f t="shared" si="96"/>
        <v/>
      </c>
      <c r="DM757" s="873" t="str">
        <f t="shared" si="97"/>
        <v/>
      </c>
      <c r="DN757" s="873" t="str">
        <f t="shared" si="98"/>
        <v/>
      </c>
      <c r="DO757" s="873" t="str">
        <f t="shared" si="99"/>
        <v/>
      </c>
      <c r="DP757" s="873" t="str">
        <f t="shared" si="100"/>
        <v/>
      </c>
      <c r="DQ757" s="873" t="str">
        <f t="shared" si="101"/>
        <v/>
      </c>
      <c r="DR757" s="873" t="str">
        <f t="shared" si="102"/>
        <v/>
      </c>
      <c r="DS757" s="873" t="str">
        <f t="shared" si="103"/>
        <v/>
      </c>
      <c r="DT757" s="873" t="str">
        <f t="shared" si="104"/>
        <v/>
      </c>
      <c r="DU757" s="873" t="str">
        <f t="shared" si="105"/>
        <v/>
      </c>
      <c r="DV757" s="873" t="str">
        <f t="shared" si="106"/>
        <v/>
      </c>
      <c r="DW757" s="873" t="str">
        <f t="shared" si="107"/>
        <v/>
      </c>
      <c r="DX757" s="873" t="str">
        <f t="shared" si="108"/>
        <v/>
      </c>
      <c r="DY757" s="873" t="str">
        <f t="shared" si="109"/>
        <v/>
      </c>
      <c r="DZ757" s="873" t="str">
        <f t="shared" si="110"/>
        <v/>
      </c>
      <c r="EA757" s="873" t="str">
        <f t="shared" si="111"/>
        <v/>
      </c>
      <c r="EB757" s="873" t="str">
        <f t="shared" si="112"/>
        <v/>
      </c>
      <c r="EC757" s="873" t="str">
        <f t="shared" si="113"/>
        <v/>
      </c>
      <c r="ED757" s="873" t="str">
        <f t="shared" si="114"/>
        <v/>
      </c>
      <c r="EE757" s="873" t="str">
        <f t="shared" si="115"/>
        <v/>
      </c>
      <c r="EF757" s="873" t="str">
        <f t="shared" si="116"/>
        <v/>
      </c>
      <c r="EG757" s="873" t="str">
        <f t="shared" si="117"/>
        <v/>
      </c>
      <c r="EH757" s="873" t="str">
        <f t="shared" si="118"/>
        <v/>
      </c>
      <c r="EI757" s="873" t="str">
        <f t="shared" si="119"/>
        <v/>
      </c>
      <c r="EJ757" s="873" t="str">
        <f t="shared" si="120"/>
        <v/>
      </c>
      <c r="EK757" s="873" t="str">
        <f t="shared" si="121"/>
        <v/>
      </c>
      <c r="EL757" s="873" t="str">
        <f t="shared" si="122"/>
        <v/>
      </c>
      <c r="EM757" s="873" t="str">
        <f t="shared" si="123"/>
        <v/>
      </c>
      <c r="EN757" s="873" t="str">
        <f t="shared" si="124"/>
        <v/>
      </c>
      <c r="EO757" s="873" t="str">
        <f t="shared" si="125"/>
        <v/>
      </c>
      <c r="EP757" s="873" t="str">
        <f t="shared" si="126"/>
        <v/>
      </c>
      <c r="EQ757" s="873" t="str">
        <f t="shared" si="127"/>
        <v/>
      </c>
      <c r="ER757" s="873" t="str">
        <f t="shared" si="128"/>
        <v/>
      </c>
      <c r="ES757" s="873" t="str">
        <f t="shared" si="129"/>
        <v/>
      </c>
      <c r="ET757" s="873" t="str">
        <f t="shared" si="130"/>
        <v/>
      </c>
      <c r="EU757" s="873" t="str">
        <f t="shared" si="131"/>
        <v/>
      </c>
      <c r="EV757" s="873" t="str">
        <f t="shared" si="132"/>
        <v/>
      </c>
      <c r="EW757" s="2288" t="str">
        <f t="shared" si="133"/>
        <v/>
      </c>
      <c r="EX757" s="2288" t="str">
        <f t="shared" si="134"/>
        <v/>
      </c>
      <c r="EY757" s="2288">
        <f t="shared" si="135"/>
        <v>32</v>
      </c>
      <c r="EZ757" s="2288" t="str">
        <f t="shared" si="136"/>
        <v/>
      </c>
      <c r="FA757" s="2288" t="str">
        <f t="shared" si="137"/>
        <v/>
      </c>
      <c r="FB757" s="2288" t="str">
        <f t="shared" si="138"/>
        <v/>
      </c>
      <c r="FC757" s="2288" t="str">
        <f t="shared" si="139"/>
        <v/>
      </c>
      <c r="FD757" s="2288" t="str">
        <f t="shared" si="140"/>
        <v/>
      </c>
      <c r="FE757" s="2288" t="str">
        <f t="shared" si="141"/>
        <v/>
      </c>
      <c r="FF757" s="2288" t="str">
        <f t="shared" si="142"/>
        <v/>
      </c>
      <c r="FG757" s="2288" t="str">
        <f t="shared" si="143"/>
        <v/>
      </c>
      <c r="FH757" s="2288" t="str">
        <f t="shared" si="144"/>
        <v/>
      </c>
      <c r="FI757" s="2288" t="str">
        <f t="shared" si="145"/>
        <v/>
      </c>
      <c r="FJ757" s="2288" t="str">
        <f t="shared" si="146"/>
        <v/>
      </c>
      <c r="FK757" s="2288" t="str">
        <f t="shared" si="147"/>
        <v/>
      </c>
      <c r="FL757" s="2288" t="str">
        <f t="shared" si="148"/>
        <v/>
      </c>
      <c r="FM757" s="2288" t="str">
        <f t="shared" si="149"/>
        <v/>
      </c>
      <c r="FN757" s="2288" t="str">
        <f t="shared" si="150"/>
        <v/>
      </c>
      <c r="FO757" s="2288" t="str">
        <f t="shared" si="151"/>
        <v/>
      </c>
      <c r="FP757" s="2288" t="str">
        <f t="shared" si="152"/>
        <v/>
      </c>
      <c r="FQ757" s="2288" t="str">
        <f t="shared" si="153"/>
        <v/>
      </c>
      <c r="FR757" s="2288" t="str">
        <f t="shared" si="154"/>
        <v/>
      </c>
      <c r="FS757" s="2288" t="str">
        <f t="shared" si="155"/>
        <v/>
      </c>
      <c r="FT757" s="2288" t="str">
        <f t="shared" si="156"/>
        <v/>
      </c>
      <c r="FU757" s="2288" t="str">
        <f t="shared" si="157"/>
        <v/>
      </c>
      <c r="FV757" s="2288" t="str">
        <f t="shared" si="158"/>
        <v/>
      </c>
      <c r="FW757" s="2288" t="str">
        <f t="shared" si="159"/>
        <v/>
      </c>
      <c r="FX757" s="2288" t="str">
        <f t="shared" si="160"/>
        <v/>
      </c>
      <c r="FY757" s="2288" t="str">
        <f t="shared" si="161"/>
        <v/>
      </c>
      <c r="FZ757" s="2288" t="str">
        <f t="shared" si="162"/>
        <v/>
      </c>
      <c r="GA757" s="2288" t="str">
        <f t="shared" si="163"/>
        <v/>
      </c>
      <c r="GB757" s="2288" t="str">
        <f t="shared" si="164"/>
        <v/>
      </c>
      <c r="GC757" s="2288" t="str">
        <f t="shared" si="165"/>
        <v/>
      </c>
      <c r="GD757" s="2288" t="str">
        <f t="shared" si="166"/>
        <v/>
      </c>
      <c r="GE757" s="2288" t="str">
        <f t="shared" si="167"/>
        <v/>
      </c>
      <c r="GF757" s="2288" t="str">
        <f t="shared" si="168"/>
        <v/>
      </c>
      <c r="GG757" s="2288" t="str">
        <f t="shared" si="169"/>
        <v/>
      </c>
      <c r="GH757" s="2288" t="str">
        <f t="shared" si="170"/>
        <v/>
      </c>
      <c r="GI757" s="2288" t="str">
        <f t="shared" si="171"/>
        <v/>
      </c>
      <c r="GJ757" s="2288" t="str">
        <f t="shared" si="172"/>
        <v/>
      </c>
      <c r="GK757" s="2288" t="str">
        <f t="shared" si="173"/>
        <v/>
      </c>
      <c r="GL757" s="2288" t="str">
        <f t="shared" si="174"/>
        <v/>
      </c>
      <c r="GM757" s="2288" t="str">
        <f t="shared" si="175"/>
        <v/>
      </c>
      <c r="GN757" s="2288" t="str">
        <f t="shared" si="176"/>
        <v/>
      </c>
      <c r="GO757" s="2288" t="str">
        <f t="shared" si="177"/>
        <v/>
      </c>
      <c r="GP757" s="2288" t="str">
        <f t="shared" si="178"/>
        <v/>
      </c>
      <c r="GQ757" s="2288" t="str">
        <f t="shared" si="179"/>
        <v/>
      </c>
      <c r="GR757" s="2288" t="str">
        <f t="shared" si="180"/>
        <v/>
      </c>
      <c r="GS757" s="2288" t="str">
        <f t="shared" si="181"/>
        <v/>
      </c>
      <c r="GT757" s="2288" t="str">
        <f t="shared" si="182"/>
        <v/>
      </c>
      <c r="GU757" s="2288" t="str">
        <f t="shared" si="183"/>
        <v/>
      </c>
      <c r="GV757" s="2288" t="str">
        <f t="shared" si="184"/>
        <v/>
      </c>
      <c r="GW757" s="2288" t="str">
        <f t="shared" si="185"/>
        <v/>
      </c>
      <c r="GX757" s="2288" t="str">
        <f t="shared" si="186"/>
        <v/>
      </c>
      <c r="GY757" s="2288" t="str">
        <f t="shared" si="187"/>
        <v/>
      </c>
      <c r="GZ757" s="2288" t="str">
        <f t="shared" si="188"/>
        <v/>
      </c>
      <c r="HA757" s="2288" t="str">
        <f t="shared" si="189"/>
        <v/>
      </c>
      <c r="HB757" s="2288" t="str">
        <f t="shared" si="190"/>
        <v/>
      </c>
      <c r="HC757" s="2288" t="str">
        <f t="shared" si="191"/>
        <v/>
      </c>
      <c r="HD757" s="2288" t="str">
        <f t="shared" si="192"/>
        <v/>
      </c>
      <c r="HE757" s="2288" t="str">
        <f t="shared" si="193"/>
        <v/>
      </c>
      <c r="HF757" s="2288" t="str">
        <f t="shared" si="194"/>
        <v/>
      </c>
      <c r="HG757" s="2288" t="str">
        <f t="shared" si="195"/>
        <v/>
      </c>
      <c r="HH757" s="2288" t="str">
        <f t="shared" si="196"/>
        <v/>
      </c>
      <c r="HI757" s="2288" t="str">
        <f t="shared" si="197"/>
        <v/>
      </c>
      <c r="HJ757" s="2288" t="str">
        <f t="shared" si="198"/>
        <v/>
      </c>
      <c r="HK757" s="2288" t="str">
        <f t="shared" si="199"/>
        <v/>
      </c>
      <c r="HL757" s="2288">
        <f t="shared" si="200"/>
        <v>32</v>
      </c>
      <c r="HM757" s="2288" t="str">
        <f t="shared" si="201"/>
        <v/>
      </c>
      <c r="HN757" s="2288" t="str">
        <f t="shared" si="202"/>
        <v/>
      </c>
      <c r="HO757" s="2288" t="str">
        <f t="shared" si="203"/>
        <v/>
      </c>
      <c r="HP757" s="2288" t="str">
        <f t="shared" si="204"/>
        <v/>
      </c>
      <c r="HQ757" s="2288" t="str">
        <f t="shared" si="205"/>
        <v/>
      </c>
      <c r="HR757" s="2288" t="str">
        <f t="shared" si="206"/>
        <v/>
      </c>
      <c r="HS757" s="2288" t="str">
        <f t="shared" si="207"/>
        <v/>
      </c>
      <c r="HT757" s="2288" t="str">
        <f t="shared" si="208"/>
        <v/>
      </c>
      <c r="HU757" s="2288" t="str">
        <f t="shared" si="209"/>
        <v/>
      </c>
      <c r="HV757" s="2288" t="str">
        <f t="shared" si="210"/>
        <v/>
      </c>
      <c r="HW757" s="2288" t="str">
        <f t="shared" si="211"/>
        <v/>
      </c>
      <c r="HX757" s="2288" t="str">
        <f t="shared" si="212"/>
        <v/>
      </c>
      <c r="HY757" s="2288" t="str">
        <f t="shared" si="213"/>
        <v/>
      </c>
      <c r="HZ757" s="2288" t="str">
        <f t="shared" si="214"/>
        <v/>
      </c>
      <c r="IA757" s="2288" t="str">
        <f t="shared" si="215"/>
        <v/>
      </c>
      <c r="IB757" s="2288" t="str">
        <f t="shared" si="216"/>
        <v/>
      </c>
      <c r="IC757" s="2288" t="str">
        <f t="shared" si="217"/>
        <v/>
      </c>
      <c r="ID757" s="2255" t="str">
        <f t="shared" si="218"/>
        <v/>
      </c>
      <c r="IE757" s="2255" t="str">
        <f t="shared" si="219"/>
        <v/>
      </c>
      <c r="IF757" s="2255" t="str">
        <f t="shared" si="220"/>
        <v/>
      </c>
      <c r="IG757" s="2255" t="str">
        <f t="shared" si="221"/>
        <v/>
      </c>
      <c r="IH757" s="2255" t="str">
        <f t="shared" si="222"/>
        <v/>
      </c>
      <c r="II757" s="873" t="str">
        <f t="shared" si="223"/>
        <v/>
      </c>
      <c r="IJ757" s="873" t="str">
        <f t="shared" si="224"/>
        <v/>
      </c>
      <c r="IK757" s="873" t="str">
        <f t="shared" si="225"/>
        <v/>
      </c>
      <c r="IL757" s="873" t="str">
        <f t="shared" si="226"/>
        <v/>
      </c>
      <c r="IM757" s="873" t="str">
        <f t="shared" si="227"/>
        <v/>
      </c>
      <c r="IN757" s="873" t="str">
        <f t="shared" si="228"/>
        <v/>
      </c>
      <c r="IO757" s="873" t="str">
        <f t="shared" si="229"/>
        <v/>
      </c>
      <c r="IP757" s="873" t="str">
        <f t="shared" si="230"/>
        <v/>
      </c>
      <c r="IQ757" s="873" t="str">
        <f t="shared" si="231"/>
        <v/>
      </c>
      <c r="IR757" s="873" t="str">
        <f t="shared" si="232"/>
        <v/>
      </c>
      <c r="IS757" s="873" t="str">
        <f t="shared" si="233"/>
        <v/>
      </c>
      <c r="IT757" s="873" t="str">
        <f t="shared" si="234"/>
        <v/>
      </c>
      <c r="IU757" s="873" t="str">
        <f t="shared" si="235"/>
        <v/>
      </c>
      <c r="IV757" s="873" t="str">
        <f t="shared" si="236"/>
        <v/>
      </c>
      <c r="IW757" s="873" t="str">
        <f t="shared" si="237"/>
        <v/>
      </c>
      <c r="IX757" s="873" t="str">
        <f t="shared" si="238"/>
        <v/>
      </c>
      <c r="IY757" s="873" t="str">
        <f t="shared" si="239"/>
        <v/>
      </c>
      <c r="IZ757" s="873" t="str">
        <f t="shared" si="240"/>
        <v/>
      </c>
      <c r="JA757" s="873" t="str">
        <f t="shared" si="241"/>
        <v/>
      </c>
      <c r="JB757" s="873" t="str">
        <f t="shared" si="242"/>
        <v/>
      </c>
      <c r="JC757" s="2253">
        <f t="shared" si="243"/>
        <v>0</v>
      </c>
      <c r="JD757" s="2253">
        <f t="shared" si="244"/>
        <v>0</v>
      </c>
      <c r="JE757" s="2253">
        <f t="shared" si="245"/>
        <v>0</v>
      </c>
      <c r="JF757" s="2253">
        <f t="shared" si="246"/>
        <v>0</v>
      </c>
      <c r="JG757" s="2253">
        <f t="shared" si="247"/>
        <v>0</v>
      </c>
      <c r="JH757" s="2253">
        <f t="shared" si="248"/>
        <v>0</v>
      </c>
      <c r="JI757" s="2253">
        <f t="shared" si="249"/>
        <v>0</v>
      </c>
      <c r="JJ757" s="2253">
        <f t="shared" si="250"/>
        <v>32</v>
      </c>
      <c r="JK757" s="2253">
        <f t="shared" si="251"/>
        <v>0</v>
      </c>
      <c r="JL757" s="2253">
        <f t="shared" si="252"/>
        <v>0</v>
      </c>
      <c r="JM757" s="2253">
        <f t="shared" si="253"/>
        <v>0</v>
      </c>
      <c r="JN757" s="2253">
        <f t="shared" si="254"/>
        <v>0</v>
      </c>
      <c r="JO757" s="2253">
        <f t="shared" si="255"/>
        <v>0</v>
      </c>
      <c r="JP757" s="2253">
        <f t="shared" si="256"/>
        <v>0</v>
      </c>
      <c r="JQ757" s="2253">
        <f t="shared" si="257"/>
        <v>0</v>
      </c>
    </row>
    <row r="758" spans="1:277" ht="12" customHeight="1">
      <c r="A758" s="2258" t="str">
        <f t="shared" si="0"/>
        <v/>
      </c>
      <c r="B758" s="2279" t="str">
        <f>'Part VI-Revenues &amp; Expenses'!B15</f>
        <v>60% AMI</v>
      </c>
      <c r="C758" s="2280">
        <f>'Part VI-Revenues &amp; Expenses'!C15</f>
        <v>3</v>
      </c>
      <c r="D758" s="2281">
        <f>'Part VI-Revenues &amp; Expenses'!D15</f>
        <v>2</v>
      </c>
      <c r="E758" s="2282">
        <f>'Part VI-Revenues &amp; Expenses'!E15</f>
        <v>16</v>
      </c>
      <c r="F758" s="2282">
        <f>'Part VI-Revenues &amp; Expenses'!F15</f>
        <v>1301</v>
      </c>
      <c r="G758" s="2282">
        <f>'Part VI-Revenues &amp; Expenses'!G15</f>
        <v>1020</v>
      </c>
      <c r="H758" s="2282">
        <f>'Part VI-Revenues &amp; Expenses'!H15</f>
        <v>830</v>
      </c>
      <c r="I758" s="2282">
        <f>'Part VI-Revenues &amp; Expenses'!I15</f>
        <v>205</v>
      </c>
      <c r="J758" s="2283">
        <f>'Part VI-Revenues &amp; Expenses'!J15</f>
        <v>0</v>
      </c>
      <c r="K758" s="2284">
        <f t="shared" si="1"/>
        <v>625</v>
      </c>
      <c r="L758" s="2284">
        <f t="shared" si="2"/>
        <v>10000</v>
      </c>
      <c r="M758" s="2285" t="str">
        <f>'Part VI-Revenues &amp; Expenses'!M15</f>
        <v>No</v>
      </c>
      <c r="N758" s="2285" t="str">
        <f>'Part VI-Revenues &amp; Expenses'!N15</f>
        <v>2-Story Walkup</v>
      </c>
      <c r="O758" s="2285" t="str">
        <f>'Part VI-Revenues &amp; Expenses'!O15</f>
        <v>New Construction</v>
      </c>
      <c r="P758" s="2262" t="str">
        <f>'Part VI-Revenues &amp; Expenses'!P15</f>
        <v>No</v>
      </c>
      <c r="Q758" s="2286">
        <f>'Part VI-Revenues &amp; Expenses'!Q15</f>
        <v>33200</v>
      </c>
      <c r="R758" s="2287">
        <f>'Part VI-Revenues &amp; Expenses'!R15</f>
        <v>0.48812044224888262</v>
      </c>
      <c r="S758" s="2286">
        <f>'Part VI-Revenues &amp; Expenses'!S15</f>
        <v>0</v>
      </c>
      <c r="T758" s="2287">
        <f>'Part VI-Revenues &amp; Expenses'!T15</f>
        <v>0</v>
      </c>
      <c r="U758" s="2176"/>
      <c r="V758" s="2176"/>
      <c r="W758" s="873" t="str">
        <f t="shared" si="3"/>
        <v/>
      </c>
      <c r="X758" s="873" t="str">
        <f t="shared" si="4"/>
        <v/>
      </c>
      <c r="Y758" s="873" t="str">
        <f t="shared" si="5"/>
        <v/>
      </c>
      <c r="Z758" s="873">
        <f t="shared" si="6"/>
        <v>16</v>
      </c>
      <c r="AA758" s="873" t="str">
        <f t="shared" si="7"/>
        <v/>
      </c>
      <c r="AB758" s="873" t="str">
        <f t="shared" si="8"/>
        <v/>
      </c>
      <c r="AC758" s="873" t="str">
        <f t="shared" si="9"/>
        <v/>
      </c>
      <c r="AD758" s="873" t="str">
        <f t="shared" si="10"/>
        <v/>
      </c>
      <c r="AE758" s="873" t="str">
        <f t="shared" si="11"/>
        <v/>
      </c>
      <c r="AF758" s="873" t="str">
        <f t="shared" si="12"/>
        <v/>
      </c>
      <c r="AG758" s="873" t="str">
        <f t="shared" si="13"/>
        <v/>
      </c>
      <c r="AH758" s="873" t="str">
        <f t="shared" si="14"/>
        <v/>
      </c>
      <c r="AI758" s="873" t="str">
        <f t="shared" si="15"/>
        <v/>
      </c>
      <c r="AJ758" s="873" t="str">
        <f t="shared" si="16"/>
        <v/>
      </c>
      <c r="AK758" s="873" t="str">
        <f t="shared" si="17"/>
        <v/>
      </c>
      <c r="AL758" s="873" t="str">
        <f t="shared" si="18"/>
        <v/>
      </c>
      <c r="AM758" s="873" t="str">
        <f t="shared" si="19"/>
        <v/>
      </c>
      <c r="AN758" s="873" t="str">
        <f t="shared" si="20"/>
        <v/>
      </c>
      <c r="AO758" s="873" t="str">
        <f t="shared" si="21"/>
        <v/>
      </c>
      <c r="AP758" s="873" t="str">
        <f t="shared" si="22"/>
        <v/>
      </c>
      <c r="AQ758" s="873" t="str">
        <f t="shared" si="23"/>
        <v/>
      </c>
      <c r="AR758" s="873" t="str">
        <f t="shared" si="24"/>
        <v/>
      </c>
      <c r="AS758" s="873" t="str">
        <f t="shared" si="25"/>
        <v/>
      </c>
      <c r="AT758" s="873" t="str">
        <f t="shared" si="26"/>
        <v/>
      </c>
      <c r="AU758" s="873" t="str">
        <f t="shared" si="27"/>
        <v/>
      </c>
      <c r="AV758" s="873" t="str">
        <f t="shared" si="28"/>
        <v/>
      </c>
      <c r="AW758" s="873" t="str">
        <f t="shared" si="29"/>
        <v/>
      </c>
      <c r="AX758" s="873" t="str">
        <f t="shared" si="30"/>
        <v/>
      </c>
      <c r="AY758" s="873" t="str">
        <f t="shared" si="31"/>
        <v/>
      </c>
      <c r="AZ758" s="873" t="str">
        <f t="shared" si="32"/>
        <v/>
      </c>
      <c r="BA758" s="873" t="str">
        <f t="shared" si="33"/>
        <v/>
      </c>
      <c r="BB758" s="873" t="str">
        <f t="shared" si="34"/>
        <v/>
      </c>
      <c r="BC758" s="873" t="str">
        <f t="shared" si="35"/>
        <v/>
      </c>
      <c r="BD758" s="873" t="str">
        <f t="shared" si="36"/>
        <v/>
      </c>
      <c r="BE758" s="873" t="str">
        <f t="shared" si="37"/>
        <v/>
      </c>
      <c r="BF758" s="873" t="str">
        <f t="shared" si="38"/>
        <v/>
      </c>
      <c r="BG758" s="873" t="str">
        <f t="shared" si="39"/>
        <v/>
      </c>
      <c r="BH758" s="873" t="str">
        <f t="shared" si="40"/>
        <v/>
      </c>
      <c r="BI758" s="873" t="str">
        <f t="shared" si="41"/>
        <v/>
      </c>
      <c r="BJ758" s="873" t="str">
        <f t="shared" si="42"/>
        <v/>
      </c>
      <c r="BK758" s="873" t="str">
        <f t="shared" si="43"/>
        <v/>
      </c>
      <c r="BL758" s="873" t="str">
        <f t="shared" si="44"/>
        <v/>
      </c>
      <c r="BM758" s="873" t="str">
        <f t="shared" si="45"/>
        <v/>
      </c>
      <c r="BN758" s="873" t="str">
        <f t="shared" si="46"/>
        <v/>
      </c>
      <c r="BO758" s="873" t="str">
        <f t="shared" si="47"/>
        <v/>
      </c>
      <c r="BP758" s="873" t="str">
        <f t="shared" si="48"/>
        <v/>
      </c>
      <c r="BQ758" s="873" t="str">
        <f t="shared" si="49"/>
        <v/>
      </c>
      <c r="BR758" s="873" t="str">
        <f t="shared" si="50"/>
        <v/>
      </c>
      <c r="BS758" s="873" t="str">
        <f t="shared" si="51"/>
        <v/>
      </c>
      <c r="BT758" s="873" t="str">
        <f t="shared" si="52"/>
        <v/>
      </c>
      <c r="BU758" s="873" t="str">
        <f t="shared" si="53"/>
        <v/>
      </c>
      <c r="BV758" s="873" t="str">
        <f t="shared" si="54"/>
        <v/>
      </c>
      <c r="BW758" s="873" t="str">
        <f t="shared" si="55"/>
        <v/>
      </c>
      <c r="BX758" s="873" t="str">
        <f t="shared" si="56"/>
        <v/>
      </c>
      <c r="BY758" s="873" t="str">
        <f t="shared" si="57"/>
        <v/>
      </c>
      <c r="BZ758" s="873" t="str">
        <f t="shared" si="58"/>
        <v/>
      </c>
      <c r="CA758" s="873" t="str">
        <f t="shared" si="59"/>
        <v/>
      </c>
      <c r="CB758" s="873" t="str">
        <f t="shared" si="60"/>
        <v/>
      </c>
      <c r="CC758" s="873">
        <f t="shared" si="61"/>
        <v>20816</v>
      </c>
      <c r="CD758" s="873" t="str">
        <f t="shared" si="62"/>
        <v/>
      </c>
      <c r="CE758" s="873" t="str">
        <f t="shared" si="63"/>
        <v/>
      </c>
      <c r="CF758" s="873" t="str">
        <f t="shared" si="64"/>
        <v/>
      </c>
      <c r="CG758" s="873" t="str">
        <f t="shared" si="65"/>
        <v/>
      </c>
      <c r="CH758" s="873" t="str">
        <f t="shared" si="66"/>
        <v/>
      </c>
      <c r="CI758" s="873" t="str">
        <f t="shared" si="67"/>
        <v/>
      </c>
      <c r="CJ758" s="873" t="str">
        <f t="shared" si="68"/>
        <v/>
      </c>
      <c r="CK758" s="873" t="str">
        <f t="shared" si="69"/>
        <v/>
      </c>
      <c r="CL758" s="873" t="str">
        <f t="shared" si="70"/>
        <v/>
      </c>
      <c r="CM758" s="873" t="str">
        <f t="shared" si="71"/>
        <v/>
      </c>
      <c r="CN758" s="873" t="str">
        <f t="shared" si="72"/>
        <v/>
      </c>
      <c r="CO758" s="873" t="str">
        <f t="shared" si="73"/>
        <v/>
      </c>
      <c r="CP758" s="873" t="str">
        <f t="shared" si="74"/>
        <v/>
      </c>
      <c r="CQ758" s="873" t="str">
        <f t="shared" si="75"/>
        <v/>
      </c>
      <c r="CR758" s="873" t="str">
        <f t="shared" si="76"/>
        <v/>
      </c>
      <c r="CS758" s="873" t="str">
        <f t="shared" si="77"/>
        <v/>
      </c>
      <c r="CT758" s="873" t="str">
        <f t="shared" si="78"/>
        <v/>
      </c>
      <c r="CU758" s="873" t="str">
        <f t="shared" si="79"/>
        <v/>
      </c>
      <c r="CV758" s="873" t="str">
        <f t="shared" si="80"/>
        <v/>
      </c>
      <c r="CW758" s="873" t="str">
        <f t="shared" si="81"/>
        <v/>
      </c>
      <c r="CX758" s="873" t="str">
        <f t="shared" si="82"/>
        <v/>
      </c>
      <c r="CY758" s="873" t="str">
        <f t="shared" si="83"/>
        <v/>
      </c>
      <c r="CZ758" s="873" t="str">
        <f t="shared" si="84"/>
        <v/>
      </c>
      <c r="DA758" s="873" t="str">
        <f t="shared" si="85"/>
        <v/>
      </c>
      <c r="DB758" s="873" t="str">
        <f t="shared" si="86"/>
        <v/>
      </c>
      <c r="DC758" s="873" t="str">
        <f t="shared" si="87"/>
        <v/>
      </c>
      <c r="DD758" s="873" t="str">
        <f t="shared" si="88"/>
        <v/>
      </c>
      <c r="DE758" s="873" t="str">
        <f t="shared" si="89"/>
        <v/>
      </c>
      <c r="DF758" s="873" t="str">
        <f t="shared" si="90"/>
        <v/>
      </c>
      <c r="DG758" s="873">
        <f t="shared" si="91"/>
        <v>16</v>
      </c>
      <c r="DH758" s="873" t="str">
        <f t="shared" si="92"/>
        <v/>
      </c>
      <c r="DI758" s="873" t="str">
        <f t="shared" si="93"/>
        <v/>
      </c>
      <c r="DJ758" s="873" t="str">
        <f t="shared" si="94"/>
        <v/>
      </c>
      <c r="DK758" s="873" t="str">
        <f t="shared" si="95"/>
        <v/>
      </c>
      <c r="DL758" s="873" t="str">
        <f t="shared" si="96"/>
        <v/>
      </c>
      <c r="DM758" s="873" t="str">
        <f t="shared" si="97"/>
        <v/>
      </c>
      <c r="DN758" s="873" t="str">
        <f t="shared" si="98"/>
        <v/>
      </c>
      <c r="DO758" s="873" t="str">
        <f t="shared" si="99"/>
        <v/>
      </c>
      <c r="DP758" s="873" t="str">
        <f t="shared" si="100"/>
        <v/>
      </c>
      <c r="DQ758" s="873" t="str">
        <f t="shared" si="101"/>
        <v/>
      </c>
      <c r="DR758" s="873" t="str">
        <f t="shared" si="102"/>
        <v/>
      </c>
      <c r="DS758" s="873" t="str">
        <f t="shared" si="103"/>
        <v/>
      </c>
      <c r="DT758" s="873" t="str">
        <f t="shared" si="104"/>
        <v/>
      </c>
      <c r="DU758" s="873" t="str">
        <f t="shared" si="105"/>
        <v/>
      </c>
      <c r="DV758" s="873" t="str">
        <f t="shared" si="106"/>
        <v/>
      </c>
      <c r="DW758" s="873" t="str">
        <f t="shared" si="107"/>
        <v/>
      </c>
      <c r="DX758" s="873" t="str">
        <f t="shared" si="108"/>
        <v/>
      </c>
      <c r="DY758" s="873" t="str">
        <f t="shared" si="109"/>
        <v/>
      </c>
      <c r="DZ758" s="873" t="str">
        <f t="shared" si="110"/>
        <v/>
      </c>
      <c r="EA758" s="873" t="str">
        <f t="shared" si="111"/>
        <v/>
      </c>
      <c r="EB758" s="873" t="str">
        <f t="shared" si="112"/>
        <v/>
      </c>
      <c r="EC758" s="873" t="str">
        <f t="shared" si="113"/>
        <v/>
      </c>
      <c r="ED758" s="873" t="str">
        <f t="shared" si="114"/>
        <v/>
      </c>
      <c r="EE758" s="873" t="str">
        <f t="shared" si="115"/>
        <v/>
      </c>
      <c r="EF758" s="873" t="str">
        <f t="shared" si="116"/>
        <v/>
      </c>
      <c r="EG758" s="873" t="str">
        <f t="shared" si="117"/>
        <v/>
      </c>
      <c r="EH758" s="873" t="str">
        <f t="shared" si="118"/>
        <v/>
      </c>
      <c r="EI758" s="873" t="str">
        <f t="shared" si="119"/>
        <v/>
      </c>
      <c r="EJ758" s="873" t="str">
        <f t="shared" si="120"/>
        <v/>
      </c>
      <c r="EK758" s="873" t="str">
        <f t="shared" si="121"/>
        <v/>
      </c>
      <c r="EL758" s="873" t="str">
        <f t="shared" si="122"/>
        <v/>
      </c>
      <c r="EM758" s="873" t="str">
        <f t="shared" si="123"/>
        <v/>
      </c>
      <c r="EN758" s="873" t="str">
        <f t="shared" si="124"/>
        <v/>
      </c>
      <c r="EO758" s="873" t="str">
        <f t="shared" si="125"/>
        <v/>
      </c>
      <c r="EP758" s="873" t="str">
        <f t="shared" si="126"/>
        <v/>
      </c>
      <c r="EQ758" s="873" t="str">
        <f t="shared" si="127"/>
        <v/>
      </c>
      <c r="ER758" s="873" t="str">
        <f t="shared" si="128"/>
        <v/>
      </c>
      <c r="ES758" s="873" t="str">
        <f t="shared" si="129"/>
        <v/>
      </c>
      <c r="ET758" s="873" t="str">
        <f t="shared" si="130"/>
        <v/>
      </c>
      <c r="EU758" s="873" t="str">
        <f t="shared" si="131"/>
        <v/>
      </c>
      <c r="EV758" s="873" t="str">
        <f t="shared" si="132"/>
        <v/>
      </c>
      <c r="EW758" s="2288" t="str">
        <f t="shared" si="133"/>
        <v/>
      </c>
      <c r="EX758" s="2288" t="str">
        <f t="shared" si="134"/>
        <v/>
      </c>
      <c r="EY758" s="2288" t="str">
        <f t="shared" si="135"/>
        <v/>
      </c>
      <c r="EZ758" s="2288">
        <f t="shared" si="136"/>
        <v>16</v>
      </c>
      <c r="FA758" s="2288" t="str">
        <f t="shared" si="137"/>
        <v/>
      </c>
      <c r="FB758" s="2288" t="str">
        <f t="shared" si="138"/>
        <v/>
      </c>
      <c r="FC758" s="2288" t="str">
        <f t="shared" si="139"/>
        <v/>
      </c>
      <c r="FD758" s="2288" t="str">
        <f t="shared" si="140"/>
        <v/>
      </c>
      <c r="FE758" s="2288" t="str">
        <f t="shared" si="141"/>
        <v/>
      </c>
      <c r="FF758" s="2288" t="str">
        <f t="shared" si="142"/>
        <v/>
      </c>
      <c r="FG758" s="2288" t="str">
        <f t="shared" si="143"/>
        <v/>
      </c>
      <c r="FH758" s="2288" t="str">
        <f t="shared" si="144"/>
        <v/>
      </c>
      <c r="FI758" s="2288" t="str">
        <f t="shared" si="145"/>
        <v/>
      </c>
      <c r="FJ758" s="2288" t="str">
        <f t="shared" si="146"/>
        <v/>
      </c>
      <c r="FK758" s="2288" t="str">
        <f t="shared" si="147"/>
        <v/>
      </c>
      <c r="FL758" s="2288" t="str">
        <f t="shared" si="148"/>
        <v/>
      </c>
      <c r="FM758" s="2288" t="str">
        <f t="shared" si="149"/>
        <v/>
      </c>
      <c r="FN758" s="2288" t="str">
        <f t="shared" si="150"/>
        <v/>
      </c>
      <c r="FO758" s="2288" t="str">
        <f t="shared" si="151"/>
        <v/>
      </c>
      <c r="FP758" s="2288" t="str">
        <f t="shared" si="152"/>
        <v/>
      </c>
      <c r="FQ758" s="2288" t="str">
        <f t="shared" si="153"/>
        <v/>
      </c>
      <c r="FR758" s="2288" t="str">
        <f t="shared" si="154"/>
        <v/>
      </c>
      <c r="FS758" s="2288" t="str">
        <f t="shared" si="155"/>
        <v/>
      </c>
      <c r="FT758" s="2288" t="str">
        <f t="shared" si="156"/>
        <v/>
      </c>
      <c r="FU758" s="2288" t="str">
        <f t="shared" si="157"/>
        <v/>
      </c>
      <c r="FV758" s="2288" t="str">
        <f t="shared" si="158"/>
        <v/>
      </c>
      <c r="FW758" s="2288" t="str">
        <f t="shared" si="159"/>
        <v/>
      </c>
      <c r="FX758" s="2288" t="str">
        <f t="shared" si="160"/>
        <v/>
      </c>
      <c r="FY758" s="2288" t="str">
        <f t="shared" si="161"/>
        <v/>
      </c>
      <c r="FZ758" s="2288" t="str">
        <f t="shared" si="162"/>
        <v/>
      </c>
      <c r="GA758" s="2288" t="str">
        <f t="shared" si="163"/>
        <v/>
      </c>
      <c r="GB758" s="2288" t="str">
        <f t="shared" si="164"/>
        <v/>
      </c>
      <c r="GC758" s="2288" t="str">
        <f t="shared" si="165"/>
        <v/>
      </c>
      <c r="GD758" s="2288" t="str">
        <f t="shared" si="166"/>
        <v/>
      </c>
      <c r="GE758" s="2288" t="str">
        <f t="shared" si="167"/>
        <v/>
      </c>
      <c r="GF758" s="2288" t="str">
        <f t="shared" si="168"/>
        <v/>
      </c>
      <c r="GG758" s="2288" t="str">
        <f t="shared" si="169"/>
        <v/>
      </c>
      <c r="GH758" s="2288" t="str">
        <f t="shared" si="170"/>
        <v/>
      </c>
      <c r="GI758" s="2288" t="str">
        <f t="shared" si="171"/>
        <v/>
      </c>
      <c r="GJ758" s="2288" t="str">
        <f t="shared" si="172"/>
        <v/>
      </c>
      <c r="GK758" s="2288" t="str">
        <f t="shared" si="173"/>
        <v/>
      </c>
      <c r="GL758" s="2288" t="str">
        <f t="shared" si="174"/>
        <v/>
      </c>
      <c r="GM758" s="2288" t="str">
        <f t="shared" si="175"/>
        <v/>
      </c>
      <c r="GN758" s="2288" t="str">
        <f t="shared" si="176"/>
        <v/>
      </c>
      <c r="GO758" s="2288" t="str">
        <f t="shared" si="177"/>
        <v/>
      </c>
      <c r="GP758" s="2288" t="str">
        <f t="shared" si="178"/>
        <v/>
      </c>
      <c r="GQ758" s="2288" t="str">
        <f t="shared" si="179"/>
        <v/>
      </c>
      <c r="GR758" s="2288" t="str">
        <f t="shared" si="180"/>
        <v/>
      </c>
      <c r="GS758" s="2288" t="str">
        <f t="shared" si="181"/>
        <v/>
      </c>
      <c r="GT758" s="2288" t="str">
        <f t="shared" si="182"/>
        <v/>
      </c>
      <c r="GU758" s="2288" t="str">
        <f t="shared" si="183"/>
        <v/>
      </c>
      <c r="GV758" s="2288" t="str">
        <f t="shared" si="184"/>
        <v/>
      </c>
      <c r="GW758" s="2288" t="str">
        <f t="shared" si="185"/>
        <v/>
      </c>
      <c r="GX758" s="2288" t="str">
        <f t="shared" si="186"/>
        <v/>
      </c>
      <c r="GY758" s="2288" t="str">
        <f t="shared" si="187"/>
        <v/>
      </c>
      <c r="GZ758" s="2288" t="str">
        <f t="shared" si="188"/>
        <v/>
      </c>
      <c r="HA758" s="2288" t="str">
        <f t="shared" si="189"/>
        <v/>
      </c>
      <c r="HB758" s="2288" t="str">
        <f t="shared" si="190"/>
        <v/>
      </c>
      <c r="HC758" s="2288" t="str">
        <f t="shared" si="191"/>
        <v/>
      </c>
      <c r="HD758" s="2288" t="str">
        <f t="shared" si="192"/>
        <v/>
      </c>
      <c r="HE758" s="2288" t="str">
        <f t="shared" si="193"/>
        <v/>
      </c>
      <c r="HF758" s="2288" t="str">
        <f t="shared" si="194"/>
        <v/>
      </c>
      <c r="HG758" s="2288" t="str">
        <f t="shared" si="195"/>
        <v/>
      </c>
      <c r="HH758" s="2288" t="str">
        <f t="shared" si="196"/>
        <v/>
      </c>
      <c r="HI758" s="2288" t="str">
        <f t="shared" si="197"/>
        <v/>
      </c>
      <c r="HJ758" s="2288" t="str">
        <f t="shared" si="198"/>
        <v/>
      </c>
      <c r="HK758" s="2288" t="str">
        <f t="shared" si="199"/>
        <v/>
      </c>
      <c r="HL758" s="2288" t="str">
        <f t="shared" si="200"/>
        <v/>
      </c>
      <c r="HM758" s="2288">
        <f t="shared" si="201"/>
        <v>16</v>
      </c>
      <c r="HN758" s="2288" t="str">
        <f t="shared" si="202"/>
        <v/>
      </c>
      <c r="HO758" s="2288" t="str">
        <f t="shared" si="203"/>
        <v/>
      </c>
      <c r="HP758" s="2288" t="str">
        <f t="shared" si="204"/>
        <v/>
      </c>
      <c r="HQ758" s="2288" t="str">
        <f t="shared" si="205"/>
        <v/>
      </c>
      <c r="HR758" s="2288" t="str">
        <f t="shared" si="206"/>
        <v/>
      </c>
      <c r="HS758" s="2288" t="str">
        <f t="shared" si="207"/>
        <v/>
      </c>
      <c r="HT758" s="2288" t="str">
        <f t="shared" si="208"/>
        <v/>
      </c>
      <c r="HU758" s="2288" t="str">
        <f t="shared" si="209"/>
        <v/>
      </c>
      <c r="HV758" s="2288" t="str">
        <f t="shared" si="210"/>
        <v/>
      </c>
      <c r="HW758" s="2288" t="str">
        <f t="shared" si="211"/>
        <v/>
      </c>
      <c r="HX758" s="2288" t="str">
        <f t="shared" si="212"/>
        <v/>
      </c>
      <c r="HY758" s="2288" t="str">
        <f t="shared" si="213"/>
        <v/>
      </c>
      <c r="HZ758" s="2288" t="str">
        <f t="shared" si="214"/>
        <v/>
      </c>
      <c r="IA758" s="2288" t="str">
        <f t="shared" si="215"/>
        <v/>
      </c>
      <c r="IB758" s="2288" t="str">
        <f t="shared" si="216"/>
        <v/>
      </c>
      <c r="IC758" s="2288" t="str">
        <f t="shared" si="217"/>
        <v/>
      </c>
      <c r="ID758" s="2255" t="str">
        <f t="shared" si="218"/>
        <v/>
      </c>
      <c r="IE758" s="2255" t="str">
        <f t="shared" si="219"/>
        <v/>
      </c>
      <c r="IF758" s="2255" t="str">
        <f t="shared" si="220"/>
        <v/>
      </c>
      <c r="IG758" s="2255" t="str">
        <f t="shared" si="221"/>
        <v/>
      </c>
      <c r="IH758" s="2255" t="str">
        <f t="shared" si="222"/>
        <v/>
      </c>
      <c r="II758" s="873" t="str">
        <f t="shared" si="223"/>
        <v/>
      </c>
      <c r="IJ758" s="873" t="str">
        <f t="shared" si="224"/>
        <v/>
      </c>
      <c r="IK758" s="873" t="str">
        <f t="shared" si="225"/>
        <v/>
      </c>
      <c r="IL758" s="873" t="str">
        <f t="shared" si="226"/>
        <v/>
      </c>
      <c r="IM758" s="873" t="str">
        <f t="shared" si="227"/>
        <v/>
      </c>
      <c r="IN758" s="873" t="str">
        <f t="shared" si="228"/>
        <v/>
      </c>
      <c r="IO758" s="873" t="str">
        <f t="shared" si="229"/>
        <v/>
      </c>
      <c r="IP758" s="873" t="str">
        <f t="shared" si="230"/>
        <v/>
      </c>
      <c r="IQ758" s="873" t="str">
        <f t="shared" si="231"/>
        <v/>
      </c>
      <c r="IR758" s="873" t="str">
        <f t="shared" si="232"/>
        <v/>
      </c>
      <c r="IS758" s="873" t="str">
        <f t="shared" si="233"/>
        <v/>
      </c>
      <c r="IT758" s="873" t="str">
        <f t="shared" si="234"/>
        <v/>
      </c>
      <c r="IU758" s="873" t="str">
        <f t="shared" si="235"/>
        <v/>
      </c>
      <c r="IV758" s="873" t="str">
        <f t="shared" si="236"/>
        <v/>
      </c>
      <c r="IW758" s="873" t="str">
        <f t="shared" si="237"/>
        <v/>
      </c>
      <c r="IX758" s="873" t="str">
        <f t="shared" si="238"/>
        <v/>
      </c>
      <c r="IY758" s="873" t="str">
        <f t="shared" si="239"/>
        <v/>
      </c>
      <c r="IZ758" s="873" t="str">
        <f t="shared" si="240"/>
        <v/>
      </c>
      <c r="JA758" s="873" t="str">
        <f t="shared" si="241"/>
        <v/>
      </c>
      <c r="JB758" s="873" t="str">
        <f t="shared" si="242"/>
        <v/>
      </c>
      <c r="JC758" s="2253">
        <f t="shared" si="243"/>
        <v>0</v>
      </c>
      <c r="JD758" s="2253">
        <f t="shared" si="244"/>
        <v>0</v>
      </c>
      <c r="JE758" s="2253">
        <f t="shared" si="245"/>
        <v>0</v>
      </c>
      <c r="JF758" s="2253">
        <f t="shared" si="246"/>
        <v>0</v>
      </c>
      <c r="JG758" s="2253">
        <f t="shared" si="247"/>
        <v>0</v>
      </c>
      <c r="JH758" s="2253">
        <f t="shared" si="248"/>
        <v>0</v>
      </c>
      <c r="JI758" s="2253">
        <f t="shared" si="249"/>
        <v>0</v>
      </c>
      <c r="JJ758" s="2253">
        <f t="shared" si="250"/>
        <v>0</v>
      </c>
      <c r="JK758" s="2253">
        <f t="shared" si="251"/>
        <v>16</v>
      </c>
      <c r="JL758" s="2253">
        <f t="shared" si="252"/>
        <v>0</v>
      </c>
      <c r="JM758" s="2253">
        <f t="shared" si="253"/>
        <v>0</v>
      </c>
      <c r="JN758" s="2253">
        <f t="shared" si="254"/>
        <v>0</v>
      </c>
      <c r="JO758" s="2253">
        <f t="shared" si="255"/>
        <v>0</v>
      </c>
      <c r="JP758" s="2253">
        <f t="shared" si="256"/>
        <v>0</v>
      </c>
      <c r="JQ758" s="2253">
        <f t="shared" si="257"/>
        <v>0</v>
      </c>
    </row>
    <row r="759" spans="1:277" ht="12" customHeight="1">
      <c r="A759" s="2258" t="str">
        <f t="shared" si="0"/>
        <v/>
      </c>
      <c r="B759" s="2279" t="str">
        <f>'Part VI-Revenues &amp; Expenses'!B16</f>
        <v>&lt;&lt;Select&gt;&gt;</v>
      </c>
      <c r="C759" s="2280">
        <f>'Part VI-Revenues &amp; Expenses'!C16</f>
        <v>0</v>
      </c>
      <c r="D759" s="2281">
        <f>'Part VI-Revenues &amp; Expenses'!D16</f>
        <v>0</v>
      </c>
      <c r="E759" s="2282">
        <f>'Part VI-Revenues &amp; Expenses'!E16</f>
        <v>0</v>
      </c>
      <c r="F759" s="2282">
        <f>'Part VI-Revenues &amp; Expenses'!F16</f>
        <v>0</v>
      </c>
      <c r="G759" s="2282">
        <f>'Part VI-Revenues &amp; Expenses'!G16</f>
        <v>0</v>
      </c>
      <c r="H759" s="2282">
        <f>'Part VI-Revenues &amp; Expenses'!H16</f>
        <v>0</v>
      </c>
      <c r="I759" s="2282">
        <f>'Part VI-Revenues &amp; Expenses'!I16</f>
        <v>0</v>
      </c>
      <c r="J759" s="2283">
        <f>'Part VI-Revenues &amp; Expenses'!J16</f>
        <v>0</v>
      </c>
      <c r="K759" s="2284">
        <f t="shared" si="1"/>
        <v>0</v>
      </c>
      <c r="L759" s="2284">
        <f t="shared" si="2"/>
        <v>0</v>
      </c>
      <c r="M759" s="2285">
        <f>'Part VI-Revenues &amp; Expenses'!M16</f>
        <v>0</v>
      </c>
      <c r="N759" s="2285">
        <f>'Part VI-Revenues &amp; Expenses'!N16</f>
        <v>0</v>
      </c>
      <c r="O759" s="2285">
        <f>'Part VI-Revenues &amp; Expenses'!O16</f>
        <v>0</v>
      </c>
      <c r="P759" s="2262">
        <f>'Part VI-Revenues &amp; Expenses'!P16</f>
        <v>0</v>
      </c>
      <c r="Q759" s="2286" t="str">
        <f>'Part VI-Revenues &amp; Expenses'!Q16</f>
        <v/>
      </c>
      <c r="R759" s="2287" t="str">
        <f>'Part VI-Revenues &amp; Expenses'!R16</f>
        <v/>
      </c>
      <c r="S759" s="2286">
        <f>'Part VI-Revenues &amp; Expenses'!S16</f>
        <v>0</v>
      </c>
      <c r="T759" s="2287">
        <f>'Part VI-Revenues &amp; Expenses'!T16</f>
        <v>0</v>
      </c>
      <c r="U759" s="2176"/>
      <c r="V759" s="2176"/>
      <c r="W759" s="873" t="str">
        <f t="shared" si="3"/>
        <v/>
      </c>
      <c r="X759" s="873" t="str">
        <f t="shared" si="4"/>
        <v/>
      </c>
      <c r="Y759" s="873" t="str">
        <f t="shared" si="5"/>
        <v/>
      </c>
      <c r="Z759" s="873" t="str">
        <f t="shared" si="6"/>
        <v/>
      </c>
      <c r="AA759" s="873" t="str">
        <f t="shared" si="7"/>
        <v/>
      </c>
      <c r="AB759" s="873" t="str">
        <f t="shared" si="8"/>
        <v/>
      </c>
      <c r="AC759" s="873" t="str">
        <f t="shared" si="9"/>
        <v/>
      </c>
      <c r="AD759" s="873" t="str">
        <f t="shared" si="10"/>
        <v/>
      </c>
      <c r="AE759" s="873" t="str">
        <f t="shared" si="11"/>
        <v/>
      </c>
      <c r="AF759" s="873" t="str">
        <f t="shared" si="12"/>
        <v/>
      </c>
      <c r="AG759" s="873" t="str">
        <f t="shared" si="13"/>
        <v/>
      </c>
      <c r="AH759" s="873" t="str">
        <f t="shared" si="14"/>
        <v/>
      </c>
      <c r="AI759" s="873" t="str">
        <f t="shared" si="15"/>
        <v/>
      </c>
      <c r="AJ759" s="873" t="str">
        <f t="shared" si="16"/>
        <v/>
      </c>
      <c r="AK759" s="873" t="str">
        <f t="shared" si="17"/>
        <v/>
      </c>
      <c r="AL759" s="873" t="str">
        <f t="shared" si="18"/>
        <v/>
      </c>
      <c r="AM759" s="873" t="str">
        <f t="shared" si="19"/>
        <v/>
      </c>
      <c r="AN759" s="873" t="str">
        <f t="shared" si="20"/>
        <v/>
      </c>
      <c r="AO759" s="873" t="str">
        <f t="shared" si="21"/>
        <v/>
      </c>
      <c r="AP759" s="873" t="str">
        <f t="shared" si="22"/>
        <v/>
      </c>
      <c r="AQ759" s="873" t="str">
        <f t="shared" si="23"/>
        <v/>
      </c>
      <c r="AR759" s="873" t="str">
        <f t="shared" si="24"/>
        <v/>
      </c>
      <c r="AS759" s="873" t="str">
        <f t="shared" si="25"/>
        <v/>
      </c>
      <c r="AT759" s="873" t="str">
        <f t="shared" si="26"/>
        <v/>
      </c>
      <c r="AU759" s="873" t="str">
        <f t="shared" si="27"/>
        <v/>
      </c>
      <c r="AV759" s="873" t="str">
        <f t="shared" si="28"/>
        <v/>
      </c>
      <c r="AW759" s="873" t="str">
        <f t="shared" si="29"/>
        <v/>
      </c>
      <c r="AX759" s="873" t="str">
        <f t="shared" si="30"/>
        <v/>
      </c>
      <c r="AY759" s="873" t="str">
        <f t="shared" si="31"/>
        <v/>
      </c>
      <c r="AZ759" s="873" t="str">
        <f t="shared" si="32"/>
        <v/>
      </c>
      <c r="BA759" s="873" t="str">
        <f t="shared" si="33"/>
        <v/>
      </c>
      <c r="BB759" s="873" t="str">
        <f t="shared" si="34"/>
        <v/>
      </c>
      <c r="BC759" s="873" t="str">
        <f t="shared" si="35"/>
        <v/>
      </c>
      <c r="BD759" s="873" t="str">
        <f t="shared" si="36"/>
        <v/>
      </c>
      <c r="BE759" s="873" t="str">
        <f t="shared" si="37"/>
        <v/>
      </c>
      <c r="BF759" s="873" t="str">
        <f t="shared" si="38"/>
        <v/>
      </c>
      <c r="BG759" s="873" t="str">
        <f t="shared" si="39"/>
        <v/>
      </c>
      <c r="BH759" s="873" t="str">
        <f t="shared" si="40"/>
        <v/>
      </c>
      <c r="BI759" s="873" t="str">
        <f t="shared" si="41"/>
        <v/>
      </c>
      <c r="BJ759" s="873" t="str">
        <f t="shared" si="42"/>
        <v/>
      </c>
      <c r="BK759" s="873" t="str">
        <f t="shared" si="43"/>
        <v/>
      </c>
      <c r="BL759" s="873" t="str">
        <f t="shared" si="44"/>
        <v/>
      </c>
      <c r="BM759" s="873" t="str">
        <f t="shared" si="45"/>
        <v/>
      </c>
      <c r="BN759" s="873" t="str">
        <f t="shared" si="46"/>
        <v/>
      </c>
      <c r="BO759" s="873" t="str">
        <f t="shared" si="47"/>
        <v/>
      </c>
      <c r="BP759" s="873" t="str">
        <f t="shared" si="48"/>
        <v/>
      </c>
      <c r="BQ759" s="873" t="str">
        <f t="shared" si="49"/>
        <v/>
      </c>
      <c r="BR759" s="873" t="str">
        <f t="shared" si="50"/>
        <v/>
      </c>
      <c r="BS759" s="873" t="str">
        <f t="shared" si="51"/>
        <v/>
      </c>
      <c r="BT759" s="873" t="str">
        <f t="shared" si="52"/>
        <v/>
      </c>
      <c r="BU759" s="873" t="str">
        <f t="shared" si="53"/>
        <v/>
      </c>
      <c r="BV759" s="873" t="str">
        <f t="shared" si="54"/>
        <v/>
      </c>
      <c r="BW759" s="873" t="str">
        <f t="shared" si="55"/>
        <v/>
      </c>
      <c r="BX759" s="873" t="str">
        <f t="shared" si="56"/>
        <v/>
      </c>
      <c r="BY759" s="873" t="str">
        <f t="shared" si="57"/>
        <v/>
      </c>
      <c r="BZ759" s="873" t="str">
        <f t="shared" si="58"/>
        <v/>
      </c>
      <c r="CA759" s="873" t="str">
        <f t="shared" si="59"/>
        <v/>
      </c>
      <c r="CB759" s="873" t="str">
        <f t="shared" si="60"/>
        <v/>
      </c>
      <c r="CC759" s="873" t="str">
        <f t="shared" si="61"/>
        <v/>
      </c>
      <c r="CD759" s="873" t="str">
        <f t="shared" si="62"/>
        <v/>
      </c>
      <c r="CE759" s="873" t="str">
        <f t="shared" si="63"/>
        <v/>
      </c>
      <c r="CF759" s="873" t="str">
        <f t="shared" si="64"/>
        <v/>
      </c>
      <c r="CG759" s="873" t="str">
        <f t="shared" si="65"/>
        <v/>
      </c>
      <c r="CH759" s="873" t="str">
        <f t="shared" si="66"/>
        <v/>
      </c>
      <c r="CI759" s="873" t="str">
        <f t="shared" si="67"/>
        <v/>
      </c>
      <c r="CJ759" s="873" t="str">
        <f t="shared" si="68"/>
        <v/>
      </c>
      <c r="CK759" s="873" t="str">
        <f t="shared" si="69"/>
        <v/>
      </c>
      <c r="CL759" s="873" t="str">
        <f t="shared" si="70"/>
        <v/>
      </c>
      <c r="CM759" s="873" t="str">
        <f t="shared" si="71"/>
        <v/>
      </c>
      <c r="CN759" s="873" t="str">
        <f t="shared" si="72"/>
        <v/>
      </c>
      <c r="CO759" s="873" t="str">
        <f t="shared" si="73"/>
        <v/>
      </c>
      <c r="CP759" s="873" t="str">
        <f t="shared" si="74"/>
        <v/>
      </c>
      <c r="CQ759" s="873" t="str">
        <f t="shared" si="75"/>
        <v/>
      </c>
      <c r="CR759" s="873" t="str">
        <f t="shared" si="76"/>
        <v/>
      </c>
      <c r="CS759" s="873" t="str">
        <f t="shared" si="77"/>
        <v/>
      </c>
      <c r="CT759" s="873" t="str">
        <f t="shared" si="78"/>
        <v/>
      </c>
      <c r="CU759" s="873" t="str">
        <f t="shared" si="79"/>
        <v/>
      </c>
      <c r="CV759" s="873" t="str">
        <f t="shared" si="80"/>
        <v/>
      </c>
      <c r="CW759" s="873" t="str">
        <f t="shared" si="81"/>
        <v/>
      </c>
      <c r="CX759" s="873" t="str">
        <f t="shared" si="82"/>
        <v/>
      </c>
      <c r="CY759" s="873" t="str">
        <f t="shared" si="83"/>
        <v/>
      </c>
      <c r="CZ759" s="873" t="str">
        <f t="shared" si="84"/>
        <v/>
      </c>
      <c r="DA759" s="873" t="str">
        <f t="shared" si="85"/>
        <v/>
      </c>
      <c r="DB759" s="873" t="str">
        <f t="shared" si="86"/>
        <v/>
      </c>
      <c r="DC759" s="873" t="str">
        <f t="shared" si="87"/>
        <v/>
      </c>
      <c r="DD759" s="873" t="str">
        <f t="shared" si="88"/>
        <v/>
      </c>
      <c r="DE759" s="873" t="str">
        <f t="shared" si="89"/>
        <v/>
      </c>
      <c r="DF759" s="873" t="str">
        <f t="shared" si="90"/>
        <v/>
      </c>
      <c r="DG759" s="873" t="str">
        <f t="shared" si="91"/>
        <v/>
      </c>
      <c r="DH759" s="873" t="str">
        <f t="shared" si="92"/>
        <v/>
      </c>
      <c r="DI759" s="873" t="str">
        <f t="shared" si="93"/>
        <v/>
      </c>
      <c r="DJ759" s="873" t="str">
        <f t="shared" si="94"/>
        <v/>
      </c>
      <c r="DK759" s="873" t="str">
        <f t="shared" si="95"/>
        <v/>
      </c>
      <c r="DL759" s="873" t="str">
        <f t="shared" si="96"/>
        <v/>
      </c>
      <c r="DM759" s="873" t="str">
        <f t="shared" si="97"/>
        <v/>
      </c>
      <c r="DN759" s="873" t="str">
        <f t="shared" si="98"/>
        <v/>
      </c>
      <c r="DO759" s="873" t="str">
        <f t="shared" si="99"/>
        <v/>
      </c>
      <c r="DP759" s="873" t="str">
        <f t="shared" si="100"/>
        <v/>
      </c>
      <c r="DQ759" s="873" t="str">
        <f t="shared" si="101"/>
        <v/>
      </c>
      <c r="DR759" s="873" t="str">
        <f t="shared" si="102"/>
        <v/>
      </c>
      <c r="DS759" s="873" t="str">
        <f t="shared" si="103"/>
        <v/>
      </c>
      <c r="DT759" s="873" t="str">
        <f t="shared" si="104"/>
        <v/>
      </c>
      <c r="DU759" s="873" t="str">
        <f t="shared" si="105"/>
        <v/>
      </c>
      <c r="DV759" s="873" t="str">
        <f t="shared" si="106"/>
        <v/>
      </c>
      <c r="DW759" s="873" t="str">
        <f t="shared" si="107"/>
        <v/>
      </c>
      <c r="DX759" s="873" t="str">
        <f t="shared" si="108"/>
        <v/>
      </c>
      <c r="DY759" s="873" t="str">
        <f t="shared" si="109"/>
        <v/>
      </c>
      <c r="DZ759" s="873" t="str">
        <f t="shared" si="110"/>
        <v/>
      </c>
      <c r="EA759" s="873" t="str">
        <f t="shared" si="111"/>
        <v/>
      </c>
      <c r="EB759" s="873" t="str">
        <f t="shared" si="112"/>
        <v/>
      </c>
      <c r="EC759" s="873" t="str">
        <f t="shared" si="113"/>
        <v/>
      </c>
      <c r="ED759" s="873" t="str">
        <f t="shared" si="114"/>
        <v/>
      </c>
      <c r="EE759" s="873" t="str">
        <f t="shared" si="115"/>
        <v/>
      </c>
      <c r="EF759" s="873" t="str">
        <f t="shared" si="116"/>
        <v/>
      </c>
      <c r="EG759" s="873" t="str">
        <f t="shared" si="117"/>
        <v/>
      </c>
      <c r="EH759" s="873" t="str">
        <f t="shared" si="118"/>
        <v/>
      </c>
      <c r="EI759" s="873" t="str">
        <f t="shared" si="119"/>
        <v/>
      </c>
      <c r="EJ759" s="873" t="str">
        <f t="shared" si="120"/>
        <v/>
      </c>
      <c r="EK759" s="873" t="str">
        <f t="shared" si="121"/>
        <v/>
      </c>
      <c r="EL759" s="873" t="str">
        <f t="shared" si="122"/>
        <v/>
      </c>
      <c r="EM759" s="873" t="str">
        <f t="shared" si="123"/>
        <v/>
      </c>
      <c r="EN759" s="873" t="str">
        <f t="shared" si="124"/>
        <v/>
      </c>
      <c r="EO759" s="873" t="str">
        <f t="shared" si="125"/>
        <v/>
      </c>
      <c r="EP759" s="873" t="str">
        <f t="shared" si="126"/>
        <v/>
      </c>
      <c r="EQ759" s="873" t="str">
        <f t="shared" si="127"/>
        <v/>
      </c>
      <c r="ER759" s="873" t="str">
        <f t="shared" si="128"/>
        <v/>
      </c>
      <c r="ES759" s="873" t="str">
        <f t="shared" si="129"/>
        <v/>
      </c>
      <c r="ET759" s="873" t="str">
        <f t="shared" si="130"/>
        <v/>
      </c>
      <c r="EU759" s="873" t="str">
        <f t="shared" si="131"/>
        <v/>
      </c>
      <c r="EV759" s="873" t="str">
        <f t="shared" si="132"/>
        <v/>
      </c>
      <c r="EW759" s="2288" t="str">
        <f t="shared" si="133"/>
        <v/>
      </c>
      <c r="EX759" s="2288" t="str">
        <f t="shared" si="134"/>
        <v/>
      </c>
      <c r="EY759" s="2288" t="str">
        <f t="shared" si="135"/>
        <v/>
      </c>
      <c r="EZ759" s="2288" t="str">
        <f t="shared" si="136"/>
        <v/>
      </c>
      <c r="FA759" s="2288" t="str">
        <f t="shared" si="137"/>
        <v/>
      </c>
      <c r="FB759" s="2288" t="str">
        <f t="shared" si="138"/>
        <v/>
      </c>
      <c r="FC759" s="2288" t="str">
        <f t="shared" si="139"/>
        <v/>
      </c>
      <c r="FD759" s="2288" t="str">
        <f t="shared" si="140"/>
        <v/>
      </c>
      <c r="FE759" s="2288" t="str">
        <f t="shared" si="141"/>
        <v/>
      </c>
      <c r="FF759" s="2288" t="str">
        <f t="shared" si="142"/>
        <v/>
      </c>
      <c r="FG759" s="2288" t="str">
        <f t="shared" si="143"/>
        <v/>
      </c>
      <c r="FH759" s="2288" t="str">
        <f t="shared" si="144"/>
        <v/>
      </c>
      <c r="FI759" s="2288" t="str">
        <f t="shared" si="145"/>
        <v/>
      </c>
      <c r="FJ759" s="2288" t="str">
        <f t="shared" si="146"/>
        <v/>
      </c>
      <c r="FK759" s="2288" t="str">
        <f t="shared" si="147"/>
        <v/>
      </c>
      <c r="FL759" s="2288" t="str">
        <f t="shared" si="148"/>
        <v/>
      </c>
      <c r="FM759" s="2288" t="str">
        <f t="shared" si="149"/>
        <v/>
      </c>
      <c r="FN759" s="2288" t="str">
        <f t="shared" si="150"/>
        <v/>
      </c>
      <c r="FO759" s="2288" t="str">
        <f t="shared" si="151"/>
        <v/>
      </c>
      <c r="FP759" s="2288" t="str">
        <f t="shared" si="152"/>
        <v/>
      </c>
      <c r="FQ759" s="2288" t="str">
        <f t="shared" si="153"/>
        <v/>
      </c>
      <c r="FR759" s="2288" t="str">
        <f t="shared" si="154"/>
        <v/>
      </c>
      <c r="FS759" s="2288" t="str">
        <f t="shared" si="155"/>
        <v/>
      </c>
      <c r="FT759" s="2288" t="str">
        <f t="shared" si="156"/>
        <v/>
      </c>
      <c r="FU759" s="2288" t="str">
        <f t="shared" si="157"/>
        <v/>
      </c>
      <c r="FV759" s="2288" t="str">
        <f t="shared" si="158"/>
        <v/>
      </c>
      <c r="FW759" s="2288" t="str">
        <f t="shared" si="159"/>
        <v/>
      </c>
      <c r="FX759" s="2288" t="str">
        <f t="shared" si="160"/>
        <v/>
      </c>
      <c r="FY759" s="2288" t="str">
        <f t="shared" si="161"/>
        <v/>
      </c>
      <c r="FZ759" s="2288" t="str">
        <f t="shared" si="162"/>
        <v/>
      </c>
      <c r="GA759" s="2288" t="str">
        <f t="shared" si="163"/>
        <v/>
      </c>
      <c r="GB759" s="2288" t="str">
        <f t="shared" si="164"/>
        <v/>
      </c>
      <c r="GC759" s="2288" t="str">
        <f t="shared" si="165"/>
        <v/>
      </c>
      <c r="GD759" s="2288" t="str">
        <f t="shared" si="166"/>
        <v/>
      </c>
      <c r="GE759" s="2288" t="str">
        <f t="shared" si="167"/>
        <v/>
      </c>
      <c r="GF759" s="2288" t="str">
        <f t="shared" si="168"/>
        <v/>
      </c>
      <c r="GG759" s="2288" t="str">
        <f t="shared" si="169"/>
        <v/>
      </c>
      <c r="GH759" s="2288" t="str">
        <f t="shared" si="170"/>
        <v/>
      </c>
      <c r="GI759" s="2288" t="str">
        <f t="shared" si="171"/>
        <v/>
      </c>
      <c r="GJ759" s="2288" t="str">
        <f t="shared" si="172"/>
        <v/>
      </c>
      <c r="GK759" s="2288" t="str">
        <f t="shared" si="173"/>
        <v/>
      </c>
      <c r="GL759" s="2288" t="str">
        <f t="shared" si="174"/>
        <v/>
      </c>
      <c r="GM759" s="2288" t="str">
        <f t="shared" si="175"/>
        <v/>
      </c>
      <c r="GN759" s="2288" t="str">
        <f t="shared" si="176"/>
        <v/>
      </c>
      <c r="GO759" s="2288" t="str">
        <f t="shared" si="177"/>
        <v/>
      </c>
      <c r="GP759" s="2288" t="str">
        <f t="shared" si="178"/>
        <v/>
      </c>
      <c r="GQ759" s="2288" t="str">
        <f t="shared" si="179"/>
        <v/>
      </c>
      <c r="GR759" s="2288" t="str">
        <f t="shared" si="180"/>
        <v/>
      </c>
      <c r="GS759" s="2288" t="str">
        <f t="shared" si="181"/>
        <v/>
      </c>
      <c r="GT759" s="2288" t="str">
        <f t="shared" si="182"/>
        <v/>
      </c>
      <c r="GU759" s="2288" t="str">
        <f t="shared" si="183"/>
        <v/>
      </c>
      <c r="GV759" s="2288" t="str">
        <f t="shared" si="184"/>
        <v/>
      </c>
      <c r="GW759" s="2288" t="str">
        <f t="shared" si="185"/>
        <v/>
      </c>
      <c r="GX759" s="2288" t="str">
        <f t="shared" si="186"/>
        <v/>
      </c>
      <c r="GY759" s="2288" t="str">
        <f t="shared" si="187"/>
        <v/>
      </c>
      <c r="GZ759" s="2288" t="str">
        <f t="shared" si="188"/>
        <v/>
      </c>
      <c r="HA759" s="2288" t="str">
        <f t="shared" si="189"/>
        <v/>
      </c>
      <c r="HB759" s="2288" t="str">
        <f t="shared" si="190"/>
        <v/>
      </c>
      <c r="HC759" s="2288" t="str">
        <f t="shared" si="191"/>
        <v/>
      </c>
      <c r="HD759" s="2288" t="str">
        <f t="shared" si="192"/>
        <v/>
      </c>
      <c r="HE759" s="2288" t="str">
        <f t="shared" si="193"/>
        <v/>
      </c>
      <c r="HF759" s="2288" t="str">
        <f t="shared" si="194"/>
        <v/>
      </c>
      <c r="HG759" s="2288" t="str">
        <f t="shared" si="195"/>
        <v/>
      </c>
      <c r="HH759" s="2288" t="str">
        <f t="shared" si="196"/>
        <v/>
      </c>
      <c r="HI759" s="2288" t="str">
        <f t="shared" si="197"/>
        <v/>
      </c>
      <c r="HJ759" s="2288" t="str">
        <f t="shared" si="198"/>
        <v/>
      </c>
      <c r="HK759" s="2288" t="str">
        <f t="shared" si="199"/>
        <v/>
      </c>
      <c r="HL759" s="2288" t="str">
        <f t="shared" si="200"/>
        <v/>
      </c>
      <c r="HM759" s="2288" t="str">
        <f t="shared" si="201"/>
        <v/>
      </c>
      <c r="HN759" s="2288" t="str">
        <f t="shared" si="202"/>
        <v/>
      </c>
      <c r="HO759" s="2288" t="str">
        <f t="shared" si="203"/>
        <v/>
      </c>
      <c r="HP759" s="2288" t="str">
        <f t="shared" si="204"/>
        <v/>
      </c>
      <c r="HQ759" s="2288" t="str">
        <f t="shared" si="205"/>
        <v/>
      </c>
      <c r="HR759" s="2288" t="str">
        <f t="shared" si="206"/>
        <v/>
      </c>
      <c r="HS759" s="2288" t="str">
        <f t="shared" si="207"/>
        <v/>
      </c>
      <c r="HT759" s="2288" t="str">
        <f t="shared" si="208"/>
        <v/>
      </c>
      <c r="HU759" s="2288" t="str">
        <f t="shared" si="209"/>
        <v/>
      </c>
      <c r="HV759" s="2288" t="str">
        <f t="shared" si="210"/>
        <v/>
      </c>
      <c r="HW759" s="2288" t="str">
        <f t="shared" si="211"/>
        <v/>
      </c>
      <c r="HX759" s="2288" t="str">
        <f t="shared" si="212"/>
        <v/>
      </c>
      <c r="HY759" s="2288" t="str">
        <f t="shared" si="213"/>
        <v/>
      </c>
      <c r="HZ759" s="2288" t="str">
        <f t="shared" si="214"/>
        <v/>
      </c>
      <c r="IA759" s="2288" t="str">
        <f t="shared" si="215"/>
        <v/>
      </c>
      <c r="IB759" s="2288" t="str">
        <f t="shared" si="216"/>
        <v/>
      </c>
      <c r="IC759" s="2288" t="str">
        <f t="shared" si="217"/>
        <v/>
      </c>
      <c r="ID759" s="2255" t="str">
        <f t="shared" si="218"/>
        <v/>
      </c>
      <c r="IE759" s="2255" t="str">
        <f t="shared" si="219"/>
        <v/>
      </c>
      <c r="IF759" s="2255" t="str">
        <f t="shared" si="220"/>
        <v/>
      </c>
      <c r="IG759" s="2255" t="str">
        <f t="shared" si="221"/>
        <v/>
      </c>
      <c r="IH759" s="2255" t="str">
        <f t="shared" si="222"/>
        <v/>
      </c>
      <c r="II759" s="873" t="str">
        <f t="shared" si="223"/>
        <v/>
      </c>
      <c r="IJ759" s="873" t="str">
        <f t="shared" si="224"/>
        <v/>
      </c>
      <c r="IK759" s="873" t="str">
        <f t="shared" si="225"/>
        <v/>
      </c>
      <c r="IL759" s="873" t="str">
        <f t="shared" si="226"/>
        <v/>
      </c>
      <c r="IM759" s="873" t="str">
        <f t="shared" si="227"/>
        <v/>
      </c>
      <c r="IN759" s="873" t="str">
        <f t="shared" si="228"/>
        <v/>
      </c>
      <c r="IO759" s="873" t="str">
        <f t="shared" si="229"/>
        <v/>
      </c>
      <c r="IP759" s="873" t="str">
        <f t="shared" si="230"/>
        <v/>
      </c>
      <c r="IQ759" s="873" t="str">
        <f t="shared" si="231"/>
        <v/>
      </c>
      <c r="IR759" s="873" t="str">
        <f t="shared" si="232"/>
        <v/>
      </c>
      <c r="IS759" s="873" t="str">
        <f t="shared" si="233"/>
        <v/>
      </c>
      <c r="IT759" s="873" t="str">
        <f t="shared" si="234"/>
        <v/>
      </c>
      <c r="IU759" s="873" t="str">
        <f t="shared" si="235"/>
        <v/>
      </c>
      <c r="IV759" s="873" t="str">
        <f t="shared" si="236"/>
        <v/>
      </c>
      <c r="IW759" s="873" t="str">
        <f t="shared" si="237"/>
        <v/>
      </c>
      <c r="IX759" s="873" t="str">
        <f t="shared" si="238"/>
        <v/>
      </c>
      <c r="IY759" s="873" t="str">
        <f t="shared" si="239"/>
        <v/>
      </c>
      <c r="IZ759" s="873" t="str">
        <f t="shared" si="240"/>
        <v/>
      </c>
      <c r="JA759" s="873" t="str">
        <f t="shared" si="241"/>
        <v/>
      </c>
      <c r="JB759" s="873" t="str">
        <f t="shared" si="242"/>
        <v/>
      </c>
      <c r="JC759" s="2253">
        <f t="shared" si="243"/>
        <v>0</v>
      </c>
      <c r="JD759" s="2253">
        <f t="shared" si="244"/>
        <v>0</v>
      </c>
      <c r="JE759" s="2253">
        <f t="shared" si="245"/>
        <v>0</v>
      </c>
      <c r="JF759" s="2253">
        <f t="shared" si="246"/>
        <v>0</v>
      </c>
      <c r="JG759" s="2253">
        <f t="shared" si="247"/>
        <v>0</v>
      </c>
      <c r="JH759" s="2253">
        <f t="shared" si="248"/>
        <v>0</v>
      </c>
      <c r="JI759" s="2253">
        <f t="shared" si="249"/>
        <v>0</v>
      </c>
      <c r="JJ759" s="2253">
        <f t="shared" si="250"/>
        <v>0</v>
      </c>
      <c r="JK759" s="2253">
        <f t="shared" si="251"/>
        <v>0</v>
      </c>
      <c r="JL759" s="2253">
        <f t="shared" si="252"/>
        <v>0</v>
      </c>
      <c r="JM759" s="2253">
        <f t="shared" si="253"/>
        <v>0</v>
      </c>
      <c r="JN759" s="2253">
        <f t="shared" si="254"/>
        <v>0</v>
      </c>
      <c r="JO759" s="2253">
        <f t="shared" si="255"/>
        <v>0</v>
      </c>
      <c r="JP759" s="2253">
        <f t="shared" si="256"/>
        <v>0</v>
      </c>
      <c r="JQ759" s="2253">
        <f t="shared" si="257"/>
        <v>0</v>
      </c>
    </row>
    <row r="760" spans="1:277" ht="12" customHeight="1">
      <c r="A760" s="2258" t="str">
        <f t="shared" si="0"/>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1"/>
        <v>0</v>
      </c>
      <c r="L760" s="2284">
        <f t="shared" si="2"/>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6"/>
      <c r="V760" s="2176"/>
      <c r="W760" s="873" t="str">
        <f t="shared" si="3"/>
        <v/>
      </c>
      <c r="X760" s="873" t="str">
        <f t="shared" si="4"/>
        <v/>
      </c>
      <c r="Y760" s="873" t="str">
        <f t="shared" si="5"/>
        <v/>
      </c>
      <c r="Z760" s="873" t="str">
        <f t="shared" si="6"/>
        <v/>
      </c>
      <c r="AA760" s="873" t="str">
        <f t="shared" si="7"/>
        <v/>
      </c>
      <c r="AB760" s="873" t="str">
        <f t="shared" si="8"/>
        <v/>
      </c>
      <c r="AC760" s="873" t="str">
        <f t="shared" si="9"/>
        <v/>
      </c>
      <c r="AD760" s="873" t="str">
        <f t="shared" si="10"/>
        <v/>
      </c>
      <c r="AE760" s="873" t="str">
        <f t="shared" si="11"/>
        <v/>
      </c>
      <c r="AF760" s="873" t="str">
        <f t="shared" si="12"/>
        <v/>
      </c>
      <c r="AG760" s="873" t="str">
        <f t="shared" si="13"/>
        <v/>
      </c>
      <c r="AH760" s="873" t="str">
        <f t="shared" si="14"/>
        <v/>
      </c>
      <c r="AI760" s="873" t="str">
        <f t="shared" si="15"/>
        <v/>
      </c>
      <c r="AJ760" s="873" t="str">
        <f t="shared" si="16"/>
        <v/>
      </c>
      <c r="AK760" s="873" t="str">
        <f t="shared" si="17"/>
        <v/>
      </c>
      <c r="AL760" s="873" t="str">
        <f t="shared" si="18"/>
        <v/>
      </c>
      <c r="AM760" s="873" t="str">
        <f t="shared" si="19"/>
        <v/>
      </c>
      <c r="AN760" s="873" t="str">
        <f t="shared" si="20"/>
        <v/>
      </c>
      <c r="AO760" s="873" t="str">
        <f t="shared" si="21"/>
        <v/>
      </c>
      <c r="AP760" s="873" t="str">
        <f t="shared" si="22"/>
        <v/>
      </c>
      <c r="AQ760" s="873" t="str">
        <f t="shared" si="23"/>
        <v/>
      </c>
      <c r="AR760" s="873" t="str">
        <f t="shared" si="24"/>
        <v/>
      </c>
      <c r="AS760" s="873" t="str">
        <f t="shared" si="25"/>
        <v/>
      </c>
      <c r="AT760" s="873" t="str">
        <f t="shared" si="26"/>
        <v/>
      </c>
      <c r="AU760" s="873" t="str">
        <f t="shared" si="27"/>
        <v/>
      </c>
      <c r="AV760" s="873" t="str">
        <f t="shared" si="28"/>
        <v/>
      </c>
      <c r="AW760" s="873" t="str">
        <f t="shared" si="29"/>
        <v/>
      </c>
      <c r="AX760" s="873" t="str">
        <f t="shared" si="30"/>
        <v/>
      </c>
      <c r="AY760" s="873" t="str">
        <f t="shared" si="31"/>
        <v/>
      </c>
      <c r="AZ760" s="873" t="str">
        <f t="shared" si="32"/>
        <v/>
      </c>
      <c r="BA760" s="873" t="str">
        <f t="shared" si="33"/>
        <v/>
      </c>
      <c r="BB760" s="873" t="str">
        <f t="shared" si="34"/>
        <v/>
      </c>
      <c r="BC760" s="873" t="str">
        <f t="shared" si="35"/>
        <v/>
      </c>
      <c r="BD760" s="873" t="str">
        <f t="shared" si="36"/>
        <v/>
      </c>
      <c r="BE760" s="873" t="str">
        <f t="shared" si="37"/>
        <v/>
      </c>
      <c r="BF760" s="873" t="str">
        <f t="shared" si="38"/>
        <v/>
      </c>
      <c r="BG760" s="873" t="str">
        <f t="shared" si="39"/>
        <v/>
      </c>
      <c r="BH760" s="873" t="str">
        <f t="shared" si="40"/>
        <v/>
      </c>
      <c r="BI760" s="873" t="str">
        <f t="shared" si="41"/>
        <v/>
      </c>
      <c r="BJ760" s="873" t="str">
        <f t="shared" si="42"/>
        <v/>
      </c>
      <c r="BK760" s="873" t="str">
        <f t="shared" si="43"/>
        <v/>
      </c>
      <c r="BL760" s="873" t="str">
        <f t="shared" si="44"/>
        <v/>
      </c>
      <c r="BM760" s="873" t="str">
        <f t="shared" si="45"/>
        <v/>
      </c>
      <c r="BN760" s="873" t="str">
        <f t="shared" si="46"/>
        <v/>
      </c>
      <c r="BO760" s="873" t="str">
        <f t="shared" si="47"/>
        <v/>
      </c>
      <c r="BP760" s="873" t="str">
        <f t="shared" si="48"/>
        <v/>
      </c>
      <c r="BQ760" s="873" t="str">
        <f t="shared" si="49"/>
        <v/>
      </c>
      <c r="BR760" s="873" t="str">
        <f t="shared" si="50"/>
        <v/>
      </c>
      <c r="BS760" s="873" t="str">
        <f t="shared" si="51"/>
        <v/>
      </c>
      <c r="BT760" s="873" t="str">
        <f t="shared" si="52"/>
        <v/>
      </c>
      <c r="BU760" s="873" t="str">
        <f t="shared" si="53"/>
        <v/>
      </c>
      <c r="BV760" s="873" t="str">
        <f t="shared" si="54"/>
        <v/>
      </c>
      <c r="BW760" s="873" t="str">
        <f t="shared" si="55"/>
        <v/>
      </c>
      <c r="BX760" s="873" t="str">
        <f t="shared" si="56"/>
        <v/>
      </c>
      <c r="BY760" s="873" t="str">
        <f t="shared" si="57"/>
        <v/>
      </c>
      <c r="BZ760" s="873" t="str">
        <f t="shared" si="58"/>
        <v/>
      </c>
      <c r="CA760" s="873" t="str">
        <f t="shared" si="59"/>
        <v/>
      </c>
      <c r="CB760" s="873" t="str">
        <f t="shared" si="60"/>
        <v/>
      </c>
      <c r="CC760" s="873" t="str">
        <f t="shared" si="61"/>
        <v/>
      </c>
      <c r="CD760" s="873" t="str">
        <f t="shared" si="62"/>
        <v/>
      </c>
      <c r="CE760" s="873" t="str">
        <f t="shared" si="63"/>
        <v/>
      </c>
      <c r="CF760" s="873" t="str">
        <f t="shared" si="64"/>
        <v/>
      </c>
      <c r="CG760" s="873" t="str">
        <f t="shared" si="65"/>
        <v/>
      </c>
      <c r="CH760" s="873" t="str">
        <f t="shared" si="66"/>
        <v/>
      </c>
      <c r="CI760" s="873" t="str">
        <f t="shared" si="67"/>
        <v/>
      </c>
      <c r="CJ760" s="873" t="str">
        <f t="shared" si="68"/>
        <v/>
      </c>
      <c r="CK760" s="873" t="str">
        <f t="shared" si="69"/>
        <v/>
      </c>
      <c r="CL760" s="873" t="str">
        <f t="shared" si="70"/>
        <v/>
      </c>
      <c r="CM760" s="873" t="str">
        <f t="shared" si="71"/>
        <v/>
      </c>
      <c r="CN760" s="873" t="str">
        <f t="shared" si="72"/>
        <v/>
      </c>
      <c r="CO760" s="873" t="str">
        <f t="shared" si="73"/>
        <v/>
      </c>
      <c r="CP760" s="873" t="str">
        <f t="shared" si="74"/>
        <v/>
      </c>
      <c r="CQ760" s="873" t="str">
        <f t="shared" si="75"/>
        <v/>
      </c>
      <c r="CR760" s="873" t="str">
        <f t="shared" si="76"/>
        <v/>
      </c>
      <c r="CS760" s="873" t="str">
        <f t="shared" si="77"/>
        <v/>
      </c>
      <c r="CT760" s="873" t="str">
        <f t="shared" si="78"/>
        <v/>
      </c>
      <c r="CU760" s="873" t="str">
        <f t="shared" si="79"/>
        <v/>
      </c>
      <c r="CV760" s="873" t="str">
        <f t="shared" si="80"/>
        <v/>
      </c>
      <c r="CW760" s="873" t="str">
        <f t="shared" si="81"/>
        <v/>
      </c>
      <c r="CX760" s="873" t="str">
        <f t="shared" si="82"/>
        <v/>
      </c>
      <c r="CY760" s="873" t="str">
        <f t="shared" si="83"/>
        <v/>
      </c>
      <c r="CZ760" s="873" t="str">
        <f t="shared" si="84"/>
        <v/>
      </c>
      <c r="DA760" s="873" t="str">
        <f t="shared" si="85"/>
        <v/>
      </c>
      <c r="DB760" s="873" t="str">
        <f t="shared" si="86"/>
        <v/>
      </c>
      <c r="DC760" s="873" t="str">
        <f t="shared" si="87"/>
        <v/>
      </c>
      <c r="DD760" s="873" t="str">
        <f t="shared" si="88"/>
        <v/>
      </c>
      <c r="DE760" s="873" t="str">
        <f t="shared" si="89"/>
        <v/>
      </c>
      <c r="DF760" s="873" t="str">
        <f t="shared" si="90"/>
        <v/>
      </c>
      <c r="DG760" s="873" t="str">
        <f t="shared" si="91"/>
        <v/>
      </c>
      <c r="DH760" s="873" t="str">
        <f t="shared" si="92"/>
        <v/>
      </c>
      <c r="DI760" s="873" t="str">
        <f t="shared" si="93"/>
        <v/>
      </c>
      <c r="DJ760" s="873" t="str">
        <f t="shared" si="94"/>
        <v/>
      </c>
      <c r="DK760" s="873" t="str">
        <f t="shared" si="95"/>
        <v/>
      </c>
      <c r="DL760" s="873" t="str">
        <f t="shared" si="96"/>
        <v/>
      </c>
      <c r="DM760" s="873" t="str">
        <f t="shared" si="97"/>
        <v/>
      </c>
      <c r="DN760" s="873" t="str">
        <f t="shared" si="98"/>
        <v/>
      </c>
      <c r="DO760" s="873" t="str">
        <f t="shared" si="99"/>
        <v/>
      </c>
      <c r="DP760" s="873" t="str">
        <f t="shared" si="100"/>
        <v/>
      </c>
      <c r="DQ760" s="873" t="str">
        <f t="shared" si="101"/>
        <v/>
      </c>
      <c r="DR760" s="873" t="str">
        <f t="shared" si="102"/>
        <v/>
      </c>
      <c r="DS760" s="873" t="str">
        <f t="shared" si="103"/>
        <v/>
      </c>
      <c r="DT760" s="873" t="str">
        <f t="shared" si="104"/>
        <v/>
      </c>
      <c r="DU760" s="873" t="str">
        <f t="shared" si="105"/>
        <v/>
      </c>
      <c r="DV760" s="873" t="str">
        <f t="shared" si="106"/>
        <v/>
      </c>
      <c r="DW760" s="873" t="str">
        <f t="shared" si="107"/>
        <v/>
      </c>
      <c r="DX760" s="873" t="str">
        <f t="shared" si="108"/>
        <v/>
      </c>
      <c r="DY760" s="873" t="str">
        <f t="shared" si="109"/>
        <v/>
      </c>
      <c r="DZ760" s="873" t="str">
        <f t="shared" si="110"/>
        <v/>
      </c>
      <c r="EA760" s="873" t="str">
        <f t="shared" si="111"/>
        <v/>
      </c>
      <c r="EB760" s="873" t="str">
        <f t="shared" si="112"/>
        <v/>
      </c>
      <c r="EC760" s="873" t="str">
        <f t="shared" si="113"/>
        <v/>
      </c>
      <c r="ED760" s="873" t="str">
        <f t="shared" si="114"/>
        <v/>
      </c>
      <c r="EE760" s="873" t="str">
        <f t="shared" si="115"/>
        <v/>
      </c>
      <c r="EF760" s="873" t="str">
        <f t="shared" si="116"/>
        <v/>
      </c>
      <c r="EG760" s="873" t="str">
        <f t="shared" si="117"/>
        <v/>
      </c>
      <c r="EH760" s="873" t="str">
        <f t="shared" si="118"/>
        <v/>
      </c>
      <c r="EI760" s="873" t="str">
        <f t="shared" si="119"/>
        <v/>
      </c>
      <c r="EJ760" s="873" t="str">
        <f t="shared" si="120"/>
        <v/>
      </c>
      <c r="EK760" s="873" t="str">
        <f t="shared" si="121"/>
        <v/>
      </c>
      <c r="EL760" s="873" t="str">
        <f t="shared" si="122"/>
        <v/>
      </c>
      <c r="EM760" s="873" t="str">
        <f t="shared" si="123"/>
        <v/>
      </c>
      <c r="EN760" s="873" t="str">
        <f t="shared" si="124"/>
        <v/>
      </c>
      <c r="EO760" s="873" t="str">
        <f t="shared" si="125"/>
        <v/>
      </c>
      <c r="EP760" s="873" t="str">
        <f t="shared" si="126"/>
        <v/>
      </c>
      <c r="EQ760" s="873" t="str">
        <f t="shared" si="127"/>
        <v/>
      </c>
      <c r="ER760" s="873" t="str">
        <f t="shared" si="128"/>
        <v/>
      </c>
      <c r="ES760" s="873" t="str">
        <f t="shared" si="129"/>
        <v/>
      </c>
      <c r="ET760" s="873" t="str">
        <f t="shared" si="130"/>
        <v/>
      </c>
      <c r="EU760" s="873" t="str">
        <f t="shared" si="131"/>
        <v/>
      </c>
      <c r="EV760" s="873" t="str">
        <f t="shared" si="132"/>
        <v/>
      </c>
      <c r="EW760" s="2288" t="str">
        <f t="shared" si="133"/>
        <v/>
      </c>
      <c r="EX760" s="2288" t="str">
        <f t="shared" si="134"/>
        <v/>
      </c>
      <c r="EY760" s="2288" t="str">
        <f t="shared" si="135"/>
        <v/>
      </c>
      <c r="EZ760" s="2288" t="str">
        <f t="shared" si="136"/>
        <v/>
      </c>
      <c r="FA760" s="2288" t="str">
        <f t="shared" si="137"/>
        <v/>
      </c>
      <c r="FB760" s="2288" t="str">
        <f t="shared" si="138"/>
        <v/>
      </c>
      <c r="FC760" s="2288" t="str">
        <f t="shared" si="139"/>
        <v/>
      </c>
      <c r="FD760" s="2288" t="str">
        <f t="shared" si="140"/>
        <v/>
      </c>
      <c r="FE760" s="2288" t="str">
        <f t="shared" si="141"/>
        <v/>
      </c>
      <c r="FF760" s="2288" t="str">
        <f t="shared" si="142"/>
        <v/>
      </c>
      <c r="FG760" s="2288" t="str">
        <f t="shared" si="143"/>
        <v/>
      </c>
      <c r="FH760" s="2288" t="str">
        <f t="shared" si="144"/>
        <v/>
      </c>
      <c r="FI760" s="2288" t="str">
        <f t="shared" si="145"/>
        <v/>
      </c>
      <c r="FJ760" s="2288" t="str">
        <f t="shared" si="146"/>
        <v/>
      </c>
      <c r="FK760" s="2288" t="str">
        <f t="shared" si="147"/>
        <v/>
      </c>
      <c r="FL760" s="2288" t="str">
        <f t="shared" si="148"/>
        <v/>
      </c>
      <c r="FM760" s="2288" t="str">
        <f t="shared" si="149"/>
        <v/>
      </c>
      <c r="FN760" s="2288" t="str">
        <f t="shared" si="150"/>
        <v/>
      </c>
      <c r="FO760" s="2288" t="str">
        <f t="shared" si="151"/>
        <v/>
      </c>
      <c r="FP760" s="2288" t="str">
        <f t="shared" si="152"/>
        <v/>
      </c>
      <c r="FQ760" s="2288" t="str">
        <f t="shared" si="153"/>
        <v/>
      </c>
      <c r="FR760" s="2288" t="str">
        <f t="shared" si="154"/>
        <v/>
      </c>
      <c r="FS760" s="2288" t="str">
        <f t="shared" si="155"/>
        <v/>
      </c>
      <c r="FT760" s="2288" t="str">
        <f t="shared" si="156"/>
        <v/>
      </c>
      <c r="FU760" s="2288" t="str">
        <f t="shared" si="157"/>
        <v/>
      </c>
      <c r="FV760" s="2288" t="str">
        <f t="shared" si="158"/>
        <v/>
      </c>
      <c r="FW760" s="2288" t="str">
        <f t="shared" si="159"/>
        <v/>
      </c>
      <c r="FX760" s="2288" t="str">
        <f t="shared" si="160"/>
        <v/>
      </c>
      <c r="FY760" s="2288" t="str">
        <f t="shared" si="161"/>
        <v/>
      </c>
      <c r="FZ760" s="2288" t="str">
        <f t="shared" si="162"/>
        <v/>
      </c>
      <c r="GA760" s="2288" t="str">
        <f t="shared" si="163"/>
        <v/>
      </c>
      <c r="GB760" s="2288" t="str">
        <f t="shared" si="164"/>
        <v/>
      </c>
      <c r="GC760" s="2288" t="str">
        <f t="shared" si="165"/>
        <v/>
      </c>
      <c r="GD760" s="2288" t="str">
        <f t="shared" si="166"/>
        <v/>
      </c>
      <c r="GE760" s="2288" t="str">
        <f t="shared" si="167"/>
        <v/>
      </c>
      <c r="GF760" s="2288" t="str">
        <f t="shared" si="168"/>
        <v/>
      </c>
      <c r="GG760" s="2288" t="str">
        <f t="shared" si="169"/>
        <v/>
      </c>
      <c r="GH760" s="2288" t="str">
        <f t="shared" si="170"/>
        <v/>
      </c>
      <c r="GI760" s="2288" t="str">
        <f t="shared" si="171"/>
        <v/>
      </c>
      <c r="GJ760" s="2288" t="str">
        <f t="shared" si="172"/>
        <v/>
      </c>
      <c r="GK760" s="2288" t="str">
        <f t="shared" si="173"/>
        <v/>
      </c>
      <c r="GL760" s="2288" t="str">
        <f t="shared" si="174"/>
        <v/>
      </c>
      <c r="GM760" s="2288" t="str">
        <f t="shared" si="175"/>
        <v/>
      </c>
      <c r="GN760" s="2288" t="str">
        <f t="shared" si="176"/>
        <v/>
      </c>
      <c r="GO760" s="2288" t="str">
        <f t="shared" si="177"/>
        <v/>
      </c>
      <c r="GP760" s="2288" t="str">
        <f t="shared" si="178"/>
        <v/>
      </c>
      <c r="GQ760" s="2288" t="str">
        <f t="shared" si="179"/>
        <v/>
      </c>
      <c r="GR760" s="2288" t="str">
        <f t="shared" si="180"/>
        <v/>
      </c>
      <c r="GS760" s="2288" t="str">
        <f t="shared" si="181"/>
        <v/>
      </c>
      <c r="GT760" s="2288" t="str">
        <f t="shared" si="182"/>
        <v/>
      </c>
      <c r="GU760" s="2288" t="str">
        <f t="shared" si="183"/>
        <v/>
      </c>
      <c r="GV760" s="2288" t="str">
        <f t="shared" si="184"/>
        <v/>
      </c>
      <c r="GW760" s="2288" t="str">
        <f t="shared" si="185"/>
        <v/>
      </c>
      <c r="GX760" s="2288" t="str">
        <f t="shared" si="186"/>
        <v/>
      </c>
      <c r="GY760" s="2288" t="str">
        <f t="shared" si="187"/>
        <v/>
      </c>
      <c r="GZ760" s="2288" t="str">
        <f t="shared" si="188"/>
        <v/>
      </c>
      <c r="HA760" s="2288" t="str">
        <f t="shared" si="189"/>
        <v/>
      </c>
      <c r="HB760" s="2288" t="str">
        <f t="shared" si="190"/>
        <v/>
      </c>
      <c r="HC760" s="2288" t="str">
        <f t="shared" si="191"/>
        <v/>
      </c>
      <c r="HD760" s="2288" t="str">
        <f t="shared" si="192"/>
        <v/>
      </c>
      <c r="HE760" s="2288" t="str">
        <f t="shared" si="193"/>
        <v/>
      </c>
      <c r="HF760" s="2288" t="str">
        <f t="shared" si="194"/>
        <v/>
      </c>
      <c r="HG760" s="2288" t="str">
        <f t="shared" si="195"/>
        <v/>
      </c>
      <c r="HH760" s="2288" t="str">
        <f t="shared" si="196"/>
        <v/>
      </c>
      <c r="HI760" s="2288" t="str">
        <f t="shared" si="197"/>
        <v/>
      </c>
      <c r="HJ760" s="2288" t="str">
        <f t="shared" si="198"/>
        <v/>
      </c>
      <c r="HK760" s="2288" t="str">
        <f t="shared" si="199"/>
        <v/>
      </c>
      <c r="HL760" s="2288" t="str">
        <f t="shared" si="200"/>
        <v/>
      </c>
      <c r="HM760" s="2288" t="str">
        <f t="shared" si="201"/>
        <v/>
      </c>
      <c r="HN760" s="2288" t="str">
        <f t="shared" si="202"/>
        <v/>
      </c>
      <c r="HO760" s="2288" t="str">
        <f t="shared" si="203"/>
        <v/>
      </c>
      <c r="HP760" s="2288" t="str">
        <f t="shared" si="204"/>
        <v/>
      </c>
      <c r="HQ760" s="2288" t="str">
        <f t="shared" si="205"/>
        <v/>
      </c>
      <c r="HR760" s="2288" t="str">
        <f t="shared" si="206"/>
        <v/>
      </c>
      <c r="HS760" s="2288" t="str">
        <f t="shared" si="207"/>
        <v/>
      </c>
      <c r="HT760" s="2288" t="str">
        <f t="shared" si="208"/>
        <v/>
      </c>
      <c r="HU760" s="2288" t="str">
        <f t="shared" si="209"/>
        <v/>
      </c>
      <c r="HV760" s="2288" t="str">
        <f t="shared" si="210"/>
        <v/>
      </c>
      <c r="HW760" s="2288" t="str">
        <f t="shared" si="211"/>
        <v/>
      </c>
      <c r="HX760" s="2288" t="str">
        <f t="shared" si="212"/>
        <v/>
      </c>
      <c r="HY760" s="2288" t="str">
        <f t="shared" si="213"/>
        <v/>
      </c>
      <c r="HZ760" s="2288" t="str">
        <f t="shared" si="214"/>
        <v/>
      </c>
      <c r="IA760" s="2288" t="str">
        <f t="shared" si="215"/>
        <v/>
      </c>
      <c r="IB760" s="2288" t="str">
        <f t="shared" si="216"/>
        <v/>
      </c>
      <c r="IC760" s="2288" t="str">
        <f t="shared" si="217"/>
        <v/>
      </c>
      <c r="ID760" s="2255" t="str">
        <f t="shared" si="218"/>
        <v/>
      </c>
      <c r="IE760" s="2255" t="str">
        <f t="shared" si="219"/>
        <v/>
      </c>
      <c r="IF760" s="2255" t="str">
        <f t="shared" si="220"/>
        <v/>
      </c>
      <c r="IG760" s="2255" t="str">
        <f t="shared" si="221"/>
        <v/>
      </c>
      <c r="IH760" s="2255" t="str">
        <f t="shared" si="222"/>
        <v/>
      </c>
      <c r="II760" s="873" t="str">
        <f t="shared" si="223"/>
        <v/>
      </c>
      <c r="IJ760" s="873" t="str">
        <f t="shared" si="224"/>
        <v/>
      </c>
      <c r="IK760" s="873" t="str">
        <f t="shared" si="225"/>
        <v/>
      </c>
      <c r="IL760" s="873" t="str">
        <f t="shared" si="226"/>
        <v/>
      </c>
      <c r="IM760" s="873" t="str">
        <f t="shared" si="227"/>
        <v/>
      </c>
      <c r="IN760" s="873" t="str">
        <f t="shared" si="228"/>
        <v/>
      </c>
      <c r="IO760" s="873" t="str">
        <f t="shared" si="229"/>
        <v/>
      </c>
      <c r="IP760" s="873" t="str">
        <f t="shared" si="230"/>
        <v/>
      </c>
      <c r="IQ760" s="873" t="str">
        <f t="shared" si="231"/>
        <v/>
      </c>
      <c r="IR760" s="873" t="str">
        <f t="shared" si="232"/>
        <v/>
      </c>
      <c r="IS760" s="873" t="str">
        <f t="shared" si="233"/>
        <v/>
      </c>
      <c r="IT760" s="873" t="str">
        <f t="shared" si="234"/>
        <v/>
      </c>
      <c r="IU760" s="873" t="str">
        <f t="shared" si="235"/>
        <v/>
      </c>
      <c r="IV760" s="873" t="str">
        <f t="shared" si="236"/>
        <v/>
      </c>
      <c r="IW760" s="873" t="str">
        <f t="shared" si="237"/>
        <v/>
      </c>
      <c r="IX760" s="873" t="str">
        <f t="shared" si="238"/>
        <v/>
      </c>
      <c r="IY760" s="873" t="str">
        <f t="shared" si="239"/>
        <v/>
      </c>
      <c r="IZ760" s="873" t="str">
        <f t="shared" si="240"/>
        <v/>
      </c>
      <c r="JA760" s="873" t="str">
        <f t="shared" si="241"/>
        <v/>
      </c>
      <c r="JB760" s="873" t="str">
        <f t="shared" si="242"/>
        <v/>
      </c>
      <c r="JC760" s="2253">
        <f t="shared" si="243"/>
        <v>0</v>
      </c>
      <c r="JD760" s="2253">
        <f t="shared" si="244"/>
        <v>0</v>
      </c>
      <c r="JE760" s="2253">
        <f t="shared" si="245"/>
        <v>0</v>
      </c>
      <c r="JF760" s="2253">
        <f t="shared" si="246"/>
        <v>0</v>
      </c>
      <c r="JG760" s="2253">
        <f t="shared" si="247"/>
        <v>0</v>
      </c>
      <c r="JH760" s="2253">
        <f t="shared" si="248"/>
        <v>0</v>
      </c>
      <c r="JI760" s="2253">
        <f t="shared" si="249"/>
        <v>0</v>
      </c>
      <c r="JJ760" s="2253">
        <f t="shared" si="250"/>
        <v>0</v>
      </c>
      <c r="JK760" s="2253">
        <f t="shared" si="251"/>
        <v>0</v>
      </c>
      <c r="JL760" s="2253">
        <f t="shared" si="252"/>
        <v>0</v>
      </c>
      <c r="JM760" s="2253">
        <f t="shared" si="253"/>
        <v>0</v>
      </c>
      <c r="JN760" s="2253">
        <f t="shared" si="254"/>
        <v>0</v>
      </c>
      <c r="JO760" s="2253">
        <f t="shared" si="255"/>
        <v>0</v>
      </c>
      <c r="JP760" s="2253">
        <f t="shared" si="256"/>
        <v>0</v>
      </c>
      <c r="JQ760" s="2253">
        <f t="shared" si="257"/>
        <v>0</v>
      </c>
    </row>
    <row r="761" spans="1:277" ht="12" customHeight="1">
      <c r="A761" s="2258" t="str">
        <f t="shared" si="0"/>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1"/>
        <v>0</v>
      </c>
      <c r="L761" s="2284">
        <f t="shared" si="2"/>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3" t="str">
        <f t="shared" si="3"/>
        <v/>
      </c>
      <c r="X761" s="873" t="str">
        <f t="shared" si="4"/>
        <v/>
      </c>
      <c r="Y761" s="873" t="str">
        <f t="shared" si="5"/>
        <v/>
      </c>
      <c r="Z761" s="873" t="str">
        <f t="shared" si="6"/>
        <v/>
      </c>
      <c r="AA761" s="873" t="str">
        <f t="shared" si="7"/>
        <v/>
      </c>
      <c r="AB761" s="873" t="str">
        <f t="shared" si="8"/>
        <v/>
      </c>
      <c r="AC761" s="873" t="str">
        <f t="shared" si="9"/>
        <v/>
      </c>
      <c r="AD761" s="873" t="str">
        <f t="shared" si="10"/>
        <v/>
      </c>
      <c r="AE761" s="873" t="str">
        <f t="shared" si="11"/>
        <v/>
      </c>
      <c r="AF761" s="873" t="str">
        <f t="shared" si="12"/>
        <v/>
      </c>
      <c r="AG761" s="873" t="str">
        <f t="shared" si="13"/>
        <v/>
      </c>
      <c r="AH761" s="873" t="str">
        <f t="shared" si="14"/>
        <v/>
      </c>
      <c r="AI761" s="873" t="str">
        <f t="shared" si="15"/>
        <v/>
      </c>
      <c r="AJ761" s="873" t="str">
        <f t="shared" si="16"/>
        <v/>
      </c>
      <c r="AK761" s="873" t="str">
        <f t="shared" si="17"/>
        <v/>
      </c>
      <c r="AL761" s="873" t="str">
        <f t="shared" si="18"/>
        <v/>
      </c>
      <c r="AM761" s="873" t="str">
        <f t="shared" si="19"/>
        <v/>
      </c>
      <c r="AN761" s="873" t="str">
        <f t="shared" si="20"/>
        <v/>
      </c>
      <c r="AO761" s="873" t="str">
        <f t="shared" si="21"/>
        <v/>
      </c>
      <c r="AP761" s="873" t="str">
        <f t="shared" si="22"/>
        <v/>
      </c>
      <c r="AQ761" s="873" t="str">
        <f t="shared" si="23"/>
        <v/>
      </c>
      <c r="AR761" s="873" t="str">
        <f t="shared" si="24"/>
        <v/>
      </c>
      <c r="AS761" s="873" t="str">
        <f t="shared" si="25"/>
        <v/>
      </c>
      <c r="AT761" s="873" t="str">
        <f t="shared" si="26"/>
        <v/>
      </c>
      <c r="AU761" s="873" t="str">
        <f t="shared" si="27"/>
        <v/>
      </c>
      <c r="AV761" s="873" t="str">
        <f t="shared" si="28"/>
        <v/>
      </c>
      <c r="AW761" s="873" t="str">
        <f t="shared" si="29"/>
        <v/>
      </c>
      <c r="AX761" s="873" t="str">
        <f t="shared" si="30"/>
        <v/>
      </c>
      <c r="AY761" s="873" t="str">
        <f t="shared" si="31"/>
        <v/>
      </c>
      <c r="AZ761" s="873" t="str">
        <f t="shared" si="32"/>
        <v/>
      </c>
      <c r="BA761" s="873" t="str">
        <f t="shared" si="33"/>
        <v/>
      </c>
      <c r="BB761" s="873" t="str">
        <f t="shared" si="34"/>
        <v/>
      </c>
      <c r="BC761" s="873" t="str">
        <f t="shared" si="35"/>
        <v/>
      </c>
      <c r="BD761" s="873" t="str">
        <f t="shared" si="36"/>
        <v/>
      </c>
      <c r="BE761" s="873" t="str">
        <f t="shared" si="37"/>
        <v/>
      </c>
      <c r="BF761" s="873" t="str">
        <f t="shared" si="38"/>
        <v/>
      </c>
      <c r="BG761" s="873" t="str">
        <f t="shared" si="39"/>
        <v/>
      </c>
      <c r="BH761" s="873" t="str">
        <f t="shared" si="40"/>
        <v/>
      </c>
      <c r="BI761" s="873" t="str">
        <f t="shared" si="41"/>
        <v/>
      </c>
      <c r="BJ761" s="873" t="str">
        <f t="shared" si="42"/>
        <v/>
      </c>
      <c r="BK761" s="873" t="str">
        <f t="shared" si="43"/>
        <v/>
      </c>
      <c r="BL761" s="873" t="str">
        <f t="shared" si="44"/>
        <v/>
      </c>
      <c r="BM761" s="873" t="str">
        <f t="shared" si="45"/>
        <v/>
      </c>
      <c r="BN761" s="873" t="str">
        <f t="shared" si="46"/>
        <v/>
      </c>
      <c r="BO761" s="873" t="str">
        <f t="shared" si="47"/>
        <v/>
      </c>
      <c r="BP761" s="873" t="str">
        <f t="shared" si="48"/>
        <v/>
      </c>
      <c r="BQ761" s="873" t="str">
        <f t="shared" si="49"/>
        <v/>
      </c>
      <c r="BR761" s="873" t="str">
        <f t="shared" si="50"/>
        <v/>
      </c>
      <c r="BS761" s="873" t="str">
        <f t="shared" si="51"/>
        <v/>
      </c>
      <c r="BT761" s="873" t="str">
        <f t="shared" si="52"/>
        <v/>
      </c>
      <c r="BU761" s="873" t="str">
        <f t="shared" si="53"/>
        <v/>
      </c>
      <c r="BV761" s="873" t="str">
        <f t="shared" si="54"/>
        <v/>
      </c>
      <c r="BW761" s="873" t="str">
        <f t="shared" si="55"/>
        <v/>
      </c>
      <c r="BX761" s="873" t="str">
        <f t="shared" si="56"/>
        <v/>
      </c>
      <c r="BY761" s="873" t="str">
        <f t="shared" si="57"/>
        <v/>
      </c>
      <c r="BZ761" s="873" t="str">
        <f t="shared" si="58"/>
        <v/>
      </c>
      <c r="CA761" s="873" t="str">
        <f t="shared" si="59"/>
        <v/>
      </c>
      <c r="CB761" s="873" t="str">
        <f t="shared" si="60"/>
        <v/>
      </c>
      <c r="CC761" s="873" t="str">
        <f t="shared" si="61"/>
        <v/>
      </c>
      <c r="CD761" s="873" t="str">
        <f t="shared" si="62"/>
        <v/>
      </c>
      <c r="CE761" s="873" t="str">
        <f t="shared" si="63"/>
        <v/>
      </c>
      <c r="CF761" s="873" t="str">
        <f t="shared" si="64"/>
        <v/>
      </c>
      <c r="CG761" s="873" t="str">
        <f t="shared" si="65"/>
        <v/>
      </c>
      <c r="CH761" s="873" t="str">
        <f t="shared" si="66"/>
        <v/>
      </c>
      <c r="CI761" s="873" t="str">
        <f t="shared" si="67"/>
        <v/>
      </c>
      <c r="CJ761" s="873" t="str">
        <f t="shared" si="68"/>
        <v/>
      </c>
      <c r="CK761" s="873" t="str">
        <f t="shared" si="69"/>
        <v/>
      </c>
      <c r="CL761" s="873" t="str">
        <f t="shared" si="70"/>
        <v/>
      </c>
      <c r="CM761" s="873" t="str">
        <f t="shared" si="71"/>
        <v/>
      </c>
      <c r="CN761" s="873" t="str">
        <f t="shared" si="72"/>
        <v/>
      </c>
      <c r="CO761" s="873" t="str">
        <f t="shared" si="73"/>
        <v/>
      </c>
      <c r="CP761" s="873" t="str">
        <f t="shared" si="74"/>
        <v/>
      </c>
      <c r="CQ761" s="873" t="str">
        <f t="shared" si="75"/>
        <v/>
      </c>
      <c r="CR761" s="873" t="str">
        <f t="shared" si="76"/>
        <v/>
      </c>
      <c r="CS761" s="873" t="str">
        <f t="shared" si="77"/>
        <v/>
      </c>
      <c r="CT761" s="873" t="str">
        <f t="shared" si="78"/>
        <v/>
      </c>
      <c r="CU761" s="873" t="str">
        <f t="shared" si="79"/>
        <v/>
      </c>
      <c r="CV761" s="873" t="str">
        <f t="shared" si="80"/>
        <v/>
      </c>
      <c r="CW761" s="873" t="str">
        <f t="shared" si="81"/>
        <v/>
      </c>
      <c r="CX761" s="873" t="str">
        <f t="shared" si="82"/>
        <v/>
      </c>
      <c r="CY761" s="873" t="str">
        <f t="shared" si="83"/>
        <v/>
      </c>
      <c r="CZ761" s="873" t="str">
        <f t="shared" si="84"/>
        <v/>
      </c>
      <c r="DA761" s="873" t="str">
        <f t="shared" si="85"/>
        <v/>
      </c>
      <c r="DB761" s="873" t="str">
        <f t="shared" si="86"/>
        <v/>
      </c>
      <c r="DC761" s="873" t="str">
        <f t="shared" si="87"/>
        <v/>
      </c>
      <c r="DD761" s="873" t="str">
        <f t="shared" si="88"/>
        <v/>
      </c>
      <c r="DE761" s="873" t="str">
        <f t="shared" si="89"/>
        <v/>
      </c>
      <c r="DF761" s="873" t="str">
        <f t="shared" si="90"/>
        <v/>
      </c>
      <c r="DG761" s="873" t="str">
        <f t="shared" si="91"/>
        <v/>
      </c>
      <c r="DH761" s="873" t="str">
        <f t="shared" si="92"/>
        <v/>
      </c>
      <c r="DI761" s="873" t="str">
        <f t="shared" si="93"/>
        <v/>
      </c>
      <c r="DJ761" s="873" t="str">
        <f t="shared" si="94"/>
        <v/>
      </c>
      <c r="DK761" s="873" t="str">
        <f t="shared" si="95"/>
        <v/>
      </c>
      <c r="DL761" s="873" t="str">
        <f t="shared" si="96"/>
        <v/>
      </c>
      <c r="DM761" s="873" t="str">
        <f t="shared" si="97"/>
        <v/>
      </c>
      <c r="DN761" s="873" t="str">
        <f t="shared" si="98"/>
        <v/>
      </c>
      <c r="DO761" s="873" t="str">
        <f t="shared" si="99"/>
        <v/>
      </c>
      <c r="DP761" s="873" t="str">
        <f t="shared" si="100"/>
        <v/>
      </c>
      <c r="DQ761" s="873" t="str">
        <f t="shared" si="101"/>
        <v/>
      </c>
      <c r="DR761" s="873" t="str">
        <f t="shared" si="102"/>
        <v/>
      </c>
      <c r="DS761" s="873" t="str">
        <f t="shared" si="103"/>
        <v/>
      </c>
      <c r="DT761" s="873" t="str">
        <f t="shared" si="104"/>
        <v/>
      </c>
      <c r="DU761" s="873" t="str">
        <f t="shared" si="105"/>
        <v/>
      </c>
      <c r="DV761" s="873" t="str">
        <f t="shared" si="106"/>
        <v/>
      </c>
      <c r="DW761" s="873" t="str">
        <f t="shared" si="107"/>
        <v/>
      </c>
      <c r="DX761" s="873" t="str">
        <f t="shared" si="108"/>
        <v/>
      </c>
      <c r="DY761" s="873" t="str">
        <f t="shared" si="109"/>
        <v/>
      </c>
      <c r="DZ761" s="873" t="str">
        <f t="shared" si="110"/>
        <v/>
      </c>
      <c r="EA761" s="873" t="str">
        <f t="shared" si="111"/>
        <v/>
      </c>
      <c r="EB761" s="873" t="str">
        <f t="shared" si="112"/>
        <v/>
      </c>
      <c r="EC761" s="873" t="str">
        <f t="shared" si="113"/>
        <v/>
      </c>
      <c r="ED761" s="873" t="str">
        <f t="shared" si="114"/>
        <v/>
      </c>
      <c r="EE761" s="873" t="str">
        <f t="shared" si="115"/>
        <v/>
      </c>
      <c r="EF761" s="873" t="str">
        <f t="shared" si="116"/>
        <v/>
      </c>
      <c r="EG761" s="873" t="str">
        <f t="shared" si="117"/>
        <v/>
      </c>
      <c r="EH761" s="873" t="str">
        <f t="shared" si="118"/>
        <v/>
      </c>
      <c r="EI761" s="873" t="str">
        <f t="shared" si="119"/>
        <v/>
      </c>
      <c r="EJ761" s="873" t="str">
        <f t="shared" si="120"/>
        <v/>
      </c>
      <c r="EK761" s="873" t="str">
        <f t="shared" si="121"/>
        <v/>
      </c>
      <c r="EL761" s="873" t="str">
        <f t="shared" si="122"/>
        <v/>
      </c>
      <c r="EM761" s="873" t="str">
        <f t="shared" si="123"/>
        <v/>
      </c>
      <c r="EN761" s="873" t="str">
        <f t="shared" si="124"/>
        <v/>
      </c>
      <c r="EO761" s="873" t="str">
        <f t="shared" si="125"/>
        <v/>
      </c>
      <c r="EP761" s="873" t="str">
        <f t="shared" si="126"/>
        <v/>
      </c>
      <c r="EQ761" s="873" t="str">
        <f t="shared" si="127"/>
        <v/>
      </c>
      <c r="ER761" s="873" t="str">
        <f t="shared" si="128"/>
        <v/>
      </c>
      <c r="ES761" s="873" t="str">
        <f t="shared" si="129"/>
        <v/>
      </c>
      <c r="ET761" s="873" t="str">
        <f t="shared" si="130"/>
        <v/>
      </c>
      <c r="EU761" s="873" t="str">
        <f t="shared" si="131"/>
        <v/>
      </c>
      <c r="EV761" s="873" t="str">
        <f t="shared" si="132"/>
        <v/>
      </c>
      <c r="EW761" s="2288" t="str">
        <f t="shared" si="133"/>
        <v/>
      </c>
      <c r="EX761" s="2288" t="str">
        <f t="shared" si="134"/>
        <v/>
      </c>
      <c r="EY761" s="2288" t="str">
        <f t="shared" si="135"/>
        <v/>
      </c>
      <c r="EZ761" s="2288" t="str">
        <f t="shared" si="136"/>
        <v/>
      </c>
      <c r="FA761" s="2288" t="str">
        <f t="shared" si="137"/>
        <v/>
      </c>
      <c r="FB761" s="2288" t="str">
        <f t="shared" si="138"/>
        <v/>
      </c>
      <c r="FC761" s="2288" t="str">
        <f t="shared" si="139"/>
        <v/>
      </c>
      <c r="FD761" s="2288" t="str">
        <f t="shared" si="140"/>
        <v/>
      </c>
      <c r="FE761" s="2288" t="str">
        <f t="shared" si="141"/>
        <v/>
      </c>
      <c r="FF761" s="2288" t="str">
        <f t="shared" si="142"/>
        <v/>
      </c>
      <c r="FG761" s="2288" t="str">
        <f t="shared" si="143"/>
        <v/>
      </c>
      <c r="FH761" s="2288" t="str">
        <f t="shared" si="144"/>
        <v/>
      </c>
      <c r="FI761" s="2288" t="str">
        <f t="shared" si="145"/>
        <v/>
      </c>
      <c r="FJ761" s="2288" t="str">
        <f t="shared" si="146"/>
        <v/>
      </c>
      <c r="FK761" s="2288" t="str">
        <f t="shared" si="147"/>
        <v/>
      </c>
      <c r="FL761" s="2288" t="str">
        <f t="shared" si="148"/>
        <v/>
      </c>
      <c r="FM761" s="2288" t="str">
        <f t="shared" si="149"/>
        <v/>
      </c>
      <c r="FN761" s="2288" t="str">
        <f t="shared" si="150"/>
        <v/>
      </c>
      <c r="FO761" s="2288" t="str">
        <f t="shared" si="151"/>
        <v/>
      </c>
      <c r="FP761" s="2288" t="str">
        <f t="shared" si="152"/>
        <v/>
      </c>
      <c r="FQ761" s="2288" t="str">
        <f t="shared" si="153"/>
        <v/>
      </c>
      <c r="FR761" s="2288" t="str">
        <f t="shared" si="154"/>
        <v/>
      </c>
      <c r="FS761" s="2288" t="str">
        <f t="shared" si="155"/>
        <v/>
      </c>
      <c r="FT761" s="2288" t="str">
        <f t="shared" si="156"/>
        <v/>
      </c>
      <c r="FU761" s="2288" t="str">
        <f t="shared" si="157"/>
        <v/>
      </c>
      <c r="FV761" s="2288" t="str">
        <f t="shared" si="158"/>
        <v/>
      </c>
      <c r="FW761" s="2288" t="str">
        <f t="shared" si="159"/>
        <v/>
      </c>
      <c r="FX761" s="2288" t="str">
        <f t="shared" si="160"/>
        <v/>
      </c>
      <c r="FY761" s="2288" t="str">
        <f t="shared" si="161"/>
        <v/>
      </c>
      <c r="FZ761" s="2288" t="str">
        <f t="shared" si="162"/>
        <v/>
      </c>
      <c r="GA761" s="2288" t="str">
        <f t="shared" si="163"/>
        <v/>
      </c>
      <c r="GB761" s="2288" t="str">
        <f t="shared" si="164"/>
        <v/>
      </c>
      <c r="GC761" s="2288" t="str">
        <f t="shared" si="165"/>
        <v/>
      </c>
      <c r="GD761" s="2288" t="str">
        <f t="shared" si="166"/>
        <v/>
      </c>
      <c r="GE761" s="2288" t="str">
        <f t="shared" si="167"/>
        <v/>
      </c>
      <c r="GF761" s="2288" t="str">
        <f t="shared" si="168"/>
        <v/>
      </c>
      <c r="GG761" s="2288" t="str">
        <f t="shared" si="169"/>
        <v/>
      </c>
      <c r="GH761" s="2288" t="str">
        <f t="shared" si="170"/>
        <v/>
      </c>
      <c r="GI761" s="2288" t="str">
        <f t="shared" si="171"/>
        <v/>
      </c>
      <c r="GJ761" s="2288" t="str">
        <f t="shared" si="172"/>
        <v/>
      </c>
      <c r="GK761" s="2288" t="str">
        <f t="shared" si="173"/>
        <v/>
      </c>
      <c r="GL761" s="2288" t="str">
        <f t="shared" si="174"/>
        <v/>
      </c>
      <c r="GM761" s="2288" t="str">
        <f t="shared" si="175"/>
        <v/>
      </c>
      <c r="GN761" s="2288" t="str">
        <f t="shared" si="176"/>
        <v/>
      </c>
      <c r="GO761" s="2288" t="str">
        <f t="shared" si="177"/>
        <v/>
      </c>
      <c r="GP761" s="2288" t="str">
        <f t="shared" si="178"/>
        <v/>
      </c>
      <c r="GQ761" s="2288" t="str">
        <f t="shared" si="179"/>
        <v/>
      </c>
      <c r="GR761" s="2288" t="str">
        <f t="shared" si="180"/>
        <v/>
      </c>
      <c r="GS761" s="2288" t="str">
        <f t="shared" si="181"/>
        <v/>
      </c>
      <c r="GT761" s="2288" t="str">
        <f t="shared" si="182"/>
        <v/>
      </c>
      <c r="GU761" s="2288" t="str">
        <f t="shared" si="183"/>
        <v/>
      </c>
      <c r="GV761" s="2288" t="str">
        <f t="shared" si="184"/>
        <v/>
      </c>
      <c r="GW761" s="2288" t="str">
        <f t="shared" si="185"/>
        <v/>
      </c>
      <c r="GX761" s="2288" t="str">
        <f t="shared" si="186"/>
        <v/>
      </c>
      <c r="GY761" s="2288" t="str">
        <f t="shared" si="187"/>
        <v/>
      </c>
      <c r="GZ761" s="2288" t="str">
        <f t="shared" si="188"/>
        <v/>
      </c>
      <c r="HA761" s="2288" t="str">
        <f t="shared" si="189"/>
        <v/>
      </c>
      <c r="HB761" s="2288" t="str">
        <f t="shared" si="190"/>
        <v/>
      </c>
      <c r="HC761" s="2288" t="str">
        <f t="shared" si="191"/>
        <v/>
      </c>
      <c r="HD761" s="2288" t="str">
        <f t="shared" si="192"/>
        <v/>
      </c>
      <c r="HE761" s="2288" t="str">
        <f t="shared" si="193"/>
        <v/>
      </c>
      <c r="HF761" s="2288" t="str">
        <f t="shared" si="194"/>
        <v/>
      </c>
      <c r="HG761" s="2288" t="str">
        <f t="shared" si="195"/>
        <v/>
      </c>
      <c r="HH761" s="2288" t="str">
        <f t="shared" si="196"/>
        <v/>
      </c>
      <c r="HI761" s="2288" t="str">
        <f t="shared" si="197"/>
        <v/>
      </c>
      <c r="HJ761" s="2288" t="str">
        <f t="shared" si="198"/>
        <v/>
      </c>
      <c r="HK761" s="2288" t="str">
        <f t="shared" si="199"/>
        <v/>
      </c>
      <c r="HL761" s="2288" t="str">
        <f t="shared" si="200"/>
        <v/>
      </c>
      <c r="HM761" s="2288" t="str">
        <f t="shared" si="201"/>
        <v/>
      </c>
      <c r="HN761" s="2288" t="str">
        <f t="shared" si="202"/>
        <v/>
      </c>
      <c r="HO761" s="2288" t="str">
        <f t="shared" si="203"/>
        <v/>
      </c>
      <c r="HP761" s="2288" t="str">
        <f t="shared" si="204"/>
        <v/>
      </c>
      <c r="HQ761" s="2288" t="str">
        <f t="shared" si="205"/>
        <v/>
      </c>
      <c r="HR761" s="2288" t="str">
        <f t="shared" si="206"/>
        <v/>
      </c>
      <c r="HS761" s="2288" t="str">
        <f t="shared" si="207"/>
        <v/>
      </c>
      <c r="HT761" s="2288" t="str">
        <f t="shared" si="208"/>
        <v/>
      </c>
      <c r="HU761" s="2288" t="str">
        <f t="shared" si="209"/>
        <v/>
      </c>
      <c r="HV761" s="2288" t="str">
        <f t="shared" si="210"/>
        <v/>
      </c>
      <c r="HW761" s="2288" t="str">
        <f t="shared" si="211"/>
        <v/>
      </c>
      <c r="HX761" s="2288" t="str">
        <f t="shared" si="212"/>
        <v/>
      </c>
      <c r="HY761" s="2288" t="str">
        <f t="shared" si="213"/>
        <v/>
      </c>
      <c r="HZ761" s="2288" t="str">
        <f t="shared" si="214"/>
        <v/>
      </c>
      <c r="IA761" s="2288" t="str">
        <f t="shared" si="215"/>
        <v/>
      </c>
      <c r="IB761" s="2288" t="str">
        <f t="shared" si="216"/>
        <v/>
      </c>
      <c r="IC761" s="2288" t="str">
        <f t="shared" si="217"/>
        <v/>
      </c>
      <c r="ID761" s="2255" t="str">
        <f t="shared" si="218"/>
        <v/>
      </c>
      <c r="IE761" s="2255" t="str">
        <f t="shared" si="219"/>
        <v/>
      </c>
      <c r="IF761" s="2255" t="str">
        <f t="shared" si="220"/>
        <v/>
      </c>
      <c r="IG761" s="2255" t="str">
        <f t="shared" si="221"/>
        <v/>
      </c>
      <c r="IH761" s="2255" t="str">
        <f t="shared" si="222"/>
        <v/>
      </c>
      <c r="II761" s="873" t="str">
        <f t="shared" si="223"/>
        <v/>
      </c>
      <c r="IJ761" s="873" t="str">
        <f t="shared" si="224"/>
        <v/>
      </c>
      <c r="IK761" s="873" t="str">
        <f t="shared" si="225"/>
        <v/>
      </c>
      <c r="IL761" s="873" t="str">
        <f t="shared" si="226"/>
        <v/>
      </c>
      <c r="IM761" s="873" t="str">
        <f t="shared" si="227"/>
        <v/>
      </c>
      <c r="IN761" s="873" t="str">
        <f t="shared" si="228"/>
        <v/>
      </c>
      <c r="IO761" s="873" t="str">
        <f t="shared" si="229"/>
        <v/>
      </c>
      <c r="IP761" s="873" t="str">
        <f t="shared" si="230"/>
        <v/>
      </c>
      <c r="IQ761" s="873" t="str">
        <f t="shared" si="231"/>
        <v/>
      </c>
      <c r="IR761" s="873" t="str">
        <f t="shared" si="232"/>
        <v/>
      </c>
      <c r="IS761" s="873" t="str">
        <f t="shared" si="233"/>
        <v/>
      </c>
      <c r="IT761" s="873" t="str">
        <f t="shared" si="234"/>
        <v/>
      </c>
      <c r="IU761" s="873" t="str">
        <f t="shared" si="235"/>
        <v/>
      </c>
      <c r="IV761" s="873" t="str">
        <f t="shared" si="236"/>
        <v/>
      </c>
      <c r="IW761" s="873" t="str">
        <f t="shared" si="237"/>
        <v/>
      </c>
      <c r="IX761" s="873" t="str">
        <f t="shared" si="238"/>
        <v/>
      </c>
      <c r="IY761" s="873" t="str">
        <f t="shared" si="239"/>
        <v/>
      </c>
      <c r="IZ761" s="873" t="str">
        <f t="shared" si="240"/>
        <v/>
      </c>
      <c r="JA761" s="873" t="str">
        <f t="shared" si="241"/>
        <v/>
      </c>
      <c r="JB761" s="873" t="str">
        <f t="shared" si="242"/>
        <v/>
      </c>
      <c r="JC761" s="2253">
        <f t="shared" si="243"/>
        <v>0</v>
      </c>
      <c r="JD761" s="2253">
        <f t="shared" si="244"/>
        <v>0</v>
      </c>
      <c r="JE761" s="2253">
        <f t="shared" si="245"/>
        <v>0</v>
      </c>
      <c r="JF761" s="2253">
        <f t="shared" si="246"/>
        <v>0</v>
      </c>
      <c r="JG761" s="2253">
        <f t="shared" si="247"/>
        <v>0</v>
      </c>
      <c r="JH761" s="2253">
        <f t="shared" si="248"/>
        <v>0</v>
      </c>
      <c r="JI761" s="2253">
        <f t="shared" si="249"/>
        <v>0</v>
      </c>
      <c r="JJ761" s="2253">
        <f t="shared" si="250"/>
        <v>0</v>
      </c>
      <c r="JK761" s="2253">
        <f t="shared" si="251"/>
        <v>0</v>
      </c>
      <c r="JL761" s="2253">
        <f t="shared" si="252"/>
        <v>0</v>
      </c>
      <c r="JM761" s="2253">
        <f t="shared" si="253"/>
        <v>0</v>
      </c>
      <c r="JN761" s="2253">
        <f t="shared" si="254"/>
        <v>0</v>
      </c>
      <c r="JO761" s="2253">
        <f t="shared" si="255"/>
        <v>0</v>
      </c>
      <c r="JP761" s="2253">
        <f t="shared" si="256"/>
        <v>0</v>
      </c>
      <c r="JQ761" s="2253">
        <f t="shared" si="257"/>
        <v>0</v>
      </c>
    </row>
    <row r="762" spans="1:277" ht="12" customHeight="1">
      <c r="A762" s="2258" t="str">
        <f t="shared" si="0"/>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1"/>
        <v>0</v>
      </c>
      <c r="L762" s="2284">
        <f t="shared" si="2"/>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3" t="str">
        <f t="shared" si="3"/>
        <v/>
      </c>
      <c r="X762" s="873" t="str">
        <f t="shared" si="4"/>
        <v/>
      </c>
      <c r="Y762" s="873" t="str">
        <f t="shared" si="5"/>
        <v/>
      </c>
      <c r="Z762" s="873" t="str">
        <f t="shared" si="6"/>
        <v/>
      </c>
      <c r="AA762" s="873" t="str">
        <f t="shared" si="7"/>
        <v/>
      </c>
      <c r="AB762" s="873" t="str">
        <f t="shared" si="8"/>
        <v/>
      </c>
      <c r="AC762" s="873" t="str">
        <f t="shared" si="9"/>
        <v/>
      </c>
      <c r="AD762" s="873" t="str">
        <f t="shared" si="10"/>
        <v/>
      </c>
      <c r="AE762" s="873" t="str">
        <f t="shared" si="11"/>
        <v/>
      </c>
      <c r="AF762" s="873" t="str">
        <f t="shared" si="12"/>
        <v/>
      </c>
      <c r="AG762" s="873" t="str">
        <f t="shared" si="13"/>
        <v/>
      </c>
      <c r="AH762" s="873" t="str">
        <f t="shared" si="14"/>
        <v/>
      </c>
      <c r="AI762" s="873" t="str">
        <f t="shared" si="15"/>
        <v/>
      </c>
      <c r="AJ762" s="873" t="str">
        <f t="shared" si="16"/>
        <v/>
      </c>
      <c r="AK762" s="873" t="str">
        <f t="shared" si="17"/>
        <v/>
      </c>
      <c r="AL762" s="873" t="str">
        <f t="shared" si="18"/>
        <v/>
      </c>
      <c r="AM762" s="873" t="str">
        <f t="shared" si="19"/>
        <v/>
      </c>
      <c r="AN762" s="873" t="str">
        <f t="shared" si="20"/>
        <v/>
      </c>
      <c r="AO762" s="873" t="str">
        <f t="shared" si="21"/>
        <v/>
      </c>
      <c r="AP762" s="873" t="str">
        <f t="shared" si="22"/>
        <v/>
      </c>
      <c r="AQ762" s="873" t="str">
        <f t="shared" si="23"/>
        <v/>
      </c>
      <c r="AR762" s="873" t="str">
        <f t="shared" si="24"/>
        <v/>
      </c>
      <c r="AS762" s="873" t="str">
        <f t="shared" si="25"/>
        <v/>
      </c>
      <c r="AT762" s="873" t="str">
        <f t="shared" si="26"/>
        <v/>
      </c>
      <c r="AU762" s="873" t="str">
        <f t="shared" si="27"/>
        <v/>
      </c>
      <c r="AV762" s="873" t="str">
        <f t="shared" si="28"/>
        <v/>
      </c>
      <c r="AW762" s="873" t="str">
        <f t="shared" si="29"/>
        <v/>
      </c>
      <c r="AX762" s="873" t="str">
        <f t="shared" si="30"/>
        <v/>
      </c>
      <c r="AY762" s="873" t="str">
        <f t="shared" si="31"/>
        <v/>
      </c>
      <c r="AZ762" s="873" t="str">
        <f t="shared" si="32"/>
        <v/>
      </c>
      <c r="BA762" s="873" t="str">
        <f t="shared" si="33"/>
        <v/>
      </c>
      <c r="BB762" s="873" t="str">
        <f t="shared" si="34"/>
        <v/>
      </c>
      <c r="BC762" s="873" t="str">
        <f t="shared" si="35"/>
        <v/>
      </c>
      <c r="BD762" s="873" t="str">
        <f t="shared" si="36"/>
        <v/>
      </c>
      <c r="BE762" s="873" t="str">
        <f t="shared" si="37"/>
        <v/>
      </c>
      <c r="BF762" s="873" t="str">
        <f t="shared" si="38"/>
        <v/>
      </c>
      <c r="BG762" s="873" t="str">
        <f t="shared" si="39"/>
        <v/>
      </c>
      <c r="BH762" s="873" t="str">
        <f t="shared" si="40"/>
        <v/>
      </c>
      <c r="BI762" s="873" t="str">
        <f t="shared" si="41"/>
        <v/>
      </c>
      <c r="BJ762" s="873" t="str">
        <f t="shared" si="42"/>
        <v/>
      </c>
      <c r="BK762" s="873" t="str">
        <f t="shared" si="43"/>
        <v/>
      </c>
      <c r="BL762" s="873" t="str">
        <f t="shared" si="44"/>
        <v/>
      </c>
      <c r="BM762" s="873" t="str">
        <f t="shared" si="45"/>
        <v/>
      </c>
      <c r="BN762" s="873" t="str">
        <f t="shared" si="46"/>
        <v/>
      </c>
      <c r="BO762" s="873" t="str">
        <f t="shared" si="47"/>
        <v/>
      </c>
      <c r="BP762" s="873" t="str">
        <f t="shared" si="48"/>
        <v/>
      </c>
      <c r="BQ762" s="873" t="str">
        <f t="shared" si="49"/>
        <v/>
      </c>
      <c r="BR762" s="873" t="str">
        <f t="shared" si="50"/>
        <v/>
      </c>
      <c r="BS762" s="873" t="str">
        <f t="shared" si="51"/>
        <v/>
      </c>
      <c r="BT762" s="873" t="str">
        <f t="shared" si="52"/>
        <v/>
      </c>
      <c r="BU762" s="873" t="str">
        <f t="shared" si="53"/>
        <v/>
      </c>
      <c r="BV762" s="873" t="str">
        <f t="shared" si="54"/>
        <v/>
      </c>
      <c r="BW762" s="873" t="str">
        <f t="shared" si="55"/>
        <v/>
      </c>
      <c r="BX762" s="873" t="str">
        <f t="shared" si="56"/>
        <v/>
      </c>
      <c r="BY762" s="873" t="str">
        <f t="shared" si="57"/>
        <v/>
      </c>
      <c r="BZ762" s="873" t="str">
        <f t="shared" si="58"/>
        <v/>
      </c>
      <c r="CA762" s="873" t="str">
        <f t="shared" si="59"/>
        <v/>
      </c>
      <c r="CB762" s="873" t="str">
        <f t="shared" si="60"/>
        <v/>
      </c>
      <c r="CC762" s="873" t="str">
        <f t="shared" si="61"/>
        <v/>
      </c>
      <c r="CD762" s="873" t="str">
        <f t="shared" si="62"/>
        <v/>
      </c>
      <c r="CE762" s="873" t="str">
        <f t="shared" si="63"/>
        <v/>
      </c>
      <c r="CF762" s="873" t="str">
        <f t="shared" si="64"/>
        <v/>
      </c>
      <c r="CG762" s="873" t="str">
        <f t="shared" si="65"/>
        <v/>
      </c>
      <c r="CH762" s="873" t="str">
        <f t="shared" si="66"/>
        <v/>
      </c>
      <c r="CI762" s="873" t="str">
        <f t="shared" si="67"/>
        <v/>
      </c>
      <c r="CJ762" s="873" t="str">
        <f t="shared" si="68"/>
        <v/>
      </c>
      <c r="CK762" s="873" t="str">
        <f t="shared" si="69"/>
        <v/>
      </c>
      <c r="CL762" s="873" t="str">
        <f t="shared" si="70"/>
        <v/>
      </c>
      <c r="CM762" s="873" t="str">
        <f t="shared" si="71"/>
        <v/>
      </c>
      <c r="CN762" s="873" t="str">
        <f t="shared" si="72"/>
        <v/>
      </c>
      <c r="CO762" s="873" t="str">
        <f t="shared" si="73"/>
        <v/>
      </c>
      <c r="CP762" s="873" t="str">
        <f t="shared" si="74"/>
        <v/>
      </c>
      <c r="CQ762" s="873" t="str">
        <f t="shared" si="75"/>
        <v/>
      </c>
      <c r="CR762" s="873" t="str">
        <f t="shared" si="76"/>
        <v/>
      </c>
      <c r="CS762" s="873" t="str">
        <f t="shared" si="77"/>
        <v/>
      </c>
      <c r="CT762" s="873" t="str">
        <f t="shared" si="78"/>
        <v/>
      </c>
      <c r="CU762" s="873" t="str">
        <f t="shared" si="79"/>
        <v/>
      </c>
      <c r="CV762" s="873" t="str">
        <f t="shared" si="80"/>
        <v/>
      </c>
      <c r="CW762" s="873" t="str">
        <f t="shared" si="81"/>
        <v/>
      </c>
      <c r="CX762" s="873" t="str">
        <f t="shared" si="82"/>
        <v/>
      </c>
      <c r="CY762" s="873" t="str">
        <f t="shared" si="83"/>
        <v/>
      </c>
      <c r="CZ762" s="873" t="str">
        <f t="shared" si="84"/>
        <v/>
      </c>
      <c r="DA762" s="873" t="str">
        <f t="shared" si="85"/>
        <v/>
      </c>
      <c r="DB762" s="873" t="str">
        <f t="shared" si="86"/>
        <v/>
      </c>
      <c r="DC762" s="873" t="str">
        <f t="shared" si="87"/>
        <v/>
      </c>
      <c r="DD762" s="873" t="str">
        <f t="shared" si="88"/>
        <v/>
      </c>
      <c r="DE762" s="873" t="str">
        <f t="shared" si="89"/>
        <v/>
      </c>
      <c r="DF762" s="873" t="str">
        <f t="shared" si="90"/>
        <v/>
      </c>
      <c r="DG762" s="873" t="str">
        <f t="shared" si="91"/>
        <v/>
      </c>
      <c r="DH762" s="873" t="str">
        <f t="shared" si="92"/>
        <v/>
      </c>
      <c r="DI762" s="873" t="str">
        <f t="shared" si="93"/>
        <v/>
      </c>
      <c r="DJ762" s="873" t="str">
        <f t="shared" si="94"/>
        <v/>
      </c>
      <c r="DK762" s="873" t="str">
        <f t="shared" si="95"/>
        <v/>
      </c>
      <c r="DL762" s="873" t="str">
        <f t="shared" si="96"/>
        <v/>
      </c>
      <c r="DM762" s="873" t="str">
        <f t="shared" si="97"/>
        <v/>
      </c>
      <c r="DN762" s="873" t="str">
        <f t="shared" si="98"/>
        <v/>
      </c>
      <c r="DO762" s="873" t="str">
        <f t="shared" si="99"/>
        <v/>
      </c>
      <c r="DP762" s="873" t="str">
        <f t="shared" si="100"/>
        <v/>
      </c>
      <c r="DQ762" s="873" t="str">
        <f t="shared" si="101"/>
        <v/>
      </c>
      <c r="DR762" s="873" t="str">
        <f t="shared" si="102"/>
        <v/>
      </c>
      <c r="DS762" s="873" t="str">
        <f t="shared" si="103"/>
        <v/>
      </c>
      <c r="DT762" s="873" t="str">
        <f t="shared" si="104"/>
        <v/>
      </c>
      <c r="DU762" s="873" t="str">
        <f t="shared" si="105"/>
        <v/>
      </c>
      <c r="DV762" s="873" t="str">
        <f t="shared" si="106"/>
        <v/>
      </c>
      <c r="DW762" s="873" t="str">
        <f t="shared" si="107"/>
        <v/>
      </c>
      <c r="DX762" s="873" t="str">
        <f t="shared" si="108"/>
        <v/>
      </c>
      <c r="DY762" s="873" t="str">
        <f t="shared" si="109"/>
        <v/>
      </c>
      <c r="DZ762" s="873" t="str">
        <f t="shared" si="110"/>
        <v/>
      </c>
      <c r="EA762" s="873" t="str">
        <f t="shared" si="111"/>
        <v/>
      </c>
      <c r="EB762" s="873" t="str">
        <f t="shared" si="112"/>
        <v/>
      </c>
      <c r="EC762" s="873" t="str">
        <f t="shared" si="113"/>
        <v/>
      </c>
      <c r="ED762" s="873" t="str">
        <f t="shared" si="114"/>
        <v/>
      </c>
      <c r="EE762" s="873" t="str">
        <f t="shared" si="115"/>
        <v/>
      </c>
      <c r="EF762" s="873" t="str">
        <f t="shared" si="116"/>
        <v/>
      </c>
      <c r="EG762" s="873" t="str">
        <f t="shared" si="117"/>
        <v/>
      </c>
      <c r="EH762" s="873" t="str">
        <f t="shared" si="118"/>
        <v/>
      </c>
      <c r="EI762" s="873" t="str">
        <f t="shared" si="119"/>
        <v/>
      </c>
      <c r="EJ762" s="873" t="str">
        <f t="shared" si="120"/>
        <v/>
      </c>
      <c r="EK762" s="873" t="str">
        <f t="shared" si="121"/>
        <v/>
      </c>
      <c r="EL762" s="873" t="str">
        <f t="shared" si="122"/>
        <v/>
      </c>
      <c r="EM762" s="873" t="str">
        <f t="shared" si="123"/>
        <v/>
      </c>
      <c r="EN762" s="873" t="str">
        <f t="shared" si="124"/>
        <v/>
      </c>
      <c r="EO762" s="873" t="str">
        <f t="shared" si="125"/>
        <v/>
      </c>
      <c r="EP762" s="873" t="str">
        <f t="shared" si="126"/>
        <v/>
      </c>
      <c r="EQ762" s="873" t="str">
        <f t="shared" si="127"/>
        <v/>
      </c>
      <c r="ER762" s="873" t="str">
        <f t="shared" si="128"/>
        <v/>
      </c>
      <c r="ES762" s="873" t="str">
        <f t="shared" si="129"/>
        <v/>
      </c>
      <c r="ET762" s="873" t="str">
        <f t="shared" si="130"/>
        <v/>
      </c>
      <c r="EU762" s="873" t="str">
        <f t="shared" si="131"/>
        <v/>
      </c>
      <c r="EV762" s="873" t="str">
        <f t="shared" si="132"/>
        <v/>
      </c>
      <c r="EW762" s="2288" t="str">
        <f t="shared" si="133"/>
        <v/>
      </c>
      <c r="EX762" s="2288" t="str">
        <f t="shared" si="134"/>
        <v/>
      </c>
      <c r="EY762" s="2288" t="str">
        <f t="shared" si="135"/>
        <v/>
      </c>
      <c r="EZ762" s="2288" t="str">
        <f t="shared" si="136"/>
        <v/>
      </c>
      <c r="FA762" s="2288" t="str">
        <f t="shared" si="137"/>
        <v/>
      </c>
      <c r="FB762" s="2288" t="str">
        <f t="shared" si="138"/>
        <v/>
      </c>
      <c r="FC762" s="2288" t="str">
        <f t="shared" si="139"/>
        <v/>
      </c>
      <c r="FD762" s="2288" t="str">
        <f t="shared" si="140"/>
        <v/>
      </c>
      <c r="FE762" s="2288" t="str">
        <f t="shared" si="141"/>
        <v/>
      </c>
      <c r="FF762" s="2288" t="str">
        <f t="shared" si="142"/>
        <v/>
      </c>
      <c r="FG762" s="2288" t="str">
        <f t="shared" si="143"/>
        <v/>
      </c>
      <c r="FH762" s="2288" t="str">
        <f t="shared" si="144"/>
        <v/>
      </c>
      <c r="FI762" s="2288" t="str">
        <f t="shared" si="145"/>
        <v/>
      </c>
      <c r="FJ762" s="2288" t="str">
        <f t="shared" si="146"/>
        <v/>
      </c>
      <c r="FK762" s="2288" t="str">
        <f t="shared" si="147"/>
        <v/>
      </c>
      <c r="FL762" s="2288" t="str">
        <f t="shared" si="148"/>
        <v/>
      </c>
      <c r="FM762" s="2288" t="str">
        <f t="shared" si="149"/>
        <v/>
      </c>
      <c r="FN762" s="2288" t="str">
        <f t="shared" si="150"/>
        <v/>
      </c>
      <c r="FO762" s="2288" t="str">
        <f t="shared" si="151"/>
        <v/>
      </c>
      <c r="FP762" s="2288" t="str">
        <f t="shared" si="152"/>
        <v/>
      </c>
      <c r="FQ762" s="2288" t="str">
        <f t="shared" si="153"/>
        <v/>
      </c>
      <c r="FR762" s="2288" t="str">
        <f t="shared" si="154"/>
        <v/>
      </c>
      <c r="FS762" s="2288" t="str">
        <f t="shared" si="155"/>
        <v/>
      </c>
      <c r="FT762" s="2288" t="str">
        <f t="shared" si="156"/>
        <v/>
      </c>
      <c r="FU762" s="2288" t="str">
        <f t="shared" si="157"/>
        <v/>
      </c>
      <c r="FV762" s="2288" t="str">
        <f t="shared" si="158"/>
        <v/>
      </c>
      <c r="FW762" s="2288" t="str">
        <f t="shared" si="159"/>
        <v/>
      </c>
      <c r="FX762" s="2288" t="str">
        <f t="shared" si="160"/>
        <v/>
      </c>
      <c r="FY762" s="2288" t="str">
        <f t="shared" si="161"/>
        <v/>
      </c>
      <c r="FZ762" s="2288" t="str">
        <f t="shared" si="162"/>
        <v/>
      </c>
      <c r="GA762" s="2288" t="str">
        <f t="shared" si="163"/>
        <v/>
      </c>
      <c r="GB762" s="2288" t="str">
        <f t="shared" si="164"/>
        <v/>
      </c>
      <c r="GC762" s="2288" t="str">
        <f t="shared" si="165"/>
        <v/>
      </c>
      <c r="GD762" s="2288" t="str">
        <f t="shared" si="166"/>
        <v/>
      </c>
      <c r="GE762" s="2288" t="str">
        <f t="shared" si="167"/>
        <v/>
      </c>
      <c r="GF762" s="2288" t="str">
        <f t="shared" si="168"/>
        <v/>
      </c>
      <c r="GG762" s="2288" t="str">
        <f t="shared" si="169"/>
        <v/>
      </c>
      <c r="GH762" s="2288" t="str">
        <f t="shared" si="170"/>
        <v/>
      </c>
      <c r="GI762" s="2288" t="str">
        <f t="shared" si="171"/>
        <v/>
      </c>
      <c r="GJ762" s="2288" t="str">
        <f t="shared" si="172"/>
        <v/>
      </c>
      <c r="GK762" s="2288" t="str">
        <f t="shared" si="173"/>
        <v/>
      </c>
      <c r="GL762" s="2288" t="str">
        <f t="shared" si="174"/>
        <v/>
      </c>
      <c r="GM762" s="2288" t="str">
        <f t="shared" si="175"/>
        <v/>
      </c>
      <c r="GN762" s="2288" t="str">
        <f t="shared" si="176"/>
        <v/>
      </c>
      <c r="GO762" s="2288" t="str">
        <f t="shared" si="177"/>
        <v/>
      </c>
      <c r="GP762" s="2288" t="str">
        <f t="shared" si="178"/>
        <v/>
      </c>
      <c r="GQ762" s="2288" t="str">
        <f t="shared" si="179"/>
        <v/>
      </c>
      <c r="GR762" s="2288" t="str">
        <f t="shared" si="180"/>
        <v/>
      </c>
      <c r="GS762" s="2288" t="str">
        <f t="shared" si="181"/>
        <v/>
      </c>
      <c r="GT762" s="2288" t="str">
        <f t="shared" si="182"/>
        <v/>
      </c>
      <c r="GU762" s="2288" t="str">
        <f t="shared" si="183"/>
        <v/>
      </c>
      <c r="GV762" s="2288" t="str">
        <f t="shared" si="184"/>
        <v/>
      </c>
      <c r="GW762" s="2288" t="str">
        <f t="shared" si="185"/>
        <v/>
      </c>
      <c r="GX762" s="2288" t="str">
        <f t="shared" si="186"/>
        <v/>
      </c>
      <c r="GY762" s="2288" t="str">
        <f t="shared" si="187"/>
        <v/>
      </c>
      <c r="GZ762" s="2288" t="str">
        <f t="shared" si="188"/>
        <v/>
      </c>
      <c r="HA762" s="2288" t="str">
        <f t="shared" si="189"/>
        <v/>
      </c>
      <c r="HB762" s="2288" t="str">
        <f t="shared" si="190"/>
        <v/>
      </c>
      <c r="HC762" s="2288" t="str">
        <f t="shared" si="191"/>
        <v/>
      </c>
      <c r="HD762" s="2288" t="str">
        <f t="shared" si="192"/>
        <v/>
      </c>
      <c r="HE762" s="2288" t="str">
        <f t="shared" si="193"/>
        <v/>
      </c>
      <c r="HF762" s="2288" t="str">
        <f t="shared" si="194"/>
        <v/>
      </c>
      <c r="HG762" s="2288" t="str">
        <f t="shared" si="195"/>
        <v/>
      </c>
      <c r="HH762" s="2288" t="str">
        <f t="shared" si="196"/>
        <v/>
      </c>
      <c r="HI762" s="2288" t="str">
        <f t="shared" si="197"/>
        <v/>
      </c>
      <c r="HJ762" s="2288" t="str">
        <f t="shared" si="198"/>
        <v/>
      </c>
      <c r="HK762" s="2288" t="str">
        <f t="shared" si="199"/>
        <v/>
      </c>
      <c r="HL762" s="2288" t="str">
        <f t="shared" si="200"/>
        <v/>
      </c>
      <c r="HM762" s="2288" t="str">
        <f t="shared" si="201"/>
        <v/>
      </c>
      <c r="HN762" s="2288" t="str">
        <f t="shared" si="202"/>
        <v/>
      </c>
      <c r="HO762" s="2288" t="str">
        <f t="shared" si="203"/>
        <v/>
      </c>
      <c r="HP762" s="2288" t="str">
        <f t="shared" si="204"/>
        <v/>
      </c>
      <c r="HQ762" s="2288" t="str">
        <f t="shared" si="205"/>
        <v/>
      </c>
      <c r="HR762" s="2288" t="str">
        <f t="shared" si="206"/>
        <v/>
      </c>
      <c r="HS762" s="2288" t="str">
        <f t="shared" si="207"/>
        <v/>
      </c>
      <c r="HT762" s="2288" t="str">
        <f t="shared" si="208"/>
        <v/>
      </c>
      <c r="HU762" s="2288" t="str">
        <f t="shared" si="209"/>
        <v/>
      </c>
      <c r="HV762" s="2288" t="str">
        <f t="shared" si="210"/>
        <v/>
      </c>
      <c r="HW762" s="2288" t="str">
        <f t="shared" si="211"/>
        <v/>
      </c>
      <c r="HX762" s="2288" t="str">
        <f t="shared" si="212"/>
        <v/>
      </c>
      <c r="HY762" s="2288" t="str">
        <f t="shared" si="213"/>
        <v/>
      </c>
      <c r="HZ762" s="2288" t="str">
        <f t="shared" si="214"/>
        <v/>
      </c>
      <c r="IA762" s="2288" t="str">
        <f t="shared" si="215"/>
        <v/>
      </c>
      <c r="IB762" s="2288" t="str">
        <f t="shared" si="216"/>
        <v/>
      </c>
      <c r="IC762" s="2288" t="str">
        <f t="shared" si="217"/>
        <v/>
      </c>
      <c r="ID762" s="2255" t="str">
        <f t="shared" si="218"/>
        <v/>
      </c>
      <c r="IE762" s="2255" t="str">
        <f t="shared" si="219"/>
        <v/>
      </c>
      <c r="IF762" s="2255" t="str">
        <f t="shared" si="220"/>
        <v/>
      </c>
      <c r="IG762" s="2255" t="str">
        <f t="shared" si="221"/>
        <v/>
      </c>
      <c r="IH762" s="2255" t="str">
        <f t="shared" si="222"/>
        <v/>
      </c>
      <c r="II762" s="873" t="str">
        <f t="shared" si="223"/>
        <v/>
      </c>
      <c r="IJ762" s="873" t="str">
        <f t="shared" si="224"/>
        <v/>
      </c>
      <c r="IK762" s="873" t="str">
        <f t="shared" si="225"/>
        <v/>
      </c>
      <c r="IL762" s="873" t="str">
        <f t="shared" si="226"/>
        <v/>
      </c>
      <c r="IM762" s="873" t="str">
        <f t="shared" si="227"/>
        <v/>
      </c>
      <c r="IN762" s="873" t="str">
        <f t="shared" si="228"/>
        <v/>
      </c>
      <c r="IO762" s="873" t="str">
        <f t="shared" si="229"/>
        <v/>
      </c>
      <c r="IP762" s="873" t="str">
        <f t="shared" si="230"/>
        <v/>
      </c>
      <c r="IQ762" s="873" t="str">
        <f t="shared" si="231"/>
        <v/>
      </c>
      <c r="IR762" s="873" t="str">
        <f t="shared" si="232"/>
        <v/>
      </c>
      <c r="IS762" s="873" t="str">
        <f t="shared" si="233"/>
        <v/>
      </c>
      <c r="IT762" s="873" t="str">
        <f t="shared" si="234"/>
        <v/>
      </c>
      <c r="IU762" s="873" t="str">
        <f t="shared" si="235"/>
        <v/>
      </c>
      <c r="IV762" s="873" t="str">
        <f t="shared" si="236"/>
        <v/>
      </c>
      <c r="IW762" s="873" t="str">
        <f t="shared" si="237"/>
        <v/>
      </c>
      <c r="IX762" s="873" t="str">
        <f t="shared" si="238"/>
        <v/>
      </c>
      <c r="IY762" s="873" t="str">
        <f t="shared" si="239"/>
        <v/>
      </c>
      <c r="IZ762" s="873" t="str">
        <f t="shared" si="240"/>
        <v/>
      </c>
      <c r="JA762" s="873" t="str">
        <f t="shared" si="241"/>
        <v/>
      </c>
      <c r="JB762" s="873" t="str">
        <f t="shared" si="242"/>
        <v/>
      </c>
      <c r="JC762" s="2253">
        <f t="shared" si="243"/>
        <v>0</v>
      </c>
      <c r="JD762" s="2253">
        <f t="shared" si="244"/>
        <v>0</v>
      </c>
      <c r="JE762" s="2253">
        <f t="shared" si="245"/>
        <v>0</v>
      </c>
      <c r="JF762" s="2253">
        <f t="shared" si="246"/>
        <v>0</v>
      </c>
      <c r="JG762" s="2253">
        <f t="shared" si="247"/>
        <v>0</v>
      </c>
      <c r="JH762" s="2253">
        <f t="shared" si="248"/>
        <v>0</v>
      </c>
      <c r="JI762" s="2253">
        <f t="shared" si="249"/>
        <v>0</v>
      </c>
      <c r="JJ762" s="2253">
        <f t="shared" si="250"/>
        <v>0</v>
      </c>
      <c r="JK762" s="2253">
        <f t="shared" si="251"/>
        <v>0</v>
      </c>
      <c r="JL762" s="2253">
        <f t="shared" si="252"/>
        <v>0</v>
      </c>
      <c r="JM762" s="2253">
        <f t="shared" si="253"/>
        <v>0</v>
      </c>
      <c r="JN762" s="2253">
        <f t="shared" si="254"/>
        <v>0</v>
      </c>
      <c r="JO762" s="2253">
        <f t="shared" si="255"/>
        <v>0</v>
      </c>
      <c r="JP762" s="2253">
        <f t="shared" si="256"/>
        <v>0</v>
      </c>
      <c r="JQ762" s="2253">
        <f t="shared" si="257"/>
        <v>0</v>
      </c>
    </row>
    <row r="763" spans="1:277" ht="12" customHeight="1">
      <c r="A763" s="2258" t="str">
        <f t="shared" si="0"/>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1"/>
        <v>0</v>
      </c>
      <c r="L763" s="2284">
        <f t="shared" si="2"/>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3" t="str">
        <f t="shared" si="3"/>
        <v/>
      </c>
      <c r="X763" s="873" t="str">
        <f t="shared" si="4"/>
        <v/>
      </c>
      <c r="Y763" s="873" t="str">
        <f t="shared" si="5"/>
        <v/>
      </c>
      <c r="Z763" s="873" t="str">
        <f t="shared" si="6"/>
        <v/>
      </c>
      <c r="AA763" s="873" t="str">
        <f t="shared" si="7"/>
        <v/>
      </c>
      <c r="AB763" s="873" t="str">
        <f t="shared" si="8"/>
        <v/>
      </c>
      <c r="AC763" s="873" t="str">
        <f t="shared" si="9"/>
        <v/>
      </c>
      <c r="AD763" s="873" t="str">
        <f t="shared" si="10"/>
        <v/>
      </c>
      <c r="AE763" s="873" t="str">
        <f t="shared" si="11"/>
        <v/>
      </c>
      <c r="AF763" s="873" t="str">
        <f t="shared" si="12"/>
        <v/>
      </c>
      <c r="AG763" s="873" t="str">
        <f t="shared" si="13"/>
        <v/>
      </c>
      <c r="AH763" s="873" t="str">
        <f t="shared" si="14"/>
        <v/>
      </c>
      <c r="AI763" s="873" t="str">
        <f t="shared" si="15"/>
        <v/>
      </c>
      <c r="AJ763" s="873" t="str">
        <f t="shared" si="16"/>
        <v/>
      </c>
      <c r="AK763" s="873" t="str">
        <f t="shared" si="17"/>
        <v/>
      </c>
      <c r="AL763" s="873" t="str">
        <f t="shared" si="18"/>
        <v/>
      </c>
      <c r="AM763" s="873" t="str">
        <f t="shared" si="19"/>
        <v/>
      </c>
      <c r="AN763" s="873" t="str">
        <f t="shared" si="20"/>
        <v/>
      </c>
      <c r="AO763" s="873" t="str">
        <f t="shared" si="21"/>
        <v/>
      </c>
      <c r="AP763" s="873" t="str">
        <f t="shared" si="22"/>
        <v/>
      </c>
      <c r="AQ763" s="873" t="str">
        <f t="shared" si="23"/>
        <v/>
      </c>
      <c r="AR763" s="873" t="str">
        <f t="shared" si="24"/>
        <v/>
      </c>
      <c r="AS763" s="873" t="str">
        <f t="shared" si="25"/>
        <v/>
      </c>
      <c r="AT763" s="873" t="str">
        <f t="shared" si="26"/>
        <v/>
      </c>
      <c r="AU763" s="873" t="str">
        <f t="shared" si="27"/>
        <v/>
      </c>
      <c r="AV763" s="873" t="str">
        <f t="shared" si="28"/>
        <v/>
      </c>
      <c r="AW763" s="873" t="str">
        <f t="shared" si="29"/>
        <v/>
      </c>
      <c r="AX763" s="873" t="str">
        <f t="shared" si="30"/>
        <v/>
      </c>
      <c r="AY763" s="873" t="str">
        <f t="shared" si="31"/>
        <v/>
      </c>
      <c r="AZ763" s="873" t="str">
        <f t="shared" si="32"/>
        <v/>
      </c>
      <c r="BA763" s="873" t="str">
        <f t="shared" si="33"/>
        <v/>
      </c>
      <c r="BB763" s="873" t="str">
        <f t="shared" si="34"/>
        <v/>
      </c>
      <c r="BC763" s="873" t="str">
        <f t="shared" si="35"/>
        <v/>
      </c>
      <c r="BD763" s="873" t="str">
        <f t="shared" si="36"/>
        <v/>
      </c>
      <c r="BE763" s="873" t="str">
        <f t="shared" si="37"/>
        <v/>
      </c>
      <c r="BF763" s="873" t="str">
        <f t="shared" si="38"/>
        <v/>
      </c>
      <c r="BG763" s="873" t="str">
        <f t="shared" si="39"/>
        <v/>
      </c>
      <c r="BH763" s="873" t="str">
        <f t="shared" si="40"/>
        <v/>
      </c>
      <c r="BI763" s="873" t="str">
        <f t="shared" si="41"/>
        <v/>
      </c>
      <c r="BJ763" s="873" t="str">
        <f t="shared" si="42"/>
        <v/>
      </c>
      <c r="BK763" s="873" t="str">
        <f t="shared" si="43"/>
        <v/>
      </c>
      <c r="BL763" s="873" t="str">
        <f t="shared" si="44"/>
        <v/>
      </c>
      <c r="BM763" s="873" t="str">
        <f t="shared" si="45"/>
        <v/>
      </c>
      <c r="BN763" s="873" t="str">
        <f t="shared" si="46"/>
        <v/>
      </c>
      <c r="BO763" s="873" t="str">
        <f t="shared" si="47"/>
        <v/>
      </c>
      <c r="BP763" s="873" t="str">
        <f t="shared" si="48"/>
        <v/>
      </c>
      <c r="BQ763" s="873" t="str">
        <f t="shared" si="49"/>
        <v/>
      </c>
      <c r="BR763" s="873" t="str">
        <f t="shared" si="50"/>
        <v/>
      </c>
      <c r="BS763" s="873" t="str">
        <f t="shared" si="51"/>
        <v/>
      </c>
      <c r="BT763" s="873" t="str">
        <f t="shared" si="52"/>
        <v/>
      </c>
      <c r="BU763" s="873" t="str">
        <f t="shared" si="53"/>
        <v/>
      </c>
      <c r="BV763" s="873" t="str">
        <f t="shared" si="54"/>
        <v/>
      </c>
      <c r="BW763" s="873" t="str">
        <f t="shared" si="55"/>
        <v/>
      </c>
      <c r="BX763" s="873" t="str">
        <f t="shared" si="56"/>
        <v/>
      </c>
      <c r="BY763" s="873" t="str">
        <f t="shared" si="57"/>
        <v/>
      </c>
      <c r="BZ763" s="873" t="str">
        <f t="shared" si="58"/>
        <v/>
      </c>
      <c r="CA763" s="873" t="str">
        <f t="shared" si="59"/>
        <v/>
      </c>
      <c r="CB763" s="873" t="str">
        <f t="shared" si="60"/>
        <v/>
      </c>
      <c r="CC763" s="873" t="str">
        <f t="shared" si="61"/>
        <v/>
      </c>
      <c r="CD763" s="873" t="str">
        <f t="shared" si="62"/>
        <v/>
      </c>
      <c r="CE763" s="873" t="str">
        <f t="shared" si="63"/>
        <v/>
      </c>
      <c r="CF763" s="873" t="str">
        <f t="shared" si="64"/>
        <v/>
      </c>
      <c r="CG763" s="873" t="str">
        <f t="shared" si="65"/>
        <v/>
      </c>
      <c r="CH763" s="873" t="str">
        <f t="shared" si="66"/>
        <v/>
      </c>
      <c r="CI763" s="873" t="str">
        <f t="shared" si="67"/>
        <v/>
      </c>
      <c r="CJ763" s="873" t="str">
        <f t="shared" si="68"/>
        <v/>
      </c>
      <c r="CK763" s="873" t="str">
        <f t="shared" si="69"/>
        <v/>
      </c>
      <c r="CL763" s="873" t="str">
        <f t="shared" si="70"/>
        <v/>
      </c>
      <c r="CM763" s="873" t="str">
        <f t="shared" si="71"/>
        <v/>
      </c>
      <c r="CN763" s="873" t="str">
        <f t="shared" si="72"/>
        <v/>
      </c>
      <c r="CO763" s="873" t="str">
        <f t="shared" si="73"/>
        <v/>
      </c>
      <c r="CP763" s="873" t="str">
        <f t="shared" si="74"/>
        <v/>
      </c>
      <c r="CQ763" s="873" t="str">
        <f t="shared" si="75"/>
        <v/>
      </c>
      <c r="CR763" s="873" t="str">
        <f t="shared" si="76"/>
        <v/>
      </c>
      <c r="CS763" s="873" t="str">
        <f t="shared" si="77"/>
        <v/>
      </c>
      <c r="CT763" s="873" t="str">
        <f t="shared" si="78"/>
        <v/>
      </c>
      <c r="CU763" s="873" t="str">
        <f t="shared" si="79"/>
        <v/>
      </c>
      <c r="CV763" s="873" t="str">
        <f t="shared" si="80"/>
        <v/>
      </c>
      <c r="CW763" s="873" t="str">
        <f t="shared" si="81"/>
        <v/>
      </c>
      <c r="CX763" s="873" t="str">
        <f t="shared" si="82"/>
        <v/>
      </c>
      <c r="CY763" s="873" t="str">
        <f t="shared" si="83"/>
        <v/>
      </c>
      <c r="CZ763" s="873" t="str">
        <f t="shared" si="84"/>
        <v/>
      </c>
      <c r="DA763" s="873" t="str">
        <f t="shared" si="85"/>
        <v/>
      </c>
      <c r="DB763" s="873" t="str">
        <f t="shared" si="86"/>
        <v/>
      </c>
      <c r="DC763" s="873" t="str">
        <f t="shared" si="87"/>
        <v/>
      </c>
      <c r="DD763" s="873" t="str">
        <f t="shared" si="88"/>
        <v/>
      </c>
      <c r="DE763" s="873" t="str">
        <f t="shared" si="89"/>
        <v/>
      </c>
      <c r="DF763" s="873" t="str">
        <f t="shared" si="90"/>
        <v/>
      </c>
      <c r="DG763" s="873" t="str">
        <f t="shared" si="91"/>
        <v/>
      </c>
      <c r="DH763" s="873" t="str">
        <f t="shared" si="92"/>
        <v/>
      </c>
      <c r="DI763" s="873" t="str">
        <f t="shared" si="93"/>
        <v/>
      </c>
      <c r="DJ763" s="873" t="str">
        <f t="shared" si="94"/>
        <v/>
      </c>
      <c r="DK763" s="873" t="str">
        <f t="shared" si="95"/>
        <v/>
      </c>
      <c r="DL763" s="873" t="str">
        <f t="shared" si="96"/>
        <v/>
      </c>
      <c r="DM763" s="873" t="str">
        <f t="shared" si="97"/>
        <v/>
      </c>
      <c r="DN763" s="873" t="str">
        <f t="shared" si="98"/>
        <v/>
      </c>
      <c r="DO763" s="873" t="str">
        <f t="shared" si="99"/>
        <v/>
      </c>
      <c r="DP763" s="873" t="str">
        <f t="shared" si="100"/>
        <v/>
      </c>
      <c r="DQ763" s="873" t="str">
        <f t="shared" si="101"/>
        <v/>
      </c>
      <c r="DR763" s="873" t="str">
        <f t="shared" si="102"/>
        <v/>
      </c>
      <c r="DS763" s="873" t="str">
        <f t="shared" si="103"/>
        <v/>
      </c>
      <c r="DT763" s="873" t="str">
        <f t="shared" si="104"/>
        <v/>
      </c>
      <c r="DU763" s="873" t="str">
        <f t="shared" si="105"/>
        <v/>
      </c>
      <c r="DV763" s="873" t="str">
        <f t="shared" si="106"/>
        <v/>
      </c>
      <c r="DW763" s="873" t="str">
        <f t="shared" si="107"/>
        <v/>
      </c>
      <c r="DX763" s="873" t="str">
        <f t="shared" si="108"/>
        <v/>
      </c>
      <c r="DY763" s="873" t="str">
        <f t="shared" si="109"/>
        <v/>
      </c>
      <c r="DZ763" s="873" t="str">
        <f t="shared" si="110"/>
        <v/>
      </c>
      <c r="EA763" s="873" t="str">
        <f t="shared" si="111"/>
        <v/>
      </c>
      <c r="EB763" s="873" t="str">
        <f t="shared" si="112"/>
        <v/>
      </c>
      <c r="EC763" s="873" t="str">
        <f t="shared" si="113"/>
        <v/>
      </c>
      <c r="ED763" s="873" t="str">
        <f t="shared" si="114"/>
        <v/>
      </c>
      <c r="EE763" s="873" t="str">
        <f t="shared" si="115"/>
        <v/>
      </c>
      <c r="EF763" s="873" t="str">
        <f t="shared" si="116"/>
        <v/>
      </c>
      <c r="EG763" s="873" t="str">
        <f t="shared" si="117"/>
        <v/>
      </c>
      <c r="EH763" s="873" t="str">
        <f t="shared" si="118"/>
        <v/>
      </c>
      <c r="EI763" s="873" t="str">
        <f t="shared" si="119"/>
        <v/>
      </c>
      <c r="EJ763" s="873" t="str">
        <f t="shared" si="120"/>
        <v/>
      </c>
      <c r="EK763" s="873" t="str">
        <f t="shared" si="121"/>
        <v/>
      </c>
      <c r="EL763" s="873" t="str">
        <f t="shared" si="122"/>
        <v/>
      </c>
      <c r="EM763" s="873" t="str">
        <f t="shared" si="123"/>
        <v/>
      </c>
      <c r="EN763" s="873" t="str">
        <f t="shared" si="124"/>
        <v/>
      </c>
      <c r="EO763" s="873" t="str">
        <f t="shared" si="125"/>
        <v/>
      </c>
      <c r="EP763" s="873" t="str">
        <f t="shared" si="126"/>
        <v/>
      </c>
      <c r="EQ763" s="873" t="str">
        <f t="shared" si="127"/>
        <v/>
      </c>
      <c r="ER763" s="873" t="str">
        <f t="shared" si="128"/>
        <v/>
      </c>
      <c r="ES763" s="873" t="str">
        <f t="shared" si="129"/>
        <v/>
      </c>
      <c r="ET763" s="873" t="str">
        <f t="shared" si="130"/>
        <v/>
      </c>
      <c r="EU763" s="873" t="str">
        <f t="shared" si="131"/>
        <v/>
      </c>
      <c r="EV763" s="873" t="str">
        <f t="shared" si="132"/>
        <v/>
      </c>
      <c r="EW763" s="2288" t="str">
        <f t="shared" si="133"/>
        <v/>
      </c>
      <c r="EX763" s="2288" t="str">
        <f t="shared" si="134"/>
        <v/>
      </c>
      <c r="EY763" s="2288" t="str">
        <f t="shared" si="135"/>
        <v/>
      </c>
      <c r="EZ763" s="2288" t="str">
        <f t="shared" si="136"/>
        <v/>
      </c>
      <c r="FA763" s="2288" t="str">
        <f t="shared" si="137"/>
        <v/>
      </c>
      <c r="FB763" s="2288" t="str">
        <f t="shared" si="138"/>
        <v/>
      </c>
      <c r="FC763" s="2288" t="str">
        <f t="shared" si="139"/>
        <v/>
      </c>
      <c r="FD763" s="2288" t="str">
        <f t="shared" si="140"/>
        <v/>
      </c>
      <c r="FE763" s="2288" t="str">
        <f t="shared" si="141"/>
        <v/>
      </c>
      <c r="FF763" s="2288" t="str">
        <f t="shared" si="142"/>
        <v/>
      </c>
      <c r="FG763" s="2288" t="str">
        <f t="shared" si="143"/>
        <v/>
      </c>
      <c r="FH763" s="2288" t="str">
        <f t="shared" si="144"/>
        <v/>
      </c>
      <c r="FI763" s="2288" t="str">
        <f t="shared" si="145"/>
        <v/>
      </c>
      <c r="FJ763" s="2288" t="str">
        <f t="shared" si="146"/>
        <v/>
      </c>
      <c r="FK763" s="2288" t="str">
        <f t="shared" si="147"/>
        <v/>
      </c>
      <c r="FL763" s="2288" t="str">
        <f t="shared" si="148"/>
        <v/>
      </c>
      <c r="FM763" s="2288" t="str">
        <f t="shared" si="149"/>
        <v/>
      </c>
      <c r="FN763" s="2288" t="str">
        <f t="shared" si="150"/>
        <v/>
      </c>
      <c r="FO763" s="2288" t="str">
        <f t="shared" si="151"/>
        <v/>
      </c>
      <c r="FP763" s="2288" t="str">
        <f t="shared" si="152"/>
        <v/>
      </c>
      <c r="FQ763" s="2288" t="str">
        <f t="shared" si="153"/>
        <v/>
      </c>
      <c r="FR763" s="2288" t="str">
        <f t="shared" si="154"/>
        <v/>
      </c>
      <c r="FS763" s="2288" t="str">
        <f t="shared" si="155"/>
        <v/>
      </c>
      <c r="FT763" s="2288" t="str">
        <f t="shared" si="156"/>
        <v/>
      </c>
      <c r="FU763" s="2288" t="str">
        <f t="shared" si="157"/>
        <v/>
      </c>
      <c r="FV763" s="2288" t="str">
        <f t="shared" si="158"/>
        <v/>
      </c>
      <c r="FW763" s="2288" t="str">
        <f t="shared" si="159"/>
        <v/>
      </c>
      <c r="FX763" s="2288" t="str">
        <f t="shared" si="160"/>
        <v/>
      </c>
      <c r="FY763" s="2288" t="str">
        <f t="shared" si="161"/>
        <v/>
      </c>
      <c r="FZ763" s="2288" t="str">
        <f t="shared" si="162"/>
        <v/>
      </c>
      <c r="GA763" s="2288" t="str">
        <f t="shared" si="163"/>
        <v/>
      </c>
      <c r="GB763" s="2288" t="str">
        <f t="shared" si="164"/>
        <v/>
      </c>
      <c r="GC763" s="2288" t="str">
        <f t="shared" si="165"/>
        <v/>
      </c>
      <c r="GD763" s="2288" t="str">
        <f t="shared" si="166"/>
        <v/>
      </c>
      <c r="GE763" s="2288" t="str">
        <f t="shared" si="167"/>
        <v/>
      </c>
      <c r="GF763" s="2288" t="str">
        <f t="shared" si="168"/>
        <v/>
      </c>
      <c r="GG763" s="2288" t="str">
        <f t="shared" si="169"/>
        <v/>
      </c>
      <c r="GH763" s="2288" t="str">
        <f t="shared" si="170"/>
        <v/>
      </c>
      <c r="GI763" s="2288" t="str">
        <f t="shared" si="171"/>
        <v/>
      </c>
      <c r="GJ763" s="2288" t="str">
        <f t="shared" si="172"/>
        <v/>
      </c>
      <c r="GK763" s="2288" t="str">
        <f t="shared" si="173"/>
        <v/>
      </c>
      <c r="GL763" s="2288" t="str">
        <f t="shared" si="174"/>
        <v/>
      </c>
      <c r="GM763" s="2288" t="str">
        <f t="shared" si="175"/>
        <v/>
      </c>
      <c r="GN763" s="2288" t="str">
        <f t="shared" si="176"/>
        <v/>
      </c>
      <c r="GO763" s="2288" t="str">
        <f t="shared" si="177"/>
        <v/>
      </c>
      <c r="GP763" s="2288" t="str">
        <f t="shared" si="178"/>
        <v/>
      </c>
      <c r="GQ763" s="2288" t="str">
        <f t="shared" si="179"/>
        <v/>
      </c>
      <c r="GR763" s="2288" t="str">
        <f t="shared" si="180"/>
        <v/>
      </c>
      <c r="GS763" s="2288" t="str">
        <f t="shared" si="181"/>
        <v/>
      </c>
      <c r="GT763" s="2288" t="str">
        <f t="shared" si="182"/>
        <v/>
      </c>
      <c r="GU763" s="2288" t="str">
        <f t="shared" si="183"/>
        <v/>
      </c>
      <c r="GV763" s="2288" t="str">
        <f t="shared" si="184"/>
        <v/>
      </c>
      <c r="GW763" s="2288" t="str">
        <f t="shared" si="185"/>
        <v/>
      </c>
      <c r="GX763" s="2288" t="str">
        <f t="shared" si="186"/>
        <v/>
      </c>
      <c r="GY763" s="2288" t="str">
        <f t="shared" si="187"/>
        <v/>
      </c>
      <c r="GZ763" s="2288" t="str">
        <f t="shared" si="188"/>
        <v/>
      </c>
      <c r="HA763" s="2288" t="str">
        <f t="shared" si="189"/>
        <v/>
      </c>
      <c r="HB763" s="2288" t="str">
        <f t="shared" si="190"/>
        <v/>
      </c>
      <c r="HC763" s="2288" t="str">
        <f t="shared" si="191"/>
        <v/>
      </c>
      <c r="HD763" s="2288" t="str">
        <f t="shared" si="192"/>
        <v/>
      </c>
      <c r="HE763" s="2288" t="str">
        <f t="shared" si="193"/>
        <v/>
      </c>
      <c r="HF763" s="2288" t="str">
        <f t="shared" si="194"/>
        <v/>
      </c>
      <c r="HG763" s="2288" t="str">
        <f t="shared" si="195"/>
        <v/>
      </c>
      <c r="HH763" s="2288" t="str">
        <f t="shared" si="196"/>
        <v/>
      </c>
      <c r="HI763" s="2288" t="str">
        <f t="shared" si="197"/>
        <v/>
      </c>
      <c r="HJ763" s="2288" t="str">
        <f t="shared" si="198"/>
        <v/>
      </c>
      <c r="HK763" s="2288" t="str">
        <f t="shared" si="199"/>
        <v/>
      </c>
      <c r="HL763" s="2288" t="str">
        <f t="shared" si="200"/>
        <v/>
      </c>
      <c r="HM763" s="2288" t="str">
        <f t="shared" si="201"/>
        <v/>
      </c>
      <c r="HN763" s="2288" t="str">
        <f t="shared" si="202"/>
        <v/>
      </c>
      <c r="HO763" s="2288" t="str">
        <f t="shared" si="203"/>
        <v/>
      </c>
      <c r="HP763" s="2288" t="str">
        <f t="shared" si="204"/>
        <v/>
      </c>
      <c r="HQ763" s="2288" t="str">
        <f t="shared" si="205"/>
        <v/>
      </c>
      <c r="HR763" s="2288" t="str">
        <f t="shared" si="206"/>
        <v/>
      </c>
      <c r="HS763" s="2288" t="str">
        <f t="shared" si="207"/>
        <v/>
      </c>
      <c r="HT763" s="2288" t="str">
        <f t="shared" si="208"/>
        <v/>
      </c>
      <c r="HU763" s="2288" t="str">
        <f t="shared" si="209"/>
        <v/>
      </c>
      <c r="HV763" s="2288" t="str">
        <f t="shared" si="210"/>
        <v/>
      </c>
      <c r="HW763" s="2288" t="str">
        <f t="shared" si="211"/>
        <v/>
      </c>
      <c r="HX763" s="2288" t="str">
        <f t="shared" si="212"/>
        <v/>
      </c>
      <c r="HY763" s="2288" t="str">
        <f t="shared" si="213"/>
        <v/>
      </c>
      <c r="HZ763" s="2288" t="str">
        <f t="shared" si="214"/>
        <v/>
      </c>
      <c r="IA763" s="2288" t="str">
        <f t="shared" si="215"/>
        <v/>
      </c>
      <c r="IB763" s="2288" t="str">
        <f t="shared" si="216"/>
        <v/>
      </c>
      <c r="IC763" s="2288" t="str">
        <f t="shared" si="217"/>
        <v/>
      </c>
      <c r="ID763" s="2255" t="str">
        <f t="shared" si="218"/>
        <v/>
      </c>
      <c r="IE763" s="2255" t="str">
        <f t="shared" si="219"/>
        <v/>
      </c>
      <c r="IF763" s="2255" t="str">
        <f t="shared" si="220"/>
        <v/>
      </c>
      <c r="IG763" s="2255" t="str">
        <f t="shared" si="221"/>
        <v/>
      </c>
      <c r="IH763" s="2255" t="str">
        <f t="shared" si="222"/>
        <v/>
      </c>
      <c r="II763" s="873" t="str">
        <f t="shared" si="223"/>
        <v/>
      </c>
      <c r="IJ763" s="873" t="str">
        <f t="shared" si="224"/>
        <v/>
      </c>
      <c r="IK763" s="873" t="str">
        <f t="shared" si="225"/>
        <v/>
      </c>
      <c r="IL763" s="873" t="str">
        <f t="shared" si="226"/>
        <v/>
      </c>
      <c r="IM763" s="873" t="str">
        <f t="shared" si="227"/>
        <v/>
      </c>
      <c r="IN763" s="873" t="str">
        <f t="shared" si="228"/>
        <v/>
      </c>
      <c r="IO763" s="873" t="str">
        <f t="shared" si="229"/>
        <v/>
      </c>
      <c r="IP763" s="873" t="str">
        <f t="shared" si="230"/>
        <v/>
      </c>
      <c r="IQ763" s="873" t="str">
        <f t="shared" si="231"/>
        <v/>
      </c>
      <c r="IR763" s="873" t="str">
        <f t="shared" si="232"/>
        <v/>
      </c>
      <c r="IS763" s="873" t="str">
        <f t="shared" si="233"/>
        <v/>
      </c>
      <c r="IT763" s="873" t="str">
        <f t="shared" si="234"/>
        <v/>
      </c>
      <c r="IU763" s="873" t="str">
        <f t="shared" si="235"/>
        <v/>
      </c>
      <c r="IV763" s="873" t="str">
        <f t="shared" si="236"/>
        <v/>
      </c>
      <c r="IW763" s="873" t="str">
        <f t="shared" si="237"/>
        <v/>
      </c>
      <c r="IX763" s="873" t="str">
        <f t="shared" si="238"/>
        <v/>
      </c>
      <c r="IY763" s="873" t="str">
        <f t="shared" si="239"/>
        <v/>
      </c>
      <c r="IZ763" s="873" t="str">
        <f t="shared" si="240"/>
        <v/>
      </c>
      <c r="JA763" s="873" t="str">
        <f t="shared" si="241"/>
        <v/>
      </c>
      <c r="JB763" s="873" t="str">
        <f t="shared" si="242"/>
        <v/>
      </c>
      <c r="JC763" s="2253">
        <f t="shared" si="243"/>
        <v>0</v>
      </c>
      <c r="JD763" s="2253">
        <f t="shared" si="244"/>
        <v>0</v>
      </c>
      <c r="JE763" s="2253">
        <f t="shared" si="245"/>
        <v>0</v>
      </c>
      <c r="JF763" s="2253">
        <f t="shared" si="246"/>
        <v>0</v>
      </c>
      <c r="JG763" s="2253">
        <f t="shared" si="247"/>
        <v>0</v>
      </c>
      <c r="JH763" s="2253">
        <f t="shared" si="248"/>
        <v>0</v>
      </c>
      <c r="JI763" s="2253">
        <f t="shared" si="249"/>
        <v>0</v>
      </c>
      <c r="JJ763" s="2253">
        <f t="shared" si="250"/>
        <v>0</v>
      </c>
      <c r="JK763" s="2253">
        <f t="shared" si="251"/>
        <v>0</v>
      </c>
      <c r="JL763" s="2253">
        <f t="shared" si="252"/>
        <v>0</v>
      </c>
      <c r="JM763" s="2253">
        <f t="shared" si="253"/>
        <v>0</v>
      </c>
      <c r="JN763" s="2253">
        <f t="shared" si="254"/>
        <v>0</v>
      </c>
      <c r="JO763" s="2253">
        <f t="shared" si="255"/>
        <v>0</v>
      </c>
      <c r="JP763" s="2253">
        <f t="shared" si="256"/>
        <v>0</v>
      </c>
      <c r="JQ763" s="2253">
        <f t="shared" si="257"/>
        <v>0</v>
      </c>
    </row>
    <row r="764" spans="1:277" ht="12" customHeight="1">
      <c r="A764" s="2258" t="str">
        <f t="shared" si="0"/>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1"/>
        <v>0</v>
      </c>
      <c r="L764" s="2284">
        <f t="shared" si="2"/>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3" t="str">
        <f t="shared" si="3"/>
        <v/>
      </c>
      <c r="X764" s="873" t="str">
        <f t="shared" si="4"/>
        <v/>
      </c>
      <c r="Y764" s="873" t="str">
        <f t="shared" si="5"/>
        <v/>
      </c>
      <c r="Z764" s="873" t="str">
        <f t="shared" si="6"/>
        <v/>
      </c>
      <c r="AA764" s="873" t="str">
        <f t="shared" si="7"/>
        <v/>
      </c>
      <c r="AB764" s="873" t="str">
        <f t="shared" si="8"/>
        <v/>
      </c>
      <c r="AC764" s="873" t="str">
        <f t="shared" si="9"/>
        <v/>
      </c>
      <c r="AD764" s="873" t="str">
        <f t="shared" si="10"/>
        <v/>
      </c>
      <c r="AE764" s="873" t="str">
        <f t="shared" si="11"/>
        <v/>
      </c>
      <c r="AF764" s="873" t="str">
        <f t="shared" si="12"/>
        <v/>
      </c>
      <c r="AG764" s="873" t="str">
        <f t="shared" si="13"/>
        <v/>
      </c>
      <c r="AH764" s="873" t="str">
        <f t="shared" si="14"/>
        <v/>
      </c>
      <c r="AI764" s="873" t="str">
        <f t="shared" si="15"/>
        <v/>
      </c>
      <c r="AJ764" s="873" t="str">
        <f t="shared" si="16"/>
        <v/>
      </c>
      <c r="AK764" s="873" t="str">
        <f t="shared" si="17"/>
        <v/>
      </c>
      <c r="AL764" s="873" t="str">
        <f t="shared" si="18"/>
        <v/>
      </c>
      <c r="AM764" s="873" t="str">
        <f t="shared" si="19"/>
        <v/>
      </c>
      <c r="AN764" s="873" t="str">
        <f t="shared" si="20"/>
        <v/>
      </c>
      <c r="AO764" s="873" t="str">
        <f t="shared" si="21"/>
        <v/>
      </c>
      <c r="AP764" s="873" t="str">
        <f t="shared" si="22"/>
        <v/>
      </c>
      <c r="AQ764" s="873" t="str">
        <f t="shared" si="23"/>
        <v/>
      </c>
      <c r="AR764" s="873" t="str">
        <f t="shared" si="24"/>
        <v/>
      </c>
      <c r="AS764" s="873" t="str">
        <f t="shared" si="25"/>
        <v/>
      </c>
      <c r="AT764" s="873" t="str">
        <f t="shared" si="26"/>
        <v/>
      </c>
      <c r="AU764" s="873" t="str">
        <f t="shared" si="27"/>
        <v/>
      </c>
      <c r="AV764" s="873" t="str">
        <f t="shared" si="28"/>
        <v/>
      </c>
      <c r="AW764" s="873" t="str">
        <f t="shared" si="29"/>
        <v/>
      </c>
      <c r="AX764" s="873" t="str">
        <f t="shared" si="30"/>
        <v/>
      </c>
      <c r="AY764" s="873" t="str">
        <f t="shared" si="31"/>
        <v/>
      </c>
      <c r="AZ764" s="873" t="str">
        <f t="shared" si="32"/>
        <v/>
      </c>
      <c r="BA764" s="873" t="str">
        <f t="shared" si="33"/>
        <v/>
      </c>
      <c r="BB764" s="873" t="str">
        <f t="shared" si="34"/>
        <v/>
      </c>
      <c r="BC764" s="873" t="str">
        <f t="shared" si="35"/>
        <v/>
      </c>
      <c r="BD764" s="873" t="str">
        <f t="shared" si="36"/>
        <v/>
      </c>
      <c r="BE764" s="873" t="str">
        <f t="shared" si="37"/>
        <v/>
      </c>
      <c r="BF764" s="873" t="str">
        <f t="shared" si="38"/>
        <v/>
      </c>
      <c r="BG764" s="873" t="str">
        <f t="shared" si="39"/>
        <v/>
      </c>
      <c r="BH764" s="873" t="str">
        <f t="shared" si="40"/>
        <v/>
      </c>
      <c r="BI764" s="873" t="str">
        <f t="shared" si="41"/>
        <v/>
      </c>
      <c r="BJ764" s="873" t="str">
        <f t="shared" si="42"/>
        <v/>
      </c>
      <c r="BK764" s="873" t="str">
        <f t="shared" si="43"/>
        <v/>
      </c>
      <c r="BL764" s="873" t="str">
        <f t="shared" si="44"/>
        <v/>
      </c>
      <c r="BM764" s="873" t="str">
        <f t="shared" si="45"/>
        <v/>
      </c>
      <c r="BN764" s="873" t="str">
        <f t="shared" si="46"/>
        <v/>
      </c>
      <c r="BO764" s="873" t="str">
        <f t="shared" si="47"/>
        <v/>
      </c>
      <c r="BP764" s="873" t="str">
        <f t="shared" si="48"/>
        <v/>
      </c>
      <c r="BQ764" s="873" t="str">
        <f t="shared" si="49"/>
        <v/>
      </c>
      <c r="BR764" s="873" t="str">
        <f t="shared" si="50"/>
        <v/>
      </c>
      <c r="BS764" s="873" t="str">
        <f t="shared" si="51"/>
        <v/>
      </c>
      <c r="BT764" s="873" t="str">
        <f t="shared" si="52"/>
        <v/>
      </c>
      <c r="BU764" s="873" t="str">
        <f t="shared" si="53"/>
        <v/>
      </c>
      <c r="BV764" s="873" t="str">
        <f t="shared" si="54"/>
        <v/>
      </c>
      <c r="BW764" s="873" t="str">
        <f t="shared" si="55"/>
        <v/>
      </c>
      <c r="BX764" s="873" t="str">
        <f t="shared" si="56"/>
        <v/>
      </c>
      <c r="BY764" s="873" t="str">
        <f t="shared" si="57"/>
        <v/>
      </c>
      <c r="BZ764" s="873" t="str">
        <f t="shared" si="58"/>
        <v/>
      </c>
      <c r="CA764" s="873" t="str">
        <f t="shared" si="59"/>
        <v/>
      </c>
      <c r="CB764" s="873" t="str">
        <f t="shared" si="60"/>
        <v/>
      </c>
      <c r="CC764" s="873" t="str">
        <f t="shared" si="61"/>
        <v/>
      </c>
      <c r="CD764" s="873" t="str">
        <f t="shared" si="62"/>
        <v/>
      </c>
      <c r="CE764" s="873" t="str">
        <f t="shared" si="63"/>
        <v/>
      </c>
      <c r="CF764" s="873" t="str">
        <f t="shared" si="64"/>
        <v/>
      </c>
      <c r="CG764" s="873" t="str">
        <f t="shared" si="65"/>
        <v/>
      </c>
      <c r="CH764" s="873" t="str">
        <f t="shared" si="66"/>
        <v/>
      </c>
      <c r="CI764" s="873" t="str">
        <f t="shared" si="67"/>
        <v/>
      </c>
      <c r="CJ764" s="873" t="str">
        <f t="shared" si="68"/>
        <v/>
      </c>
      <c r="CK764" s="873" t="str">
        <f t="shared" si="69"/>
        <v/>
      </c>
      <c r="CL764" s="873" t="str">
        <f t="shared" si="70"/>
        <v/>
      </c>
      <c r="CM764" s="873" t="str">
        <f t="shared" si="71"/>
        <v/>
      </c>
      <c r="CN764" s="873" t="str">
        <f t="shared" si="72"/>
        <v/>
      </c>
      <c r="CO764" s="873" t="str">
        <f t="shared" si="73"/>
        <v/>
      </c>
      <c r="CP764" s="873" t="str">
        <f t="shared" si="74"/>
        <v/>
      </c>
      <c r="CQ764" s="873" t="str">
        <f t="shared" si="75"/>
        <v/>
      </c>
      <c r="CR764" s="873" t="str">
        <f t="shared" si="76"/>
        <v/>
      </c>
      <c r="CS764" s="873" t="str">
        <f t="shared" si="77"/>
        <v/>
      </c>
      <c r="CT764" s="873" t="str">
        <f t="shared" si="78"/>
        <v/>
      </c>
      <c r="CU764" s="873" t="str">
        <f t="shared" si="79"/>
        <v/>
      </c>
      <c r="CV764" s="873" t="str">
        <f t="shared" si="80"/>
        <v/>
      </c>
      <c r="CW764" s="873" t="str">
        <f t="shared" si="81"/>
        <v/>
      </c>
      <c r="CX764" s="873" t="str">
        <f t="shared" si="82"/>
        <v/>
      </c>
      <c r="CY764" s="873" t="str">
        <f t="shared" si="83"/>
        <v/>
      </c>
      <c r="CZ764" s="873" t="str">
        <f t="shared" si="84"/>
        <v/>
      </c>
      <c r="DA764" s="873" t="str">
        <f t="shared" si="85"/>
        <v/>
      </c>
      <c r="DB764" s="873" t="str">
        <f t="shared" si="86"/>
        <v/>
      </c>
      <c r="DC764" s="873" t="str">
        <f t="shared" si="87"/>
        <v/>
      </c>
      <c r="DD764" s="873" t="str">
        <f t="shared" si="88"/>
        <v/>
      </c>
      <c r="DE764" s="873" t="str">
        <f t="shared" si="89"/>
        <v/>
      </c>
      <c r="DF764" s="873" t="str">
        <f t="shared" si="90"/>
        <v/>
      </c>
      <c r="DG764" s="873" t="str">
        <f t="shared" si="91"/>
        <v/>
      </c>
      <c r="DH764" s="873" t="str">
        <f t="shared" si="92"/>
        <v/>
      </c>
      <c r="DI764" s="873" t="str">
        <f t="shared" si="93"/>
        <v/>
      </c>
      <c r="DJ764" s="873" t="str">
        <f t="shared" si="94"/>
        <v/>
      </c>
      <c r="DK764" s="873" t="str">
        <f t="shared" si="95"/>
        <v/>
      </c>
      <c r="DL764" s="873" t="str">
        <f t="shared" si="96"/>
        <v/>
      </c>
      <c r="DM764" s="873" t="str">
        <f t="shared" si="97"/>
        <v/>
      </c>
      <c r="DN764" s="873" t="str">
        <f t="shared" si="98"/>
        <v/>
      </c>
      <c r="DO764" s="873" t="str">
        <f t="shared" si="99"/>
        <v/>
      </c>
      <c r="DP764" s="873" t="str">
        <f t="shared" si="100"/>
        <v/>
      </c>
      <c r="DQ764" s="873" t="str">
        <f t="shared" si="101"/>
        <v/>
      </c>
      <c r="DR764" s="873" t="str">
        <f t="shared" si="102"/>
        <v/>
      </c>
      <c r="DS764" s="873" t="str">
        <f t="shared" si="103"/>
        <v/>
      </c>
      <c r="DT764" s="873" t="str">
        <f t="shared" si="104"/>
        <v/>
      </c>
      <c r="DU764" s="873" t="str">
        <f t="shared" si="105"/>
        <v/>
      </c>
      <c r="DV764" s="873" t="str">
        <f t="shared" si="106"/>
        <v/>
      </c>
      <c r="DW764" s="873" t="str">
        <f t="shared" si="107"/>
        <v/>
      </c>
      <c r="DX764" s="873" t="str">
        <f t="shared" si="108"/>
        <v/>
      </c>
      <c r="DY764" s="873" t="str">
        <f t="shared" si="109"/>
        <v/>
      </c>
      <c r="DZ764" s="873" t="str">
        <f t="shared" si="110"/>
        <v/>
      </c>
      <c r="EA764" s="873" t="str">
        <f t="shared" si="111"/>
        <v/>
      </c>
      <c r="EB764" s="873" t="str">
        <f t="shared" si="112"/>
        <v/>
      </c>
      <c r="EC764" s="873" t="str">
        <f t="shared" si="113"/>
        <v/>
      </c>
      <c r="ED764" s="873" t="str">
        <f t="shared" si="114"/>
        <v/>
      </c>
      <c r="EE764" s="873" t="str">
        <f t="shared" si="115"/>
        <v/>
      </c>
      <c r="EF764" s="873" t="str">
        <f t="shared" si="116"/>
        <v/>
      </c>
      <c r="EG764" s="873" t="str">
        <f t="shared" si="117"/>
        <v/>
      </c>
      <c r="EH764" s="873" t="str">
        <f t="shared" si="118"/>
        <v/>
      </c>
      <c r="EI764" s="873" t="str">
        <f t="shared" si="119"/>
        <v/>
      </c>
      <c r="EJ764" s="873" t="str">
        <f t="shared" si="120"/>
        <v/>
      </c>
      <c r="EK764" s="873" t="str">
        <f t="shared" si="121"/>
        <v/>
      </c>
      <c r="EL764" s="873" t="str">
        <f t="shared" si="122"/>
        <v/>
      </c>
      <c r="EM764" s="873" t="str">
        <f t="shared" si="123"/>
        <v/>
      </c>
      <c r="EN764" s="873" t="str">
        <f t="shared" si="124"/>
        <v/>
      </c>
      <c r="EO764" s="873" t="str">
        <f t="shared" si="125"/>
        <v/>
      </c>
      <c r="EP764" s="873" t="str">
        <f t="shared" si="126"/>
        <v/>
      </c>
      <c r="EQ764" s="873" t="str">
        <f t="shared" si="127"/>
        <v/>
      </c>
      <c r="ER764" s="873" t="str">
        <f t="shared" si="128"/>
        <v/>
      </c>
      <c r="ES764" s="873" t="str">
        <f t="shared" si="129"/>
        <v/>
      </c>
      <c r="ET764" s="873" t="str">
        <f t="shared" si="130"/>
        <v/>
      </c>
      <c r="EU764" s="873" t="str">
        <f t="shared" si="131"/>
        <v/>
      </c>
      <c r="EV764" s="873" t="str">
        <f t="shared" si="132"/>
        <v/>
      </c>
      <c r="EW764" s="2288" t="str">
        <f t="shared" si="133"/>
        <v/>
      </c>
      <c r="EX764" s="2288" t="str">
        <f t="shared" si="134"/>
        <v/>
      </c>
      <c r="EY764" s="2288" t="str">
        <f t="shared" si="135"/>
        <v/>
      </c>
      <c r="EZ764" s="2288" t="str">
        <f t="shared" si="136"/>
        <v/>
      </c>
      <c r="FA764" s="2288" t="str">
        <f t="shared" si="137"/>
        <v/>
      </c>
      <c r="FB764" s="2288" t="str">
        <f t="shared" si="138"/>
        <v/>
      </c>
      <c r="FC764" s="2288" t="str">
        <f t="shared" si="139"/>
        <v/>
      </c>
      <c r="FD764" s="2288" t="str">
        <f t="shared" si="140"/>
        <v/>
      </c>
      <c r="FE764" s="2288" t="str">
        <f t="shared" si="141"/>
        <v/>
      </c>
      <c r="FF764" s="2288" t="str">
        <f t="shared" si="142"/>
        <v/>
      </c>
      <c r="FG764" s="2288" t="str">
        <f t="shared" si="143"/>
        <v/>
      </c>
      <c r="FH764" s="2288" t="str">
        <f t="shared" si="144"/>
        <v/>
      </c>
      <c r="FI764" s="2288" t="str">
        <f t="shared" si="145"/>
        <v/>
      </c>
      <c r="FJ764" s="2288" t="str">
        <f t="shared" si="146"/>
        <v/>
      </c>
      <c r="FK764" s="2288" t="str">
        <f t="shared" si="147"/>
        <v/>
      </c>
      <c r="FL764" s="2288" t="str">
        <f t="shared" si="148"/>
        <v/>
      </c>
      <c r="FM764" s="2288" t="str">
        <f t="shared" si="149"/>
        <v/>
      </c>
      <c r="FN764" s="2288" t="str">
        <f t="shared" si="150"/>
        <v/>
      </c>
      <c r="FO764" s="2288" t="str">
        <f t="shared" si="151"/>
        <v/>
      </c>
      <c r="FP764" s="2288" t="str">
        <f t="shared" si="152"/>
        <v/>
      </c>
      <c r="FQ764" s="2288" t="str">
        <f t="shared" si="153"/>
        <v/>
      </c>
      <c r="FR764" s="2288" t="str">
        <f t="shared" si="154"/>
        <v/>
      </c>
      <c r="FS764" s="2288" t="str">
        <f t="shared" si="155"/>
        <v/>
      </c>
      <c r="FT764" s="2288" t="str">
        <f t="shared" si="156"/>
        <v/>
      </c>
      <c r="FU764" s="2288" t="str">
        <f t="shared" si="157"/>
        <v/>
      </c>
      <c r="FV764" s="2288" t="str">
        <f t="shared" si="158"/>
        <v/>
      </c>
      <c r="FW764" s="2288" t="str">
        <f t="shared" si="159"/>
        <v/>
      </c>
      <c r="FX764" s="2288" t="str">
        <f t="shared" si="160"/>
        <v/>
      </c>
      <c r="FY764" s="2288" t="str">
        <f t="shared" si="161"/>
        <v/>
      </c>
      <c r="FZ764" s="2288" t="str">
        <f t="shared" si="162"/>
        <v/>
      </c>
      <c r="GA764" s="2288" t="str">
        <f t="shared" si="163"/>
        <v/>
      </c>
      <c r="GB764" s="2288" t="str">
        <f t="shared" si="164"/>
        <v/>
      </c>
      <c r="GC764" s="2288" t="str">
        <f t="shared" si="165"/>
        <v/>
      </c>
      <c r="GD764" s="2288" t="str">
        <f t="shared" si="166"/>
        <v/>
      </c>
      <c r="GE764" s="2288" t="str">
        <f t="shared" si="167"/>
        <v/>
      </c>
      <c r="GF764" s="2288" t="str">
        <f t="shared" si="168"/>
        <v/>
      </c>
      <c r="GG764" s="2288" t="str">
        <f t="shared" si="169"/>
        <v/>
      </c>
      <c r="GH764" s="2288" t="str">
        <f t="shared" si="170"/>
        <v/>
      </c>
      <c r="GI764" s="2288" t="str">
        <f t="shared" si="171"/>
        <v/>
      </c>
      <c r="GJ764" s="2288" t="str">
        <f t="shared" si="172"/>
        <v/>
      </c>
      <c r="GK764" s="2288" t="str">
        <f t="shared" si="173"/>
        <v/>
      </c>
      <c r="GL764" s="2288" t="str">
        <f t="shared" si="174"/>
        <v/>
      </c>
      <c r="GM764" s="2288" t="str">
        <f t="shared" si="175"/>
        <v/>
      </c>
      <c r="GN764" s="2288" t="str">
        <f t="shared" si="176"/>
        <v/>
      </c>
      <c r="GO764" s="2288" t="str">
        <f t="shared" si="177"/>
        <v/>
      </c>
      <c r="GP764" s="2288" t="str">
        <f t="shared" si="178"/>
        <v/>
      </c>
      <c r="GQ764" s="2288" t="str">
        <f t="shared" si="179"/>
        <v/>
      </c>
      <c r="GR764" s="2288" t="str">
        <f t="shared" si="180"/>
        <v/>
      </c>
      <c r="GS764" s="2288" t="str">
        <f t="shared" si="181"/>
        <v/>
      </c>
      <c r="GT764" s="2288" t="str">
        <f t="shared" si="182"/>
        <v/>
      </c>
      <c r="GU764" s="2288" t="str">
        <f t="shared" si="183"/>
        <v/>
      </c>
      <c r="GV764" s="2288" t="str">
        <f t="shared" si="184"/>
        <v/>
      </c>
      <c r="GW764" s="2288" t="str">
        <f t="shared" si="185"/>
        <v/>
      </c>
      <c r="GX764" s="2288" t="str">
        <f t="shared" si="186"/>
        <v/>
      </c>
      <c r="GY764" s="2288" t="str">
        <f t="shared" si="187"/>
        <v/>
      </c>
      <c r="GZ764" s="2288" t="str">
        <f t="shared" si="188"/>
        <v/>
      </c>
      <c r="HA764" s="2288" t="str">
        <f t="shared" si="189"/>
        <v/>
      </c>
      <c r="HB764" s="2288" t="str">
        <f t="shared" si="190"/>
        <v/>
      </c>
      <c r="HC764" s="2288" t="str">
        <f t="shared" si="191"/>
        <v/>
      </c>
      <c r="HD764" s="2288" t="str">
        <f t="shared" si="192"/>
        <v/>
      </c>
      <c r="HE764" s="2288" t="str">
        <f t="shared" si="193"/>
        <v/>
      </c>
      <c r="HF764" s="2288" t="str">
        <f t="shared" si="194"/>
        <v/>
      </c>
      <c r="HG764" s="2288" t="str">
        <f t="shared" si="195"/>
        <v/>
      </c>
      <c r="HH764" s="2288" t="str">
        <f t="shared" si="196"/>
        <v/>
      </c>
      <c r="HI764" s="2288" t="str">
        <f t="shared" si="197"/>
        <v/>
      </c>
      <c r="HJ764" s="2288" t="str">
        <f t="shared" si="198"/>
        <v/>
      </c>
      <c r="HK764" s="2288" t="str">
        <f t="shared" si="199"/>
        <v/>
      </c>
      <c r="HL764" s="2288" t="str">
        <f t="shared" si="200"/>
        <v/>
      </c>
      <c r="HM764" s="2288" t="str">
        <f t="shared" si="201"/>
        <v/>
      </c>
      <c r="HN764" s="2288" t="str">
        <f t="shared" si="202"/>
        <v/>
      </c>
      <c r="HO764" s="2288" t="str">
        <f t="shared" si="203"/>
        <v/>
      </c>
      <c r="HP764" s="2288" t="str">
        <f t="shared" si="204"/>
        <v/>
      </c>
      <c r="HQ764" s="2288" t="str">
        <f t="shared" si="205"/>
        <v/>
      </c>
      <c r="HR764" s="2288" t="str">
        <f t="shared" si="206"/>
        <v/>
      </c>
      <c r="HS764" s="2288" t="str">
        <f t="shared" si="207"/>
        <v/>
      </c>
      <c r="HT764" s="2288" t="str">
        <f t="shared" si="208"/>
        <v/>
      </c>
      <c r="HU764" s="2288" t="str">
        <f t="shared" si="209"/>
        <v/>
      </c>
      <c r="HV764" s="2288" t="str">
        <f t="shared" si="210"/>
        <v/>
      </c>
      <c r="HW764" s="2288" t="str">
        <f t="shared" si="211"/>
        <v/>
      </c>
      <c r="HX764" s="2288" t="str">
        <f t="shared" si="212"/>
        <v/>
      </c>
      <c r="HY764" s="2288" t="str">
        <f t="shared" si="213"/>
        <v/>
      </c>
      <c r="HZ764" s="2288" t="str">
        <f t="shared" si="214"/>
        <v/>
      </c>
      <c r="IA764" s="2288" t="str">
        <f t="shared" si="215"/>
        <v/>
      </c>
      <c r="IB764" s="2288" t="str">
        <f t="shared" si="216"/>
        <v/>
      </c>
      <c r="IC764" s="2288" t="str">
        <f t="shared" si="217"/>
        <v/>
      </c>
      <c r="ID764" s="2255" t="str">
        <f t="shared" si="218"/>
        <v/>
      </c>
      <c r="IE764" s="2255" t="str">
        <f t="shared" si="219"/>
        <v/>
      </c>
      <c r="IF764" s="2255" t="str">
        <f t="shared" si="220"/>
        <v/>
      </c>
      <c r="IG764" s="2255" t="str">
        <f t="shared" si="221"/>
        <v/>
      </c>
      <c r="IH764" s="2255" t="str">
        <f t="shared" si="222"/>
        <v/>
      </c>
      <c r="II764" s="873" t="str">
        <f t="shared" si="223"/>
        <v/>
      </c>
      <c r="IJ764" s="873" t="str">
        <f t="shared" si="224"/>
        <v/>
      </c>
      <c r="IK764" s="873" t="str">
        <f t="shared" si="225"/>
        <v/>
      </c>
      <c r="IL764" s="873" t="str">
        <f t="shared" si="226"/>
        <v/>
      </c>
      <c r="IM764" s="873" t="str">
        <f t="shared" si="227"/>
        <v/>
      </c>
      <c r="IN764" s="873" t="str">
        <f t="shared" si="228"/>
        <v/>
      </c>
      <c r="IO764" s="873" t="str">
        <f t="shared" si="229"/>
        <v/>
      </c>
      <c r="IP764" s="873" t="str">
        <f t="shared" si="230"/>
        <v/>
      </c>
      <c r="IQ764" s="873" t="str">
        <f t="shared" si="231"/>
        <v/>
      </c>
      <c r="IR764" s="873" t="str">
        <f t="shared" si="232"/>
        <v/>
      </c>
      <c r="IS764" s="873" t="str">
        <f t="shared" si="233"/>
        <v/>
      </c>
      <c r="IT764" s="873" t="str">
        <f t="shared" si="234"/>
        <v/>
      </c>
      <c r="IU764" s="873" t="str">
        <f t="shared" si="235"/>
        <v/>
      </c>
      <c r="IV764" s="873" t="str">
        <f t="shared" si="236"/>
        <v/>
      </c>
      <c r="IW764" s="873" t="str">
        <f t="shared" si="237"/>
        <v/>
      </c>
      <c r="IX764" s="873" t="str">
        <f t="shared" si="238"/>
        <v/>
      </c>
      <c r="IY764" s="873" t="str">
        <f t="shared" si="239"/>
        <v/>
      </c>
      <c r="IZ764" s="873" t="str">
        <f t="shared" si="240"/>
        <v/>
      </c>
      <c r="JA764" s="873" t="str">
        <f t="shared" si="241"/>
        <v/>
      </c>
      <c r="JB764" s="873" t="str">
        <f t="shared" si="242"/>
        <v/>
      </c>
      <c r="JC764" s="2253">
        <f t="shared" si="243"/>
        <v>0</v>
      </c>
      <c r="JD764" s="2253">
        <f t="shared" si="244"/>
        <v>0</v>
      </c>
      <c r="JE764" s="2253">
        <f t="shared" si="245"/>
        <v>0</v>
      </c>
      <c r="JF764" s="2253">
        <f t="shared" si="246"/>
        <v>0</v>
      </c>
      <c r="JG764" s="2253">
        <f t="shared" si="247"/>
        <v>0</v>
      </c>
      <c r="JH764" s="2253">
        <f t="shared" si="248"/>
        <v>0</v>
      </c>
      <c r="JI764" s="2253">
        <f t="shared" si="249"/>
        <v>0</v>
      </c>
      <c r="JJ764" s="2253">
        <f t="shared" si="250"/>
        <v>0</v>
      </c>
      <c r="JK764" s="2253">
        <f t="shared" si="251"/>
        <v>0</v>
      </c>
      <c r="JL764" s="2253">
        <f t="shared" si="252"/>
        <v>0</v>
      </c>
      <c r="JM764" s="2253">
        <f t="shared" si="253"/>
        <v>0</v>
      </c>
      <c r="JN764" s="2253">
        <f t="shared" si="254"/>
        <v>0</v>
      </c>
      <c r="JO764" s="2253">
        <f t="shared" si="255"/>
        <v>0</v>
      </c>
      <c r="JP764" s="2253">
        <f t="shared" si="256"/>
        <v>0</v>
      </c>
      <c r="JQ764" s="2253">
        <f t="shared" si="257"/>
        <v>0</v>
      </c>
    </row>
    <row r="765" spans="1:277" ht="12" customHeight="1">
      <c r="A765" s="2258" t="str">
        <f t="shared" si="0"/>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1"/>
        <v>0</v>
      </c>
      <c r="L765" s="2284">
        <f t="shared" si="2"/>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3" t="str">
        <f t="shared" si="3"/>
        <v/>
      </c>
      <c r="X765" s="873" t="str">
        <f t="shared" si="4"/>
        <v/>
      </c>
      <c r="Y765" s="873" t="str">
        <f t="shared" si="5"/>
        <v/>
      </c>
      <c r="Z765" s="873" t="str">
        <f t="shared" si="6"/>
        <v/>
      </c>
      <c r="AA765" s="873" t="str">
        <f t="shared" si="7"/>
        <v/>
      </c>
      <c r="AB765" s="873" t="str">
        <f t="shared" si="8"/>
        <v/>
      </c>
      <c r="AC765" s="873" t="str">
        <f t="shared" si="9"/>
        <v/>
      </c>
      <c r="AD765" s="873" t="str">
        <f t="shared" si="10"/>
        <v/>
      </c>
      <c r="AE765" s="873" t="str">
        <f t="shared" si="11"/>
        <v/>
      </c>
      <c r="AF765" s="873" t="str">
        <f t="shared" si="12"/>
        <v/>
      </c>
      <c r="AG765" s="873" t="str">
        <f t="shared" si="13"/>
        <v/>
      </c>
      <c r="AH765" s="873" t="str">
        <f t="shared" si="14"/>
        <v/>
      </c>
      <c r="AI765" s="873" t="str">
        <f t="shared" si="15"/>
        <v/>
      </c>
      <c r="AJ765" s="873" t="str">
        <f t="shared" si="16"/>
        <v/>
      </c>
      <c r="AK765" s="873" t="str">
        <f t="shared" si="17"/>
        <v/>
      </c>
      <c r="AL765" s="873" t="str">
        <f t="shared" si="18"/>
        <v/>
      </c>
      <c r="AM765" s="873" t="str">
        <f t="shared" si="19"/>
        <v/>
      </c>
      <c r="AN765" s="873" t="str">
        <f t="shared" si="20"/>
        <v/>
      </c>
      <c r="AO765" s="873" t="str">
        <f t="shared" si="21"/>
        <v/>
      </c>
      <c r="AP765" s="873" t="str">
        <f t="shared" si="22"/>
        <v/>
      </c>
      <c r="AQ765" s="873" t="str">
        <f t="shared" si="23"/>
        <v/>
      </c>
      <c r="AR765" s="873" t="str">
        <f t="shared" si="24"/>
        <v/>
      </c>
      <c r="AS765" s="873" t="str">
        <f t="shared" si="25"/>
        <v/>
      </c>
      <c r="AT765" s="873" t="str">
        <f t="shared" si="26"/>
        <v/>
      </c>
      <c r="AU765" s="873" t="str">
        <f t="shared" si="27"/>
        <v/>
      </c>
      <c r="AV765" s="873" t="str">
        <f t="shared" si="28"/>
        <v/>
      </c>
      <c r="AW765" s="873" t="str">
        <f t="shared" si="29"/>
        <v/>
      </c>
      <c r="AX765" s="873" t="str">
        <f t="shared" si="30"/>
        <v/>
      </c>
      <c r="AY765" s="873" t="str">
        <f t="shared" si="31"/>
        <v/>
      </c>
      <c r="AZ765" s="873" t="str">
        <f t="shared" si="32"/>
        <v/>
      </c>
      <c r="BA765" s="873" t="str">
        <f t="shared" si="33"/>
        <v/>
      </c>
      <c r="BB765" s="873" t="str">
        <f t="shared" si="34"/>
        <v/>
      </c>
      <c r="BC765" s="873" t="str">
        <f t="shared" si="35"/>
        <v/>
      </c>
      <c r="BD765" s="873" t="str">
        <f t="shared" si="36"/>
        <v/>
      </c>
      <c r="BE765" s="873" t="str">
        <f t="shared" si="37"/>
        <v/>
      </c>
      <c r="BF765" s="873" t="str">
        <f t="shared" si="38"/>
        <v/>
      </c>
      <c r="BG765" s="873" t="str">
        <f t="shared" si="39"/>
        <v/>
      </c>
      <c r="BH765" s="873" t="str">
        <f t="shared" si="40"/>
        <v/>
      </c>
      <c r="BI765" s="873" t="str">
        <f t="shared" si="41"/>
        <v/>
      </c>
      <c r="BJ765" s="873" t="str">
        <f t="shared" si="42"/>
        <v/>
      </c>
      <c r="BK765" s="873" t="str">
        <f t="shared" si="43"/>
        <v/>
      </c>
      <c r="BL765" s="873" t="str">
        <f t="shared" si="44"/>
        <v/>
      </c>
      <c r="BM765" s="873" t="str">
        <f t="shared" si="45"/>
        <v/>
      </c>
      <c r="BN765" s="873" t="str">
        <f t="shared" si="46"/>
        <v/>
      </c>
      <c r="BO765" s="873" t="str">
        <f t="shared" si="47"/>
        <v/>
      </c>
      <c r="BP765" s="873" t="str">
        <f t="shared" si="48"/>
        <v/>
      </c>
      <c r="BQ765" s="873" t="str">
        <f t="shared" si="49"/>
        <v/>
      </c>
      <c r="BR765" s="873" t="str">
        <f t="shared" si="50"/>
        <v/>
      </c>
      <c r="BS765" s="873" t="str">
        <f t="shared" si="51"/>
        <v/>
      </c>
      <c r="BT765" s="873" t="str">
        <f t="shared" si="52"/>
        <v/>
      </c>
      <c r="BU765" s="873" t="str">
        <f t="shared" si="53"/>
        <v/>
      </c>
      <c r="BV765" s="873" t="str">
        <f t="shared" si="54"/>
        <v/>
      </c>
      <c r="BW765" s="873" t="str">
        <f t="shared" si="55"/>
        <v/>
      </c>
      <c r="BX765" s="873" t="str">
        <f t="shared" si="56"/>
        <v/>
      </c>
      <c r="BY765" s="873" t="str">
        <f t="shared" si="57"/>
        <v/>
      </c>
      <c r="BZ765" s="873" t="str">
        <f t="shared" si="58"/>
        <v/>
      </c>
      <c r="CA765" s="873" t="str">
        <f t="shared" si="59"/>
        <v/>
      </c>
      <c r="CB765" s="873" t="str">
        <f t="shared" si="60"/>
        <v/>
      </c>
      <c r="CC765" s="873" t="str">
        <f t="shared" si="61"/>
        <v/>
      </c>
      <c r="CD765" s="873" t="str">
        <f t="shared" si="62"/>
        <v/>
      </c>
      <c r="CE765" s="873" t="str">
        <f t="shared" si="63"/>
        <v/>
      </c>
      <c r="CF765" s="873" t="str">
        <f t="shared" si="64"/>
        <v/>
      </c>
      <c r="CG765" s="873" t="str">
        <f t="shared" si="65"/>
        <v/>
      </c>
      <c r="CH765" s="873" t="str">
        <f t="shared" si="66"/>
        <v/>
      </c>
      <c r="CI765" s="873" t="str">
        <f t="shared" si="67"/>
        <v/>
      </c>
      <c r="CJ765" s="873" t="str">
        <f t="shared" si="68"/>
        <v/>
      </c>
      <c r="CK765" s="873" t="str">
        <f t="shared" si="69"/>
        <v/>
      </c>
      <c r="CL765" s="873" t="str">
        <f t="shared" si="70"/>
        <v/>
      </c>
      <c r="CM765" s="873" t="str">
        <f t="shared" si="71"/>
        <v/>
      </c>
      <c r="CN765" s="873" t="str">
        <f t="shared" si="72"/>
        <v/>
      </c>
      <c r="CO765" s="873" t="str">
        <f t="shared" si="73"/>
        <v/>
      </c>
      <c r="CP765" s="873" t="str">
        <f t="shared" si="74"/>
        <v/>
      </c>
      <c r="CQ765" s="873" t="str">
        <f t="shared" si="75"/>
        <v/>
      </c>
      <c r="CR765" s="873" t="str">
        <f t="shared" si="76"/>
        <v/>
      </c>
      <c r="CS765" s="873" t="str">
        <f t="shared" si="77"/>
        <v/>
      </c>
      <c r="CT765" s="873" t="str">
        <f t="shared" si="78"/>
        <v/>
      </c>
      <c r="CU765" s="873" t="str">
        <f t="shared" si="79"/>
        <v/>
      </c>
      <c r="CV765" s="873" t="str">
        <f t="shared" si="80"/>
        <v/>
      </c>
      <c r="CW765" s="873" t="str">
        <f t="shared" si="81"/>
        <v/>
      </c>
      <c r="CX765" s="873" t="str">
        <f t="shared" si="82"/>
        <v/>
      </c>
      <c r="CY765" s="873" t="str">
        <f t="shared" si="83"/>
        <v/>
      </c>
      <c r="CZ765" s="873" t="str">
        <f t="shared" si="84"/>
        <v/>
      </c>
      <c r="DA765" s="873" t="str">
        <f t="shared" si="85"/>
        <v/>
      </c>
      <c r="DB765" s="873" t="str">
        <f t="shared" si="86"/>
        <v/>
      </c>
      <c r="DC765" s="873" t="str">
        <f t="shared" si="87"/>
        <v/>
      </c>
      <c r="DD765" s="873" t="str">
        <f t="shared" si="88"/>
        <v/>
      </c>
      <c r="DE765" s="873" t="str">
        <f t="shared" si="89"/>
        <v/>
      </c>
      <c r="DF765" s="873" t="str">
        <f t="shared" si="90"/>
        <v/>
      </c>
      <c r="DG765" s="873" t="str">
        <f t="shared" si="91"/>
        <v/>
      </c>
      <c r="DH765" s="873" t="str">
        <f t="shared" si="92"/>
        <v/>
      </c>
      <c r="DI765" s="873" t="str">
        <f t="shared" si="93"/>
        <v/>
      </c>
      <c r="DJ765" s="873" t="str">
        <f t="shared" si="94"/>
        <v/>
      </c>
      <c r="DK765" s="873" t="str">
        <f t="shared" si="95"/>
        <v/>
      </c>
      <c r="DL765" s="873" t="str">
        <f t="shared" si="96"/>
        <v/>
      </c>
      <c r="DM765" s="873" t="str">
        <f t="shared" si="97"/>
        <v/>
      </c>
      <c r="DN765" s="873" t="str">
        <f t="shared" si="98"/>
        <v/>
      </c>
      <c r="DO765" s="873" t="str">
        <f t="shared" si="99"/>
        <v/>
      </c>
      <c r="DP765" s="873" t="str">
        <f t="shared" si="100"/>
        <v/>
      </c>
      <c r="DQ765" s="873" t="str">
        <f t="shared" si="101"/>
        <v/>
      </c>
      <c r="DR765" s="873" t="str">
        <f t="shared" si="102"/>
        <v/>
      </c>
      <c r="DS765" s="873" t="str">
        <f t="shared" si="103"/>
        <v/>
      </c>
      <c r="DT765" s="873" t="str">
        <f t="shared" si="104"/>
        <v/>
      </c>
      <c r="DU765" s="873" t="str">
        <f t="shared" si="105"/>
        <v/>
      </c>
      <c r="DV765" s="873" t="str">
        <f t="shared" si="106"/>
        <v/>
      </c>
      <c r="DW765" s="873" t="str">
        <f t="shared" si="107"/>
        <v/>
      </c>
      <c r="DX765" s="873" t="str">
        <f t="shared" si="108"/>
        <v/>
      </c>
      <c r="DY765" s="873" t="str">
        <f t="shared" si="109"/>
        <v/>
      </c>
      <c r="DZ765" s="873" t="str">
        <f t="shared" si="110"/>
        <v/>
      </c>
      <c r="EA765" s="873" t="str">
        <f t="shared" si="111"/>
        <v/>
      </c>
      <c r="EB765" s="873" t="str">
        <f t="shared" si="112"/>
        <v/>
      </c>
      <c r="EC765" s="873" t="str">
        <f t="shared" si="113"/>
        <v/>
      </c>
      <c r="ED765" s="873" t="str">
        <f t="shared" si="114"/>
        <v/>
      </c>
      <c r="EE765" s="873" t="str">
        <f t="shared" si="115"/>
        <v/>
      </c>
      <c r="EF765" s="873" t="str">
        <f t="shared" si="116"/>
        <v/>
      </c>
      <c r="EG765" s="873" t="str">
        <f t="shared" si="117"/>
        <v/>
      </c>
      <c r="EH765" s="873" t="str">
        <f t="shared" si="118"/>
        <v/>
      </c>
      <c r="EI765" s="873" t="str">
        <f t="shared" si="119"/>
        <v/>
      </c>
      <c r="EJ765" s="873" t="str">
        <f t="shared" si="120"/>
        <v/>
      </c>
      <c r="EK765" s="873" t="str">
        <f t="shared" si="121"/>
        <v/>
      </c>
      <c r="EL765" s="873" t="str">
        <f t="shared" si="122"/>
        <v/>
      </c>
      <c r="EM765" s="873" t="str">
        <f t="shared" si="123"/>
        <v/>
      </c>
      <c r="EN765" s="873" t="str">
        <f t="shared" si="124"/>
        <v/>
      </c>
      <c r="EO765" s="873" t="str">
        <f t="shared" si="125"/>
        <v/>
      </c>
      <c r="EP765" s="873" t="str">
        <f t="shared" si="126"/>
        <v/>
      </c>
      <c r="EQ765" s="873" t="str">
        <f t="shared" si="127"/>
        <v/>
      </c>
      <c r="ER765" s="873" t="str">
        <f t="shared" si="128"/>
        <v/>
      </c>
      <c r="ES765" s="873" t="str">
        <f t="shared" si="129"/>
        <v/>
      </c>
      <c r="ET765" s="873" t="str">
        <f t="shared" si="130"/>
        <v/>
      </c>
      <c r="EU765" s="873" t="str">
        <f t="shared" si="131"/>
        <v/>
      </c>
      <c r="EV765" s="873" t="str">
        <f t="shared" si="132"/>
        <v/>
      </c>
      <c r="EW765" s="2288" t="str">
        <f t="shared" si="133"/>
        <v/>
      </c>
      <c r="EX765" s="2288" t="str">
        <f t="shared" si="134"/>
        <v/>
      </c>
      <c r="EY765" s="2288" t="str">
        <f t="shared" si="135"/>
        <v/>
      </c>
      <c r="EZ765" s="2288" t="str">
        <f t="shared" si="136"/>
        <v/>
      </c>
      <c r="FA765" s="2288" t="str">
        <f t="shared" si="137"/>
        <v/>
      </c>
      <c r="FB765" s="2288" t="str">
        <f t="shared" si="138"/>
        <v/>
      </c>
      <c r="FC765" s="2288" t="str">
        <f t="shared" si="139"/>
        <v/>
      </c>
      <c r="FD765" s="2288" t="str">
        <f t="shared" si="140"/>
        <v/>
      </c>
      <c r="FE765" s="2288" t="str">
        <f t="shared" si="141"/>
        <v/>
      </c>
      <c r="FF765" s="2288" t="str">
        <f t="shared" si="142"/>
        <v/>
      </c>
      <c r="FG765" s="2288" t="str">
        <f t="shared" si="143"/>
        <v/>
      </c>
      <c r="FH765" s="2288" t="str">
        <f t="shared" si="144"/>
        <v/>
      </c>
      <c r="FI765" s="2288" t="str">
        <f t="shared" si="145"/>
        <v/>
      </c>
      <c r="FJ765" s="2288" t="str">
        <f t="shared" si="146"/>
        <v/>
      </c>
      <c r="FK765" s="2288" t="str">
        <f t="shared" si="147"/>
        <v/>
      </c>
      <c r="FL765" s="2288" t="str">
        <f t="shared" si="148"/>
        <v/>
      </c>
      <c r="FM765" s="2288" t="str">
        <f t="shared" si="149"/>
        <v/>
      </c>
      <c r="FN765" s="2288" t="str">
        <f t="shared" si="150"/>
        <v/>
      </c>
      <c r="FO765" s="2288" t="str">
        <f t="shared" si="151"/>
        <v/>
      </c>
      <c r="FP765" s="2288" t="str">
        <f t="shared" si="152"/>
        <v/>
      </c>
      <c r="FQ765" s="2288" t="str">
        <f t="shared" si="153"/>
        <v/>
      </c>
      <c r="FR765" s="2288" t="str">
        <f t="shared" si="154"/>
        <v/>
      </c>
      <c r="FS765" s="2288" t="str">
        <f t="shared" si="155"/>
        <v/>
      </c>
      <c r="FT765" s="2288" t="str">
        <f t="shared" si="156"/>
        <v/>
      </c>
      <c r="FU765" s="2288" t="str">
        <f t="shared" si="157"/>
        <v/>
      </c>
      <c r="FV765" s="2288" t="str">
        <f t="shared" si="158"/>
        <v/>
      </c>
      <c r="FW765" s="2288" t="str">
        <f t="shared" si="159"/>
        <v/>
      </c>
      <c r="FX765" s="2288" t="str">
        <f t="shared" si="160"/>
        <v/>
      </c>
      <c r="FY765" s="2288" t="str">
        <f t="shared" si="161"/>
        <v/>
      </c>
      <c r="FZ765" s="2288" t="str">
        <f t="shared" si="162"/>
        <v/>
      </c>
      <c r="GA765" s="2288" t="str">
        <f t="shared" si="163"/>
        <v/>
      </c>
      <c r="GB765" s="2288" t="str">
        <f t="shared" si="164"/>
        <v/>
      </c>
      <c r="GC765" s="2288" t="str">
        <f t="shared" si="165"/>
        <v/>
      </c>
      <c r="GD765" s="2288" t="str">
        <f t="shared" si="166"/>
        <v/>
      </c>
      <c r="GE765" s="2288" t="str">
        <f t="shared" si="167"/>
        <v/>
      </c>
      <c r="GF765" s="2288" t="str">
        <f t="shared" si="168"/>
        <v/>
      </c>
      <c r="GG765" s="2288" t="str">
        <f t="shared" si="169"/>
        <v/>
      </c>
      <c r="GH765" s="2288" t="str">
        <f t="shared" si="170"/>
        <v/>
      </c>
      <c r="GI765" s="2288" t="str">
        <f t="shared" si="171"/>
        <v/>
      </c>
      <c r="GJ765" s="2288" t="str">
        <f t="shared" si="172"/>
        <v/>
      </c>
      <c r="GK765" s="2288" t="str">
        <f t="shared" si="173"/>
        <v/>
      </c>
      <c r="GL765" s="2288" t="str">
        <f t="shared" si="174"/>
        <v/>
      </c>
      <c r="GM765" s="2288" t="str">
        <f t="shared" si="175"/>
        <v/>
      </c>
      <c r="GN765" s="2288" t="str">
        <f t="shared" si="176"/>
        <v/>
      </c>
      <c r="GO765" s="2288" t="str">
        <f t="shared" si="177"/>
        <v/>
      </c>
      <c r="GP765" s="2288" t="str">
        <f t="shared" si="178"/>
        <v/>
      </c>
      <c r="GQ765" s="2288" t="str">
        <f t="shared" si="179"/>
        <v/>
      </c>
      <c r="GR765" s="2288" t="str">
        <f t="shared" si="180"/>
        <v/>
      </c>
      <c r="GS765" s="2288" t="str">
        <f t="shared" si="181"/>
        <v/>
      </c>
      <c r="GT765" s="2288" t="str">
        <f t="shared" si="182"/>
        <v/>
      </c>
      <c r="GU765" s="2288" t="str">
        <f t="shared" si="183"/>
        <v/>
      </c>
      <c r="GV765" s="2288" t="str">
        <f t="shared" si="184"/>
        <v/>
      </c>
      <c r="GW765" s="2288" t="str">
        <f t="shared" si="185"/>
        <v/>
      </c>
      <c r="GX765" s="2288" t="str">
        <f t="shared" si="186"/>
        <v/>
      </c>
      <c r="GY765" s="2288" t="str">
        <f t="shared" si="187"/>
        <v/>
      </c>
      <c r="GZ765" s="2288" t="str">
        <f t="shared" si="188"/>
        <v/>
      </c>
      <c r="HA765" s="2288" t="str">
        <f t="shared" si="189"/>
        <v/>
      </c>
      <c r="HB765" s="2288" t="str">
        <f t="shared" si="190"/>
        <v/>
      </c>
      <c r="HC765" s="2288" t="str">
        <f t="shared" si="191"/>
        <v/>
      </c>
      <c r="HD765" s="2288" t="str">
        <f t="shared" si="192"/>
        <v/>
      </c>
      <c r="HE765" s="2288" t="str">
        <f t="shared" si="193"/>
        <v/>
      </c>
      <c r="HF765" s="2288" t="str">
        <f t="shared" si="194"/>
        <v/>
      </c>
      <c r="HG765" s="2288" t="str">
        <f t="shared" si="195"/>
        <v/>
      </c>
      <c r="HH765" s="2288" t="str">
        <f t="shared" si="196"/>
        <v/>
      </c>
      <c r="HI765" s="2288" t="str">
        <f t="shared" si="197"/>
        <v/>
      </c>
      <c r="HJ765" s="2288" t="str">
        <f t="shared" si="198"/>
        <v/>
      </c>
      <c r="HK765" s="2288" t="str">
        <f t="shared" si="199"/>
        <v/>
      </c>
      <c r="HL765" s="2288" t="str">
        <f t="shared" si="200"/>
        <v/>
      </c>
      <c r="HM765" s="2288" t="str">
        <f t="shared" si="201"/>
        <v/>
      </c>
      <c r="HN765" s="2288" t="str">
        <f t="shared" si="202"/>
        <v/>
      </c>
      <c r="HO765" s="2288" t="str">
        <f t="shared" si="203"/>
        <v/>
      </c>
      <c r="HP765" s="2288" t="str">
        <f t="shared" si="204"/>
        <v/>
      </c>
      <c r="HQ765" s="2288" t="str">
        <f t="shared" si="205"/>
        <v/>
      </c>
      <c r="HR765" s="2288" t="str">
        <f t="shared" si="206"/>
        <v/>
      </c>
      <c r="HS765" s="2288" t="str">
        <f t="shared" si="207"/>
        <v/>
      </c>
      <c r="HT765" s="2288" t="str">
        <f t="shared" si="208"/>
        <v/>
      </c>
      <c r="HU765" s="2288" t="str">
        <f t="shared" si="209"/>
        <v/>
      </c>
      <c r="HV765" s="2288" t="str">
        <f t="shared" si="210"/>
        <v/>
      </c>
      <c r="HW765" s="2288" t="str">
        <f t="shared" si="211"/>
        <v/>
      </c>
      <c r="HX765" s="2288" t="str">
        <f t="shared" si="212"/>
        <v/>
      </c>
      <c r="HY765" s="2288" t="str">
        <f t="shared" si="213"/>
        <v/>
      </c>
      <c r="HZ765" s="2288" t="str">
        <f t="shared" si="214"/>
        <v/>
      </c>
      <c r="IA765" s="2288" t="str">
        <f t="shared" si="215"/>
        <v/>
      </c>
      <c r="IB765" s="2288" t="str">
        <f t="shared" si="216"/>
        <v/>
      </c>
      <c r="IC765" s="2288" t="str">
        <f t="shared" si="217"/>
        <v/>
      </c>
      <c r="ID765" s="2255" t="str">
        <f t="shared" si="218"/>
        <v/>
      </c>
      <c r="IE765" s="2255" t="str">
        <f t="shared" si="219"/>
        <v/>
      </c>
      <c r="IF765" s="2255" t="str">
        <f t="shared" si="220"/>
        <v/>
      </c>
      <c r="IG765" s="2255" t="str">
        <f t="shared" si="221"/>
        <v/>
      </c>
      <c r="IH765" s="2255" t="str">
        <f t="shared" si="222"/>
        <v/>
      </c>
      <c r="II765" s="873" t="str">
        <f t="shared" si="223"/>
        <v/>
      </c>
      <c r="IJ765" s="873" t="str">
        <f t="shared" si="224"/>
        <v/>
      </c>
      <c r="IK765" s="873" t="str">
        <f t="shared" si="225"/>
        <v/>
      </c>
      <c r="IL765" s="873" t="str">
        <f t="shared" si="226"/>
        <v/>
      </c>
      <c r="IM765" s="873" t="str">
        <f t="shared" si="227"/>
        <v/>
      </c>
      <c r="IN765" s="873" t="str">
        <f t="shared" si="228"/>
        <v/>
      </c>
      <c r="IO765" s="873" t="str">
        <f t="shared" si="229"/>
        <v/>
      </c>
      <c r="IP765" s="873" t="str">
        <f t="shared" si="230"/>
        <v/>
      </c>
      <c r="IQ765" s="873" t="str">
        <f t="shared" si="231"/>
        <v/>
      </c>
      <c r="IR765" s="873" t="str">
        <f t="shared" si="232"/>
        <v/>
      </c>
      <c r="IS765" s="873" t="str">
        <f t="shared" si="233"/>
        <v/>
      </c>
      <c r="IT765" s="873" t="str">
        <f t="shared" si="234"/>
        <v/>
      </c>
      <c r="IU765" s="873" t="str">
        <f t="shared" si="235"/>
        <v/>
      </c>
      <c r="IV765" s="873" t="str">
        <f t="shared" si="236"/>
        <v/>
      </c>
      <c r="IW765" s="873" t="str">
        <f t="shared" si="237"/>
        <v/>
      </c>
      <c r="IX765" s="873" t="str">
        <f t="shared" si="238"/>
        <v/>
      </c>
      <c r="IY765" s="873" t="str">
        <f t="shared" si="239"/>
        <v/>
      </c>
      <c r="IZ765" s="873" t="str">
        <f t="shared" si="240"/>
        <v/>
      </c>
      <c r="JA765" s="873" t="str">
        <f t="shared" si="241"/>
        <v/>
      </c>
      <c r="JB765" s="873" t="str">
        <f t="shared" si="242"/>
        <v/>
      </c>
      <c r="JC765" s="2253">
        <f t="shared" si="243"/>
        <v>0</v>
      </c>
      <c r="JD765" s="2253">
        <f t="shared" si="244"/>
        <v>0</v>
      </c>
      <c r="JE765" s="2253">
        <f t="shared" si="245"/>
        <v>0</v>
      </c>
      <c r="JF765" s="2253">
        <f t="shared" si="246"/>
        <v>0</v>
      </c>
      <c r="JG765" s="2253">
        <f t="shared" si="247"/>
        <v>0</v>
      </c>
      <c r="JH765" s="2253">
        <f t="shared" si="248"/>
        <v>0</v>
      </c>
      <c r="JI765" s="2253">
        <f t="shared" si="249"/>
        <v>0</v>
      </c>
      <c r="JJ765" s="2253">
        <f t="shared" si="250"/>
        <v>0</v>
      </c>
      <c r="JK765" s="2253">
        <f t="shared" si="251"/>
        <v>0</v>
      </c>
      <c r="JL765" s="2253">
        <f t="shared" si="252"/>
        <v>0</v>
      </c>
      <c r="JM765" s="2253">
        <f t="shared" si="253"/>
        <v>0</v>
      </c>
      <c r="JN765" s="2253">
        <f t="shared" si="254"/>
        <v>0</v>
      </c>
      <c r="JO765" s="2253">
        <f t="shared" si="255"/>
        <v>0</v>
      </c>
      <c r="JP765" s="2253">
        <f t="shared" si="256"/>
        <v>0</v>
      </c>
      <c r="JQ765" s="2253">
        <f t="shared" si="257"/>
        <v>0</v>
      </c>
    </row>
    <row r="766" spans="1:277" ht="12" customHeight="1">
      <c r="A766" s="2258" t="str">
        <f t="shared" si="0"/>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1"/>
        <v>0</v>
      </c>
      <c r="L766" s="2284">
        <f t="shared" si="2"/>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3" t="str">
        <f t="shared" si="3"/>
        <v/>
      </c>
      <c r="X766" s="873" t="str">
        <f t="shared" si="4"/>
        <v/>
      </c>
      <c r="Y766" s="873" t="str">
        <f t="shared" si="5"/>
        <v/>
      </c>
      <c r="Z766" s="873" t="str">
        <f t="shared" si="6"/>
        <v/>
      </c>
      <c r="AA766" s="873" t="str">
        <f t="shared" si="7"/>
        <v/>
      </c>
      <c r="AB766" s="873" t="str">
        <f t="shared" si="8"/>
        <v/>
      </c>
      <c r="AC766" s="873" t="str">
        <f t="shared" si="9"/>
        <v/>
      </c>
      <c r="AD766" s="873" t="str">
        <f t="shared" si="10"/>
        <v/>
      </c>
      <c r="AE766" s="873" t="str">
        <f t="shared" si="11"/>
        <v/>
      </c>
      <c r="AF766" s="873" t="str">
        <f t="shared" si="12"/>
        <v/>
      </c>
      <c r="AG766" s="873" t="str">
        <f t="shared" si="13"/>
        <v/>
      </c>
      <c r="AH766" s="873" t="str">
        <f t="shared" si="14"/>
        <v/>
      </c>
      <c r="AI766" s="873" t="str">
        <f t="shared" si="15"/>
        <v/>
      </c>
      <c r="AJ766" s="873" t="str">
        <f t="shared" si="16"/>
        <v/>
      </c>
      <c r="AK766" s="873" t="str">
        <f t="shared" si="17"/>
        <v/>
      </c>
      <c r="AL766" s="873" t="str">
        <f t="shared" si="18"/>
        <v/>
      </c>
      <c r="AM766" s="873" t="str">
        <f t="shared" si="19"/>
        <v/>
      </c>
      <c r="AN766" s="873" t="str">
        <f t="shared" si="20"/>
        <v/>
      </c>
      <c r="AO766" s="873" t="str">
        <f t="shared" si="21"/>
        <v/>
      </c>
      <c r="AP766" s="873" t="str">
        <f t="shared" si="22"/>
        <v/>
      </c>
      <c r="AQ766" s="873" t="str">
        <f t="shared" si="23"/>
        <v/>
      </c>
      <c r="AR766" s="873" t="str">
        <f t="shared" si="24"/>
        <v/>
      </c>
      <c r="AS766" s="873" t="str">
        <f t="shared" si="25"/>
        <v/>
      </c>
      <c r="AT766" s="873" t="str">
        <f t="shared" si="26"/>
        <v/>
      </c>
      <c r="AU766" s="873" t="str">
        <f t="shared" si="27"/>
        <v/>
      </c>
      <c r="AV766" s="873" t="str">
        <f t="shared" si="28"/>
        <v/>
      </c>
      <c r="AW766" s="873" t="str">
        <f t="shared" si="29"/>
        <v/>
      </c>
      <c r="AX766" s="873" t="str">
        <f t="shared" si="30"/>
        <v/>
      </c>
      <c r="AY766" s="873" t="str">
        <f t="shared" si="31"/>
        <v/>
      </c>
      <c r="AZ766" s="873" t="str">
        <f t="shared" si="32"/>
        <v/>
      </c>
      <c r="BA766" s="873" t="str">
        <f t="shared" si="33"/>
        <v/>
      </c>
      <c r="BB766" s="873" t="str">
        <f t="shared" si="34"/>
        <v/>
      </c>
      <c r="BC766" s="873" t="str">
        <f t="shared" si="35"/>
        <v/>
      </c>
      <c r="BD766" s="873" t="str">
        <f t="shared" si="36"/>
        <v/>
      </c>
      <c r="BE766" s="873" t="str">
        <f t="shared" si="37"/>
        <v/>
      </c>
      <c r="BF766" s="873" t="str">
        <f t="shared" si="38"/>
        <v/>
      </c>
      <c r="BG766" s="873" t="str">
        <f t="shared" si="39"/>
        <v/>
      </c>
      <c r="BH766" s="873" t="str">
        <f t="shared" si="40"/>
        <v/>
      </c>
      <c r="BI766" s="873" t="str">
        <f t="shared" si="41"/>
        <v/>
      </c>
      <c r="BJ766" s="873" t="str">
        <f t="shared" si="42"/>
        <v/>
      </c>
      <c r="BK766" s="873" t="str">
        <f t="shared" si="43"/>
        <v/>
      </c>
      <c r="BL766" s="873" t="str">
        <f t="shared" si="44"/>
        <v/>
      </c>
      <c r="BM766" s="873" t="str">
        <f t="shared" si="45"/>
        <v/>
      </c>
      <c r="BN766" s="873" t="str">
        <f t="shared" si="46"/>
        <v/>
      </c>
      <c r="BO766" s="873" t="str">
        <f t="shared" si="47"/>
        <v/>
      </c>
      <c r="BP766" s="873" t="str">
        <f t="shared" si="48"/>
        <v/>
      </c>
      <c r="BQ766" s="873" t="str">
        <f t="shared" si="49"/>
        <v/>
      </c>
      <c r="BR766" s="873" t="str">
        <f t="shared" si="50"/>
        <v/>
      </c>
      <c r="BS766" s="873" t="str">
        <f t="shared" si="51"/>
        <v/>
      </c>
      <c r="BT766" s="873" t="str">
        <f t="shared" si="52"/>
        <v/>
      </c>
      <c r="BU766" s="873" t="str">
        <f t="shared" si="53"/>
        <v/>
      </c>
      <c r="BV766" s="873" t="str">
        <f t="shared" si="54"/>
        <v/>
      </c>
      <c r="BW766" s="873" t="str">
        <f t="shared" si="55"/>
        <v/>
      </c>
      <c r="BX766" s="873" t="str">
        <f t="shared" si="56"/>
        <v/>
      </c>
      <c r="BY766" s="873" t="str">
        <f t="shared" si="57"/>
        <v/>
      </c>
      <c r="BZ766" s="873" t="str">
        <f t="shared" si="58"/>
        <v/>
      </c>
      <c r="CA766" s="873" t="str">
        <f t="shared" si="59"/>
        <v/>
      </c>
      <c r="CB766" s="873" t="str">
        <f t="shared" si="60"/>
        <v/>
      </c>
      <c r="CC766" s="873" t="str">
        <f t="shared" si="61"/>
        <v/>
      </c>
      <c r="CD766" s="873" t="str">
        <f t="shared" si="62"/>
        <v/>
      </c>
      <c r="CE766" s="873" t="str">
        <f t="shared" si="63"/>
        <v/>
      </c>
      <c r="CF766" s="873" t="str">
        <f t="shared" si="64"/>
        <v/>
      </c>
      <c r="CG766" s="873" t="str">
        <f t="shared" si="65"/>
        <v/>
      </c>
      <c r="CH766" s="873" t="str">
        <f t="shared" si="66"/>
        <v/>
      </c>
      <c r="CI766" s="873" t="str">
        <f t="shared" si="67"/>
        <v/>
      </c>
      <c r="CJ766" s="873" t="str">
        <f t="shared" si="68"/>
        <v/>
      </c>
      <c r="CK766" s="873" t="str">
        <f t="shared" si="69"/>
        <v/>
      </c>
      <c r="CL766" s="873" t="str">
        <f t="shared" si="70"/>
        <v/>
      </c>
      <c r="CM766" s="873" t="str">
        <f t="shared" si="71"/>
        <v/>
      </c>
      <c r="CN766" s="873" t="str">
        <f t="shared" si="72"/>
        <v/>
      </c>
      <c r="CO766" s="873" t="str">
        <f t="shared" si="73"/>
        <v/>
      </c>
      <c r="CP766" s="873" t="str">
        <f t="shared" si="74"/>
        <v/>
      </c>
      <c r="CQ766" s="873" t="str">
        <f t="shared" si="75"/>
        <v/>
      </c>
      <c r="CR766" s="873" t="str">
        <f t="shared" si="76"/>
        <v/>
      </c>
      <c r="CS766" s="873" t="str">
        <f t="shared" si="77"/>
        <v/>
      </c>
      <c r="CT766" s="873" t="str">
        <f t="shared" si="78"/>
        <v/>
      </c>
      <c r="CU766" s="873" t="str">
        <f t="shared" si="79"/>
        <v/>
      </c>
      <c r="CV766" s="873" t="str">
        <f t="shared" si="80"/>
        <v/>
      </c>
      <c r="CW766" s="873" t="str">
        <f t="shared" si="81"/>
        <v/>
      </c>
      <c r="CX766" s="873" t="str">
        <f t="shared" si="82"/>
        <v/>
      </c>
      <c r="CY766" s="873" t="str">
        <f t="shared" si="83"/>
        <v/>
      </c>
      <c r="CZ766" s="873" t="str">
        <f t="shared" si="84"/>
        <v/>
      </c>
      <c r="DA766" s="873" t="str">
        <f t="shared" si="85"/>
        <v/>
      </c>
      <c r="DB766" s="873" t="str">
        <f t="shared" si="86"/>
        <v/>
      </c>
      <c r="DC766" s="873" t="str">
        <f t="shared" si="87"/>
        <v/>
      </c>
      <c r="DD766" s="873" t="str">
        <f t="shared" si="88"/>
        <v/>
      </c>
      <c r="DE766" s="873" t="str">
        <f t="shared" si="89"/>
        <v/>
      </c>
      <c r="DF766" s="873" t="str">
        <f t="shared" si="90"/>
        <v/>
      </c>
      <c r="DG766" s="873" t="str">
        <f t="shared" si="91"/>
        <v/>
      </c>
      <c r="DH766" s="873" t="str">
        <f t="shared" si="92"/>
        <v/>
      </c>
      <c r="DI766" s="873" t="str">
        <f t="shared" si="93"/>
        <v/>
      </c>
      <c r="DJ766" s="873" t="str">
        <f t="shared" si="94"/>
        <v/>
      </c>
      <c r="DK766" s="873" t="str">
        <f t="shared" si="95"/>
        <v/>
      </c>
      <c r="DL766" s="873" t="str">
        <f t="shared" si="96"/>
        <v/>
      </c>
      <c r="DM766" s="873" t="str">
        <f t="shared" si="97"/>
        <v/>
      </c>
      <c r="DN766" s="873" t="str">
        <f t="shared" si="98"/>
        <v/>
      </c>
      <c r="DO766" s="873" t="str">
        <f t="shared" si="99"/>
        <v/>
      </c>
      <c r="DP766" s="873" t="str">
        <f t="shared" si="100"/>
        <v/>
      </c>
      <c r="DQ766" s="873" t="str">
        <f t="shared" si="101"/>
        <v/>
      </c>
      <c r="DR766" s="873" t="str">
        <f t="shared" si="102"/>
        <v/>
      </c>
      <c r="DS766" s="873" t="str">
        <f t="shared" si="103"/>
        <v/>
      </c>
      <c r="DT766" s="873" t="str">
        <f t="shared" si="104"/>
        <v/>
      </c>
      <c r="DU766" s="873" t="str">
        <f t="shared" si="105"/>
        <v/>
      </c>
      <c r="DV766" s="873" t="str">
        <f t="shared" si="106"/>
        <v/>
      </c>
      <c r="DW766" s="873" t="str">
        <f t="shared" si="107"/>
        <v/>
      </c>
      <c r="DX766" s="873" t="str">
        <f t="shared" si="108"/>
        <v/>
      </c>
      <c r="DY766" s="873" t="str">
        <f t="shared" si="109"/>
        <v/>
      </c>
      <c r="DZ766" s="873" t="str">
        <f t="shared" si="110"/>
        <v/>
      </c>
      <c r="EA766" s="873" t="str">
        <f t="shared" si="111"/>
        <v/>
      </c>
      <c r="EB766" s="873" t="str">
        <f t="shared" si="112"/>
        <v/>
      </c>
      <c r="EC766" s="873" t="str">
        <f t="shared" si="113"/>
        <v/>
      </c>
      <c r="ED766" s="873" t="str">
        <f t="shared" si="114"/>
        <v/>
      </c>
      <c r="EE766" s="873" t="str">
        <f t="shared" si="115"/>
        <v/>
      </c>
      <c r="EF766" s="873" t="str">
        <f t="shared" si="116"/>
        <v/>
      </c>
      <c r="EG766" s="873" t="str">
        <f t="shared" si="117"/>
        <v/>
      </c>
      <c r="EH766" s="873" t="str">
        <f t="shared" si="118"/>
        <v/>
      </c>
      <c r="EI766" s="873" t="str">
        <f t="shared" si="119"/>
        <v/>
      </c>
      <c r="EJ766" s="873" t="str">
        <f t="shared" si="120"/>
        <v/>
      </c>
      <c r="EK766" s="873" t="str">
        <f t="shared" si="121"/>
        <v/>
      </c>
      <c r="EL766" s="873" t="str">
        <f t="shared" si="122"/>
        <v/>
      </c>
      <c r="EM766" s="873" t="str">
        <f t="shared" si="123"/>
        <v/>
      </c>
      <c r="EN766" s="873" t="str">
        <f t="shared" si="124"/>
        <v/>
      </c>
      <c r="EO766" s="873" t="str">
        <f t="shared" si="125"/>
        <v/>
      </c>
      <c r="EP766" s="873" t="str">
        <f t="shared" si="126"/>
        <v/>
      </c>
      <c r="EQ766" s="873" t="str">
        <f t="shared" si="127"/>
        <v/>
      </c>
      <c r="ER766" s="873" t="str">
        <f t="shared" si="128"/>
        <v/>
      </c>
      <c r="ES766" s="873" t="str">
        <f t="shared" si="129"/>
        <v/>
      </c>
      <c r="ET766" s="873" t="str">
        <f t="shared" si="130"/>
        <v/>
      </c>
      <c r="EU766" s="873" t="str">
        <f t="shared" si="131"/>
        <v/>
      </c>
      <c r="EV766" s="873" t="str">
        <f t="shared" si="132"/>
        <v/>
      </c>
      <c r="EW766" s="2288" t="str">
        <f t="shared" si="133"/>
        <v/>
      </c>
      <c r="EX766" s="2288" t="str">
        <f t="shared" si="134"/>
        <v/>
      </c>
      <c r="EY766" s="2288" t="str">
        <f t="shared" si="135"/>
        <v/>
      </c>
      <c r="EZ766" s="2288" t="str">
        <f t="shared" si="136"/>
        <v/>
      </c>
      <c r="FA766" s="2288" t="str">
        <f t="shared" si="137"/>
        <v/>
      </c>
      <c r="FB766" s="2288" t="str">
        <f t="shared" si="138"/>
        <v/>
      </c>
      <c r="FC766" s="2288" t="str">
        <f t="shared" si="139"/>
        <v/>
      </c>
      <c r="FD766" s="2288" t="str">
        <f t="shared" si="140"/>
        <v/>
      </c>
      <c r="FE766" s="2288" t="str">
        <f t="shared" si="141"/>
        <v/>
      </c>
      <c r="FF766" s="2288" t="str">
        <f t="shared" si="142"/>
        <v/>
      </c>
      <c r="FG766" s="2288" t="str">
        <f t="shared" si="143"/>
        <v/>
      </c>
      <c r="FH766" s="2288" t="str">
        <f t="shared" si="144"/>
        <v/>
      </c>
      <c r="FI766" s="2288" t="str">
        <f t="shared" si="145"/>
        <v/>
      </c>
      <c r="FJ766" s="2288" t="str">
        <f t="shared" si="146"/>
        <v/>
      </c>
      <c r="FK766" s="2288" t="str">
        <f t="shared" si="147"/>
        <v/>
      </c>
      <c r="FL766" s="2288" t="str">
        <f t="shared" si="148"/>
        <v/>
      </c>
      <c r="FM766" s="2288" t="str">
        <f t="shared" si="149"/>
        <v/>
      </c>
      <c r="FN766" s="2288" t="str">
        <f t="shared" si="150"/>
        <v/>
      </c>
      <c r="FO766" s="2288" t="str">
        <f t="shared" si="151"/>
        <v/>
      </c>
      <c r="FP766" s="2288" t="str">
        <f t="shared" si="152"/>
        <v/>
      </c>
      <c r="FQ766" s="2288" t="str">
        <f t="shared" si="153"/>
        <v/>
      </c>
      <c r="FR766" s="2288" t="str">
        <f t="shared" si="154"/>
        <v/>
      </c>
      <c r="FS766" s="2288" t="str">
        <f t="shared" si="155"/>
        <v/>
      </c>
      <c r="FT766" s="2288" t="str">
        <f t="shared" si="156"/>
        <v/>
      </c>
      <c r="FU766" s="2288" t="str">
        <f t="shared" si="157"/>
        <v/>
      </c>
      <c r="FV766" s="2288" t="str">
        <f t="shared" si="158"/>
        <v/>
      </c>
      <c r="FW766" s="2288" t="str">
        <f t="shared" si="159"/>
        <v/>
      </c>
      <c r="FX766" s="2288" t="str">
        <f t="shared" si="160"/>
        <v/>
      </c>
      <c r="FY766" s="2288" t="str">
        <f t="shared" si="161"/>
        <v/>
      </c>
      <c r="FZ766" s="2288" t="str">
        <f t="shared" si="162"/>
        <v/>
      </c>
      <c r="GA766" s="2288" t="str">
        <f t="shared" si="163"/>
        <v/>
      </c>
      <c r="GB766" s="2288" t="str">
        <f t="shared" si="164"/>
        <v/>
      </c>
      <c r="GC766" s="2288" t="str">
        <f t="shared" si="165"/>
        <v/>
      </c>
      <c r="GD766" s="2288" t="str">
        <f t="shared" si="166"/>
        <v/>
      </c>
      <c r="GE766" s="2288" t="str">
        <f t="shared" si="167"/>
        <v/>
      </c>
      <c r="GF766" s="2288" t="str">
        <f t="shared" si="168"/>
        <v/>
      </c>
      <c r="GG766" s="2288" t="str">
        <f t="shared" si="169"/>
        <v/>
      </c>
      <c r="GH766" s="2288" t="str">
        <f t="shared" si="170"/>
        <v/>
      </c>
      <c r="GI766" s="2288" t="str">
        <f t="shared" si="171"/>
        <v/>
      </c>
      <c r="GJ766" s="2288" t="str">
        <f t="shared" si="172"/>
        <v/>
      </c>
      <c r="GK766" s="2288" t="str">
        <f t="shared" si="173"/>
        <v/>
      </c>
      <c r="GL766" s="2288" t="str">
        <f t="shared" si="174"/>
        <v/>
      </c>
      <c r="GM766" s="2288" t="str">
        <f t="shared" si="175"/>
        <v/>
      </c>
      <c r="GN766" s="2288" t="str">
        <f t="shared" si="176"/>
        <v/>
      </c>
      <c r="GO766" s="2288" t="str">
        <f t="shared" si="177"/>
        <v/>
      </c>
      <c r="GP766" s="2288" t="str">
        <f t="shared" si="178"/>
        <v/>
      </c>
      <c r="GQ766" s="2288" t="str">
        <f t="shared" si="179"/>
        <v/>
      </c>
      <c r="GR766" s="2288" t="str">
        <f t="shared" si="180"/>
        <v/>
      </c>
      <c r="GS766" s="2288" t="str">
        <f t="shared" si="181"/>
        <v/>
      </c>
      <c r="GT766" s="2288" t="str">
        <f t="shared" si="182"/>
        <v/>
      </c>
      <c r="GU766" s="2288" t="str">
        <f t="shared" si="183"/>
        <v/>
      </c>
      <c r="GV766" s="2288" t="str">
        <f t="shared" si="184"/>
        <v/>
      </c>
      <c r="GW766" s="2288" t="str">
        <f t="shared" si="185"/>
        <v/>
      </c>
      <c r="GX766" s="2288" t="str">
        <f t="shared" si="186"/>
        <v/>
      </c>
      <c r="GY766" s="2288" t="str">
        <f t="shared" si="187"/>
        <v/>
      </c>
      <c r="GZ766" s="2288" t="str">
        <f t="shared" si="188"/>
        <v/>
      </c>
      <c r="HA766" s="2288" t="str">
        <f t="shared" si="189"/>
        <v/>
      </c>
      <c r="HB766" s="2288" t="str">
        <f t="shared" si="190"/>
        <v/>
      </c>
      <c r="HC766" s="2288" t="str">
        <f t="shared" si="191"/>
        <v/>
      </c>
      <c r="HD766" s="2288" t="str">
        <f t="shared" si="192"/>
        <v/>
      </c>
      <c r="HE766" s="2288" t="str">
        <f t="shared" si="193"/>
        <v/>
      </c>
      <c r="HF766" s="2288" t="str">
        <f t="shared" si="194"/>
        <v/>
      </c>
      <c r="HG766" s="2288" t="str">
        <f t="shared" si="195"/>
        <v/>
      </c>
      <c r="HH766" s="2288" t="str">
        <f t="shared" si="196"/>
        <v/>
      </c>
      <c r="HI766" s="2288" t="str">
        <f t="shared" si="197"/>
        <v/>
      </c>
      <c r="HJ766" s="2288" t="str">
        <f t="shared" si="198"/>
        <v/>
      </c>
      <c r="HK766" s="2288" t="str">
        <f t="shared" si="199"/>
        <v/>
      </c>
      <c r="HL766" s="2288" t="str">
        <f t="shared" si="200"/>
        <v/>
      </c>
      <c r="HM766" s="2288" t="str">
        <f t="shared" si="201"/>
        <v/>
      </c>
      <c r="HN766" s="2288" t="str">
        <f t="shared" si="202"/>
        <v/>
      </c>
      <c r="HO766" s="2288" t="str">
        <f t="shared" si="203"/>
        <v/>
      </c>
      <c r="HP766" s="2288" t="str">
        <f t="shared" si="204"/>
        <v/>
      </c>
      <c r="HQ766" s="2288" t="str">
        <f t="shared" si="205"/>
        <v/>
      </c>
      <c r="HR766" s="2288" t="str">
        <f t="shared" si="206"/>
        <v/>
      </c>
      <c r="HS766" s="2288" t="str">
        <f t="shared" si="207"/>
        <v/>
      </c>
      <c r="HT766" s="2288" t="str">
        <f t="shared" si="208"/>
        <v/>
      </c>
      <c r="HU766" s="2288" t="str">
        <f t="shared" si="209"/>
        <v/>
      </c>
      <c r="HV766" s="2288" t="str">
        <f t="shared" si="210"/>
        <v/>
      </c>
      <c r="HW766" s="2288" t="str">
        <f t="shared" si="211"/>
        <v/>
      </c>
      <c r="HX766" s="2288" t="str">
        <f t="shared" si="212"/>
        <v/>
      </c>
      <c r="HY766" s="2288" t="str">
        <f t="shared" si="213"/>
        <v/>
      </c>
      <c r="HZ766" s="2288" t="str">
        <f t="shared" si="214"/>
        <v/>
      </c>
      <c r="IA766" s="2288" t="str">
        <f t="shared" si="215"/>
        <v/>
      </c>
      <c r="IB766" s="2288" t="str">
        <f t="shared" si="216"/>
        <v/>
      </c>
      <c r="IC766" s="2288" t="str">
        <f t="shared" si="217"/>
        <v/>
      </c>
      <c r="ID766" s="2255" t="str">
        <f t="shared" si="218"/>
        <v/>
      </c>
      <c r="IE766" s="2255" t="str">
        <f t="shared" si="219"/>
        <v/>
      </c>
      <c r="IF766" s="2255" t="str">
        <f t="shared" si="220"/>
        <v/>
      </c>
      <c r="IG766" s="2255" t="str">
        <f t="shared" si="221"/>
        <v/>
      </c>
      <c r="IH766" s="2255" t="str">
        <f t="shared" si="222"/>
        <v/>
      </c>
      <c r="II766" s="873" t="str">
        <f t="shared" si="223"/>
        <v/>
      </c>
      <c r="IJ766" s="873" t="str">
        <f t="shared" si="224"/>
        <v/>
      </c>
      <c r="IK766" s="873" t="str">
        <f t="shared" si="225"/>
        <v/>
      </c>
      <c r="IL766" s="873" t="str">
        <f t="shared" si="226"/>
        <v/>
      </c>
      <c r="IM766" s="873" t="str">
        <f t="shared" si="227"/>
        <v/>
      </c>
      <c r="IN766" s="873" t="str">
        <f t="shared" si="228"/>
        <v/>
      </c>
      <c r="IO766" s="873" t="str">
        <f t="shared" si="229"/>
        <v/>
      </c>
      <c r="IP766" s="873" t="str">
        <f t="shared" si="230"/>
        <v/>
      </c>
      <c r="IQ766" s="873" t="str">
        <f t="shared" si="231"/>
        <v/>
      </c>
      <c r="IR766" s="873" t="str">
        <f t="shared" si="232"/>
        <v/>
      </c>
      <c r="IS766" s="873" t="str">
        <f t="shared" si="233"/>
        <v/>
      </c>
      <c r="IT766" s="873" t="str">
        <f t="shared" si="234"/>
        <v/>
      </c>
      <c r="IU766" s="873" t="str">
        <f t="shared" si="235"/>
        <v/>
      </c>
      <c r="IV766" s="873" t="str">
        <f t="shared" si="236"/>
        <v/>
      </c>
      <c r="IW766" s="873" t="str">
        <f t="shared" si="237"/>
        <v/>
      </c>
      <c r="IX766" s="873" t="str">
        <f t="shared" si="238"/>
        <v/>
      </c>
      <c r="IY766" s="873" t="str">
        <f t="shared" si="239"/>
        <v/>
      </c>
      <c r="IZ766" s="873" t="str">
        <f t="shared" si="240"/>
        <v/>
      </c>
      <c r="JA766" s="873" t="str">
        <f t="shared" si="241"/>
        <v/>
      </c>
      <c r="JB766" s="873" t="str">
        <f t="shared" si="242"/>
        <v/>
      </c>
      <c r="JC766" s="2253">
        <f t="shared" si="243"/>
        <v>0</v>
      </c>
      <c r="JD766" s="2253">
        <f t="shared" si="244"/>
        <v>0</v>
      </c>
      <c r="JE766" s="2253">
        <f t="shared" si="245"/>
        <v>0</v>
      </c>
      <c r="JF766" s="2253">
        <f t="shared" si="246"/>
        <v>0</v>
      </c>
      <c r="JG766" s="2253">
        <f t="shared" si="247"/>
        <v>0</v>
      </c>
      <c r="JH766" s="2253">
        <f t="shared" si="248"/>
        <v>0</v>
      </c>
      <c r="JI766" s="2253">
        <f t="shared" si="249"/>
        <v>0</v>
      </c>
      <c r="JJ766" s="2253">
        <f t="shared" si="250"/>
        <v>0</v>
      </c>
      <c r="JK766" s="2253">
        <f t="shared" si="251"/>
        <v>0</v>
      </c>
      <c r="JL766" s="2253">
        <f t="shared" si="252"/>
        <v>0</v>
      </c>
      <c r="JM766" s="2253">
        <f t="shared" si="253"/>
        <v>0</v>
      </c>
      <c r="JN766" s="2253">
        <f t="shared" si="254"/>
        <v>0</v>
      </c>
      <c r="JO766" s="2253">
        <f t="shared" si="255"/>
        <v>0</v>
      </c>
      <c r="JP766" s="2253">
        <f t="shared" si="256"/>
        <v>0</v>
      </c>
      <c r="JQ766" s="2253">
        <f t="shared" si="257"/>
        <v>0</v>
      </c>
    </row>
    <row r="767" spans="1:277" ht="12" customHeight="1">
      <c r="A767" s="2258" t="str">
        <f t="shared" si="0"/>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1"/>
        <v>0</v>
      </c>
      <c r="L767" s="2284">
        <f t="shared" si="2"/>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3" t="str">
        <f t="shared" si="3"/>
        <v/>
      </c>
      <c r="X767" s="873" t="str">
        <f t="shared" si="4"/>
        <v/>
      </c>
      <c r="Y767" s="873" t="str">
        <f t="shared" si="5"/>
        <v/>
      </c>
      <c r="Z767" s="873" t="str">
        <f t="shared" si="6"/>
        <v/>
      </c>
      <c r="AA767" s="873" t="str">
        <f t="shared" si="7"/>
        <v/>
      </c>
      <c r="AB767" s="873" t="str">
        <f t="shared" si="8"/>
        <v/>
      </c>
      <c r="AC767" s="873" t="str">
        <f t="shared" si="9"/>
        <v/>
      </c>
      <c r="AD767" s="873" t="str">
        <f t="shared" si="10"/>
        <v/>
      </c>
      <c r="AE767" s="873" t="str">
        <f t="shared" si="11"/>
        <v/>
      </c>
      <c r="AF767" s="873" t="str">
        <f t="shared" si="12"/>
        <v/>
      </c>
      <c r="AG767" s="873" t="str">
        <f t="shared" si="13"/>
        <v/>
      </c>
      <c r="AH767" s="873" t="str">
        <f t="shared" si="14"/>
        <v/>
      </c>
      <c r="AI767" s="873" t="str">
        <f t="shared" si="15"/>
        <v/>
      </c>
      <c r="AJ767" s="873" t="str">
        <f t="shared" si="16"/>
        <v/>
      </c>
      <c r="AK767" s="873" t="str">
        <f t="shared" si="17"/>
        <v/>
      </c>
      <c r="AL767" s="873" t="str">
        <f t="shared" si="18"/>
        <v/>
      </c>
      <c r="AM767" s="873" t="str">
        <f t="shared" si="19"/>
        <v/>
      </c>
      <c r="AN767" s="873" t="str">
        <f t="shared" si="20"/>
        <v/>
      </c>
      <c r="AO767" s="873" t="str">
        <f t="shared" si="21"/>
        <v/>
      </c>
      <c r="AP767" s="873" t="str">
        <f t="shared" si="22"/>
        <v/>
      </c>
      <c r="AQ767" s="873" t="str">
        <f t="shared" si="23"/>
        <v/>
      </c>
      <c r="AR767" s="873" t="str">
        <f t="shared" si="24"/>
        <v/>
      </c>
      <c r="AS767" s="873" t="str">
        <f t="shared" si="25"/>
        <v/>
      </c>
      <c r="AT767" s="873" t="str">
        <f t="shared" si="26"/>
        <v/>
      </c>
      <c r="AU767" s="873" t="str">
        <f t="shared" si="27"/>
        <v/>
      </c>
      <c r="AV767" s="873" t="str">
        <f t="shared" si="28"/>
        <v/>
      </c>
      <c r="AW767" s="873" t="str">
        <f t="shared" si="29"/>
        <v/>
      </c>
      <c r="AX767" s="873" t="str">
        <f t="shared" si="30"/>
        <v/>
      </c>
      <c r="AY767" s="873" t="str">
        <f t="shared" si="31"/>
        <v/>
      </c>
      <c r="AZ767" s="873" t="str">
        <f t="shared" si="32"/>
        <v/>
      </c>
      <c r="BA767" s="873" t="str">
        <f t="shared" si="33"/>
        <v/>
      </c>
      <c r="BB767" s="873" t="str">
        <f t="shared" si="34"/>
        <v/>
      </c>
      <c r="BC767" s="873" t="str">
        <f t="shared" si="35"/>
        <v/>
      </c>
      <c r="BD767" s="873" t="str">
        <f t="shared" si="36"/>
        <v/>
      </c>
      <c r="BE767" s="873" t="str">
        <f t="shared" si="37"/>
        <v/>
      </c>
      <c r="BF767" s="873" t="str">
        <f t="shared" si="38"/>
        <v/>
      </c>
      <c r="BG767" s="873" t="str">
        <f t="shared" si="39"/>
        <v/>
      </c>
      <c r="BH767" s="873" t="str">
        <f t="shared" si="40"/>
        <v/>
      </c>
      <c r="BI767" s="873" t="str">
        <f t="shared" si="41"/>
        <v/>
      </c>
      <c r="BJ767" s="873" t="str">
        <f t="shared" si="42"/>
        <v/>
      </c>
      <c r="BK767" s="873" t="str">
        <f t="shared" si="43"/>
        <v/>
      </c>
      <c r="BL767" s="873" t="str">
        <f t="shared" si="44"/>
        <v/>
      </c>
      <c r="BM767" s="873" t="str">
        <f t="shared" si="45"/>
        <v/>
      </c>
      <c r="BN767" s="873" t="str">
        <f t="shared" si="46"/>
        <v/>
      </c>
      <c r="BO767" s="873" t="str">
        <f t="shared" si="47"/>
        <v/>
      </c>
      <c r="BP767" s="873" t="str">
        <f t="shared" si="48"/>
        <v/>
      </c>
      <c r="BQ767" s="873" t="str">
        <f t="shared" si="49"/>
        <v/>
      </c>
      <c r="BR767" s="873" t="str">
        <f t="shared" si="50"/>
        <v/>
      </c>
      <c r="BS767" s="873" t="str">
        <f t="shared" si="51"/>
        <v/>
      </c>
      <c r="BT767" s="873" t="str">
        <f t="shared" si="52"/>
        <v/>
      </c>
      <c r="BU767" s="873" t="str">
        <f t="shared" si="53"/>
        <v/>
      </c>
      <c r="BV767" s="873" t="str">
        <f t="shared" si="54"/>
        <v/>
      </c>
      <c r="BW767" s="873" t="str">
        <f t="shared" si="55"/>
        <v/>
      </c>
      <c r="BX767" s="873" t="str">
        <f t="shared" si="56"/>
        <v/>
      </c>
      <c r="BY767" s="873" t="str">
        <f t="shared" si="57"/>
        <v/>
      </c>
      <c r="BZ767" s="873" t="str">
        <f t="shared" si="58"/>
        <v/>
      </c>
      <c r="CA767" s="873" t="str">
        <f t="shared" si="59"/>
        <v/>
      </c>
      <c r="CB767" s="873" t="str">
        <f t="shared" si="60"/>
        <v/>
      </c>
      <c r="CC767" s="873" t="str">
        <f t="shared" si="61"/>
        <v/>
      </c>
      <c r="CD767" s="873" t="str">
        <f t="shared" si="62"/>
        <v/>
      </c>
      <c r="CE767" s="873" t="str">
        <f t="shared" si="63"/>
        <v/>
      </c>
      <c r="CF767" s="873" t="str">
        <f t="shared" si="64"/>
        <v/>
      </c>
      <c r="CG767" s="873" t="str">
        <f t="shared" si="65"/>
        <v/>
      </c>
      <c r="CH767" s="873" t="str">
        <f t="shared" si="66"/>
        <v/>
      </c>
      <c r="CI767" s="873" t="str">
        <f t="shared" si="67"/>
        <v/>
      </c>
      <c r="CJ767" s="873" t="str">
        <f t="shared" si="68"/>
        <v/>
      </c>
      <c r="CK767" s="873" t="str">
        <f t="shared" si="69"/>
        <v/>
      </c>
      <c r="CL767" s="873" t="str">
        <f t="shared" si="70"/>
        <v/>
      </c>
      <c r="CM767" s="873" t="str">
        <f t="shared" si="71"/>
        <v/>
      </c>
      <c r="CN767" s="873" t="str">
        <f t="shared" si="72"/>
        <v/>
      </c>
      <c r="CO767" s="873" t="str">
        <f t="shared" si="73"/>
        <v/>
      </c>
      <c r="CP767" s="873" t="str">
        <f t="shared" si="74"/>
        <v/>
      </c>
      <c r="CQ767" s="873" t="str">
        <f t="shared" si="75"/>
        <v/>
      </c>
      <c r="CR767" s="873" t="str">
        <f t="shared" si="76"/>
        <v/>
      </c>
      <c r="CS767" s="873" t="str">
        <f t="shared" si="77"/>
        <v/>
      </c>
      <c r="CT767" s="873" t="str">
        <f t="shared" si="78"/>
        <v/>
      </c>
      <c r="CU767" s="873" t="str">
        <f t="shared" si="79"/>
        <v/>
      </c>
      <c r="CV767" s="873" t="str">
        <f t="shared" si="80"/>
        <v/>
      </c>
      <c r="CW767" s="873" t="str">
        <f t="shared" si="81"/>
        <v/>
      </c>
      <c r="CX767" s="873" t="str">
        <f t="shared" si="82"/>
        <v/>
      </c>
      <c r="CY767" s="873" t="str">
        <f t="shared" si="83"/>
        <v/>
      </c>
      <c r="CZ767" s="873" t="str">
        <f t="shared" si="84"/>
        <v/>
      </c>
      <c r="DA767" s="873" t="str">
        <f t="shared" si="85"/>
        <v/>
      </c>
      <c r="DB767" s="873" t="str">
        <f t="shared" si="86"/>
        <v/>
      </c>
      <c r="DC767" s="873" t="str">
        <f t="shared" si="87"/>
        <v/>
      </c>
      <c r="DD767" s="873" t="str">
        <f t="shared" si="88"/>
        <v/>
      </c>
      <c r="DE767" s="873" t="str">
        <f t="shared" si="89"/>
        <v/>
      </c>
      <c r="DF767" s="873" t="str">
        <f t="shared" si="90"/>
        <v/>
      </c>
      <c r="DG767" s="873" t="str">
        <f t="shared" si="91"/>
        <v/>
      </c>
      <c r="DH767" s="873" t="str">
        <f t="shared" si="92"/>
        <v/>
      </c>
      <c r="DI767" s="873" t="str">
        <f t="shared" si="93"/>
        <v/>
      </c>
      <c r="DJ767" s="873" t="str">
        <f t="shared" si="94"/>
        <v/>
      </c>
      <c r="DK767" s="873" t="str">
        <f t="shared" si="95"/>
        <v/>
      </c>
      <c r="DL767" s="873" t="str">
        <f t="shared" si="96"/>
        <v/>
      </c>
      <c r="DM767" s="873" t="str">
        <f t="shared" si="97"/>
        <v/>
      </c>
      <c r="DN767" s="873" t="str">
        <f t="shared" si="98"/>
        <v/>
      </c>
      <c r="DO767" s="873" t="str">
        <f t="shared" si="99"/>
        <v/>
      </c>
      <c r="DP767" s="873" t="str">
        <f t="shared" si="100"/>
        <v/>
      </c>
      <c r="DQ767" s="873" t="str">
        <f t="shared" si="101"/>
        <v/>
      </c>
      <c r="DR767" s="873" t="str">
        <f t="shared" si="102"/>
        <v/>
      </c>
      <c r="DS767" s="873" t="str">
        <f t="shared" si="103"/>
        <v/>
      </c>
      <c r="DT767" s="873" t="str">
        <f t="shared" si="104"/>
        <v/>
      </c>
      <c r="DU767" s="873" t="str">
        <f t="shared" si="105"/>
        <v/>
      </c>
      <c r="DV767" s="873" t="str">
        <f t="shared" si="106"/>
        <v/>
      </c>
      <c r="DW767" s="873" t="str">
        <f t="shared" si="107"/>
        <v/>
      </c>
      <c r="DX767" s="873" t="str">
        <f t="shared" si="108"/>
        <v/>
      </c>
      <c r="DY767" s="873" t="str">
        <f t="shared" si="109"/>
        <v/>
      </c>
      <c r="DZ767" s="873" t="str">
        <f t="shared" si="110"/>
        <v/>
      </c>
      <c r="EA767" s="873" t="str">
        <f t="shared" si="111"/>
        <v/>
      </c>
      <c r="EB767" s="873" t="str">
        <f t="shared" si="112"/>
        <v/>
      </c>
      <c r="EC767" s="873" t="str">
        <f t="shared" si="113"/>
        <v/>
      </c>
      <c r="ED767" s="873" t="str">
        <f t="shared" si="114"/>
        <v/>
      </c>
      <c r="EE767" s="873" t="str">
        <f t="shared" si="115"/>
        <v/>
      </c>
      <c r="EF767" s="873" t="str">
        <f t="shared" si="116"/>
        <v/>
      </c>
      <c r="EG767" s="873" t="str">
        <f t="shared" si="117"/>
        <v/>
      </c>
      <c r="EH767" s="873" t="str">
        <f t="shared" si="118"/>
        <v/>
      </c>
      <c r="EI767" s="873" t="str">
        <f t="shared" si="119"/>
        <v/>
      </c>
      <c r="EJ767" s="873" t="str">
        <f t="shared" si="120"/>
        <v/>
      </c>
      <c r="EK767" s="873" t="str">
        <f t="shared" si="121"/>
        <v/>
      </c>
      <c r="EL767" s="873" t="str">
        <f t="shared" si="122"/>
        <v/>
      </c>
      <c r="EM767" s="873" t="str">
        <f t="shared" si="123"/>
        <v/>
      </c>
      <c r="EN767" s="873" t="str">
        <f t="shared" si="124"/>
        <v/>
      </c>
      <c r="EO767" s="873" t="str">
        <f t="shared" si="125"/>
        <v/>
      </c>
      <c r="EP767" s="873" t="str">
        <f t="shared" si="126"/>
        <v/>
      </c>
      <c r="EQ767" s="873" t="str">
        <f t="shared" si="127"/>
        <v/>
      </c>
      <c r="ER767" s="873" t="str">
        <f t="shared" si="128"/>
        <v/>
      </c>
      <c r="ES767" s="873" t="str">
        <f t="shared" si="129"/>
        <v/>
      </c>
      <c r="ET767" s="873" t="str">
        <f t="shared" si="130"/>
        <v/>
      </c>
      <c r="EU767" s="873" t="str">
        <f t="shared" si="131"/>
        <v/>
      </c>
      <c r="EV767" s="873" t="str">
        <f t="shared" si="132"/>
        <v/>
      </c>
      <c r="EW767" s="2288" t="str">
        <f t="shared" si="133"/>
        <v/>
      </c>
      <c r="EX767" s="2288" t="str">
        <f t="shared" si="134"/>
        <v/>
      </c>
      <c r="EY767" s="2288" t="str">
        <f t="shared" si="135"/>
        <v/>
      </c>
      <c r="EZ767" s="2288" t="str">
        <f t="shared" si="136"/>
        <v/>
      </c>
      <c r="FA767" s="2288" t="str">
        <f t="shared" si="137"/>
        <v/>
      </c>
      <c r="FB767" s="2288" t="str">
        <f t="shared" si="138"/>
        <v/>
      </c>
      <c r="FC767" s="2288" t="str">
        <f t="shared" si="139"/>
        <v/>
      </c>
      <c r="FD767" s="2288" t="str">
        <f t="shared" si="140"/>
        <v/>
      </c>
      <c r="FE767" s="2288" t="str">
        <f t="shared" si="141"/>
        <v/>
      </c>
      <c r="FF767" s="2288" t="str">
        <f t="shared" si="142"/>
        <v/>
      </c>
      <c r="FG767" s="2288" t="str">
        <f t="shared" si="143"/>
        <v/>
      </c>
      <c r="FH767" s="2288" t="str">
        <f t="shared" si="144"/>
        <v/>
      </c>
      <c r="FI767" s="2288" t="str">
        <f t="shared" si="145"/>
        <v/>
      </c>
      <c r="FJ767" s="2288" t="str">
        <f t="shared" si="146"/>
        <v/>
      </c>
      <c r="FK767" s="2288" t="str">
        <f t="shared" si="147"/>
        <v/>
      </c>
      <c r="FL767" s="2288" t="str">
        <f t="shared" si="148"/>
        <v/>
      </c>
      <c r="FM767" s="2288" t="str">
        <f t="shared" si="149"/>
        <v/>
      </c>
      <c r="FN767" s="2288" t="str">
        <f t="shared" si="150"/>
        <v/>
      </c>
      <c r="FO767" s="2288" t="str">
        <f t="shared" si="151"/>
        <v/>
      </c>
      <c r="FP767" s="2288" t="str">
        <f t="shared" si="152"/>
        <v/>
      </c>
      <c r="FQ767" s="2288" t="str">
        <f t="shared" si="153"/>
        <v/>
      </c>
      <c r="FR767" s="2288" t="str">
        <f t="shared" si="154"/>
        <v/>
      </c>
      <c r="FS767" s="2288" t="str">
        <f t="shared" si="155"/>
        <v/>
      </c>
      <c r="FT767" s="2288" t="str">
        <f t="shared" si="156"/>
        <v/>
      </c>
      <c r="FU767" s="2288" t="str">
        <f t="shared" si="157"/>
        <v/>
      </c>
      <c r="FV767" s="2288" t="str">
        <f t="shared" si="158"/>
        <v/>
      </c>
      <c r="FW767" s="2288" t="str">
        <f t="shared" si="159"/>
        <v/>
      </c>
      <c r="FX767" s="2288" t="str">
        <f t="shared" si="160"/>
        <v/>
      </c>
      <c r="FY767" s="2288" t="str">
        <f t="shared" si="161"/>
        <v/>
      </c>
      <c r="FZ767" s="2288" t="str">
        <f t="shared" si="162"/>
        <v/>
      </c>
      <c r="GA767" s="2288" t="str">
        <f t="shared" si="163"/>
        <v/>
      </c>
      <c r="GB767" s="2288" t="str">
        <f t="shared" si="164"/>
        <v/>
      </c>
      <c r="GC767" s="2288" t="str">
        <f t="shared" si="165"/>
        <v/>
      </c>
      <c r="GD767" s="2288" t="str">
        <f t="shared" si="166"/>
        <v/>
      </c>
      <c r="GE767" s="2288" t="str">
        <f t="shared" si="167"/>
        <v/>
      </c>
      <c r="GF767" s="2288" t="str">
        <f t="shared" si="168"/>
        <v/>
      </c>
      <c r="GG767" s="2288" t="str">
        <f t="shared" si="169"/>
        <v/>
      </c>
      <c r="GH767" s="2288" t="str">
        <f t="shared" si="170"/>
        <v/>
      </c>
      <c r="GI767" s="2288" t="str">
        <f t="shared" si="171"/>
        <v/>
      </c>
      <c r="GJ767" s="2288" t="str">
        <f t="shared" si="172"/>
        <v/>
      </c>
      <c r="GK767" s="2288" t="str">
        <f t="shared" si="173"/>
        <v/>
      </c>
      <c r="GL767" s="2288" t="str">
        <f t="shared" si="174"/>
        <v/>
      </c>
      <c r="GM767" s="2288" t="str">
        <f t="shared" si="175"/>
        <v/>
      </c>
      <c r="GN767" s="2288" t="str">
        <f t="shared" si="176"/>
        <v/>
      </c>
      <c r="GO767" s="2288" t="str">
        <f t="shared" si="177"/>
        <v/>
      </c>
      <c r="GP767" s="2288" t="str">
        <f t="shared" si="178"/>
        <v/>
      </c>
      <c r="GQ767" s="2288" t="str">
        <f t="shared" si="179"/>
        <v/>
      </c>
      <c r="GR767" s="2288" t="str">
        <f t="shared" si="180"/>
        <v/>
      </c>
      <c r="GS767" s="2288" t="str">
        <f t="shared" si="181"/>
        <v/>
      </c>
      <c r="GT767" s="2288" t="str">
        <f t="shared" si="182"/>
        <v/>
      </c>
      <c r="GU767" s="2288" t="str">
        <f t="shared" si="183"/>
        <v/>
      </c>
      <c r="GV767" s="2288" t="str">
        <f t="shared" si="184"/>
        <v/>
      </c>
      <c r="GW767" s="2288" t="str">
        <f t="shared" si="185"/>
        <v/>
      </c>
      <c r="GX767" s="2288" t="str">
        <f t="shared" si="186"/>
        <v/>
      </c>
      <c r="GY767" s="2288" t="str">
        <f t="shared" si="187"/>
        <v/>
      </c>
      <c r="GZ767" s="2288" t="str">
        <f t="shared" si="188"/>
        <v/>
      </c>
      <c r="HA767" s="2288" t="str">
        <f t="shared" si="189"/>
        <v/>
      </c>
      <c r="HB767" s="2288" t="str">
        <f t="shared" si="190"/>
        <v/>
      </c>
      <c r="HC767" s="2288" t="str">
        <f t="shared" si="191"/>
        <v/>
      </c>
      <c r="HD767" s="2288" t="str">
        <f t="shared" si="192"/>
        <v/>
      </c>
      <c r="HE767" s="2288" t="str">
        <f t="shared" si="193"/>
        <v/>
      </c>
      <c r="HF767" s="2288" t="str">
        <f t="shared" si="194"/>
        <v/>
      </c>
      <c r="HG767" s="2288" t="str">
        <f t="shared" si="195"/>
        <v/>
      </c>
      <c r="HH767" s="2288" t="str">
        <f t="shared" si="196"/>
        <v/>
      </c>
      <c r="HI767" s="2288" t="str">
        <f t="shared" si="197"/>
        <v/>
      </c>
      <c r="HJ767" s="2288" t="str">
        <f t="shared" si="198"/>
        <v/>
      </c>
      <c r="HK767" s="2288" t="str">
        <f t="shared" si="199"/>
        <v/>
      </c>
      <c r="HL767" s="2288" t="str">
        <f t="shared" si="200"/>
        <v/>
      </c>
      <c r="HM767" s="2288" t="str">
        <f t="shared" si="201"/>
        <v/>
      </c>
      <c r="HN767" s="2288" t="str">
        <f t="shared" si="202"/>
        <v/>
      </c>
      <c r="HO767" s="2288" t="str">
        <f t="shared" si="203"/>
        <v/>
      </c>
      <c r="HP767" s="2288" t="str">
        <f t="shared" si="204"/>
        <v/>
      </c>
      <c r="HQ767" s="2288" t="str">
        <f t="shared" si="205"/>
        <v/>
      </c>
      <c r="HR767" s="2288" t="str">
        <f t="shared" si="206"/>
        <v/>
      </c>
      <c r="HS767" s="2288" t="str">
        <f t="shared" si="207"/>
        <v/>
      </c>
      <c r="HT767" s="2288" t="str">
        <f t="shared" si="208"/>
        <v/>
      </c>
      <c r="HU767" s="2288" t="str">
        <f t="shared" si="209"/>
        <v/>
      </c>
      <c r="HV767" s="2288" t="str">
        <f t="shared" si="210"/>
        <v/>
      </c>
      <c r="HW767" s="2288" t="str">
        <f t="shared" si="211"/>
        <v/>
      </c>
      <c r="HX767" s="2288" t="str">
        <f t="shared" si="212"/>
        <v/>
      </c>
      <c r="HY767" s="2288" t="str">
        <f t="shared" si="213"/>
        <v/>
      </c>
      <c r="HZ767" s="2288" t="str">
        <f t="shared" si="214"/>
        <v/>
      </c>
      <c r="IA767" s="2288" t="str">
        <f t="shared" si="215"/>
        <v/>
      </c>
      <c r="IB767" s="2288" t="str">
        <f t="shared" si="216"/>
        <v/>
      </c>
      <c r="IC767" s="2288" t="str">
        <f t="shared" si="217"/>
        <v/>
      </c>
      <c r="ID767" s="2255" t="str">
        <f t="shared" si="218"/>
        <v/>
      </c>
      <c r="IE767" s="2255" t="str">
        <f t="shared" si="219"/>
        <v/>
      </c>
      <c r="IF767" s="2255" t="str">
        <f t="shared" si="220"/>
        <v/>
      </c>
      <c r="IG767" s="2255" t="str">
        <f t="shared" si="221"/>
        <v/>
      </c>
      <c r="IH767" s="2255" t="str">
        <f t="shared" si="222"/>
        <v/>
      </c>
      <c r="II767" s="873" t="str">
        <f t="shared" si="223"/>
        <v/>
      </c>
      <c r="IJ767" s="873" t="str">
        <f t="shared" si="224"/>
        <v/>
      </c>
      <c r="IK767" s="873" t="str">
        <f t="shared" si="225"/>
        <v/>
      </c>
      <c r="IL767" s="873" t="str">
        <f t="shared" si="226"/>
        <v/>
      </c>
      <c r="IM767" s="873" t="str">
        <f t="shared" si="227"/>
        <v/>
      </c>
      <c r="IN767" s="873" t="str">
        <f t="shared" si="228"/>
        <v/>
      </c>
      <c r="IO767" s="873" t="str">
        <f t="shared" si="229"/>
        <v/>
      </c>
      <c r="IP767" s="873" t="str">
        <f t="shared" si="230"/>
        <v/>
      </c>
      <c r="IQ767" s="873" t="str">
        <f t="shared" si="231"/>
        <v/>
      </c>
      <c r="IR767" s="873" t="str">
        <f t="shared" si="232"/>
        <v/>
      </c>
      <c r="IS767" s="873" t="str">
        <f t="shared" si="233"/>
        <v/>
      </c>
      <c r="IT767" s="873" t="str">
        <f t="shared" si="234"/>
        <v/>
      </c>
      <c r="IU767" s="873" t="str">
        <f t="shared" si="235"/>
        <v/>
      </c>
      <c r="IV767" s="873" t="str">
        <f t="shared" si="236"/>
        <v/>
      </c>
      <c r="IW767" s="873" t="str">
        <f t="shared" si="237"/>
        <v/>
      </c>
      <c r="IX767" s="873" t="str">
        <f t="shared" si="238"/>
        <v/>
      </c>
      <c r="IY767" s="873" t="str">
        <f t="shared" si="239"/>
        <v/>
      </c>
      <c r="IZ767" s="873" t="str">
        <f t="shared" si="240"/>
        <v/>
      </c>
      <c r="JA767" s="873" t="str">
        <f t="shared" si="241"/>
        <v/>
      </c>
      <c r="JB767" s="873" t="str">
        <f t="shared" si="242"/>
        <v/>
      </c>
      <c r="JC767" s="2253">
        <f t="shared" si="243"/>
        <v>0</v>
      </c>
      <c r="JD767" s="2253">
        <f t="shared" si="244"/>
        <v>0</v>
      </c>
      <c r="JE767" s="2253">
        <f t="shared" si="245"/>
        <v>0</v>
      </c>
      <c r="JF767" s="2253">
        <f t="shared" si="246"/>
        <v>0</v>
      </c>
      <c r="JG767" s="2253">
        <f t="shared" si="247"/>
        <v>0</v>
      </c>
      <c r="JH767" s="2253">
        <f t="shared" si="248"/>
        <v>0</v>
      </c>
      <c r="JI767" s="2253">
        <f t="shared" si="249"/>
        <v>0</v>
      </c>
      <c r="JJ767" s="2253">
        <f t="shared" si="250"/>
        <v>0</v>
      </c>
      <c r="JK767" s="2253">
        <f t="shared" si="251"/>
        <v>0</v>
      </c>
      <c r="JL767" s="2253">
        <f t="shared" si="252"/>
        <v>0</v>
      </c>
      <c r="JM767" s="2253">
        <f t="shared" si="253"/>
        <v>0</v>
      </c>
      <c r="JN767" s="2253">
        <f t="shared" si="254"/>
        <v>0</v>
      </c>
      <c r="JO767" s="2253">
        <f t="shared" si="255"/>
        <v>0</v>
      </c>
      <c r="JP767" s="2253">
        <f t="shared" si="256"/>
        <v>0</v>
      </c>
      <c r="JQ767" s="2253">
        <f t="shared" si="257"/>
        <v>0</v>
      </c>
    </row>
    <row r="768" spans="1:277" ht="12" customHeight="1">
      <c r="A768" s="2258" t="str">
        <f t="shared" si="0"/>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1"/>
        <v>0</v>
      </c>
      <c r="L768" s="2284">
        <f t="shared" si="2"/>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3" t="str">
        <f t="shared" si="3"/>
        <v/>
      </c>
      <c r="X768" s="873" t="str">
        <f t="shared" si="4"/>
        <v/>
      </c>
      <c r="Y768" s="873" t="str">
        <f t="shared" si="5"/>
        <v/>
      </c>
      <c r="Z768" s="873" t="str">
        <f t="shared" si="6"/>
        <v/>
      </c>
      <c r="AA768" s="873" t="str">
        <f t="shared" si="7"/>
        <v/>
      </c>
      <c r="AB768" s="873" t="str">
        <f t="shared" si="8"/>
        <v/>
      </c>
      <c r="AC768" s="873" t="str">
        <f t="shared" si="9"/>
        <v/>
      </c>
      <c r="AD768" s="873" t="str">
        <f t="shared" si="10"/>
        <v/>
      </c>
      <c r="AE768" s="873" t="str">
        <f t="shared" si="11"/>
        <v/>
      </c>
      <c r="AF768" s="873" t="str">
        <f t="shared" si="12"/>
        <v/>
      </c>
      <c r="AG768" s="873" t="str">
        <f t="shared" si="13"/>
        <v/>
      </c>
      <c r="AH768" s="873" t="str">
        <f t="shared" si="14"/>
        <v/>
      </c>
      <c r="AI768" s="873" t="str">
        <f t="shared" si="15"/>
        <v/>
      </c>
      <c r="AJ768" s="873" t="str">
        <f t="shared" si="16"/>
        <v/>
      </c>
      <c r="AK768" s="873" t="str">
        <f t="shared" si="17"/>
        <v/>
      </c>
      <c r="AL768" s="873" t="str">
        <f t="shared" si="18"/>
        <v/>
      </c>
      <c r="AM768" s="873" t="str">
        <f t="shared" si="19"/>
        <v/>
      </c>
      <c r="AN768" s="873" t="str">
        <f t="shared" si="20"/>
        <v/>
      </c>
      <c r="AO768" s="873" t="str">
        <f t="shared" si="21"/>
        <v/>
      </c>
      <c r="AP768" s="873" t="str">
        <f t="shared" si="22"/>
        <v/>
      </c>
      <c r="AQ768" s="873" t="str">
        <f t="shared" si="23"/>
        <v/>
      </c>
      <c r="AR768" s="873" t="str">
        <f t="shared" si="24"/>
        <v/>
      </c>
      <c r="AS768" s="873" t="str">
        <f t="shared" si="25"/>
        <v/>
      </c>
      <c r="AT768" s="873" t="str">
        <f t="shared" si="26"/>
        <v/>
      </c>
      <c r="AU768" s="873" t="str">
        <f t="shared" si="27"/>
        <v/>
      </c>
      <c r="AV768" s="873" t="str">
        <f t="shared" si="28"/>
        <v/>
      </c>
      <c r="AW768" s="873" t="str">
        <f t="shared" si="29"/>
        <v/>
      </c>
      <c r="AX768" s="873" t="str">
        <f t="shared" si="30"/>
        <v/>
      </c>
      <c r="AY768" s="873" t="str">
        <f t="shared" si="31"/>
        <v/>
      </c>
      <c r="AZ768" s="873" t="str">
        <f t="shared" si="32"/>
        <v/>
      </c>
      <c r="BA768" s="873" t="str">
        <f t="shared" si="33"/>
        <v/>
      </c>
      <c r="BB768" s="873" t="str">
        <f t="shared" si="34"/>
        <v/>
      </c>
      <c r="BC768" s="873" t="str">
        <f t="shared" si="35"/>
        <v/>
      </c>
      <c r="BD768" s="873" t="str">
        <f t="shared" si="36"/>
        <v/>
      </c>
      <c r="BE768" s="873" t="str">
        <f t="shared" si="37"/>
        <v/>
      </c>
      <c r="BF768" s="873" t="str">
        <f t="shared" si="38"/>
        <v/>
      </c>
      <c r="BG768" s="873" t="str">
        <f t="shared" si="39"/>
        <v/>
      </c>
      <c r="BH768" s="873" t="str">
        <f t="shared" si="40"/>
        <v/>
      </c>
      <c r="BI768" s="873" t="str">
        <f t="shared" si="41"/>
        <v/>
      </c>
      <c r="BJ768" s="873" t="str">
        <f t="shared" si="42"/>
        <v/>
      </c>
      <c r="BK768" s="873" t="str">
        <f t="shared" si="43"/>
        <v/>
      </c>
      <c r="BL768" s="873" t="str">
        <f t="shared" si="44"/>
        <v/>
      </c>
      <c r="BM768" s="873" t="str">
        <f t="shared" si="45"/>
        <v/>
      </c>
      <c r="BN768" s="873" t="str">
        <f t="shared" si="46"/>
        <v/>
      </c>
      <c r="BO768" s="873" t="str">
        <f t="shared" si="47"/>
        <v/>
      </c>
      <c r="BP768" s="873" t="str">
        <f t="shared" si="48"/>
        <v/>
      </c>
      <c r="BQ768" s="873" t="str">
        <f t="shared" si="49"/>
        <v/>
      </c>
      <c r="BR768" s="873" t="str">
        <f t="shared" si="50"/>
        <v/>
      </c>
      <c r="BS768" s="873" t="str">
        <f t="shared" si="51"/>
        <v/>
      </c>
      <c r="BT768" s="873" t="str">
        <f t="shared" si="52"/>
        <v/>
      </c>
      <c r="BU768" s="873" t="str">
        <f t="shared" si="53"/>
        <v/>
      </c>
      <c r="BV768" s="873" t="str">
        <f t="shared" si="54"/>
        <v/>
      </c>
      <c r="BW768" s="873" t="str">
        <f t="shared" si="55"/>
        <v/>
      </c>
      <c r="BX768" s="873" t="str">
        <f t="shared" si="56"/>
        <v/>
      </c>
      <c r="BY768" s="873" t="str">
        <f t="shared" si="57"/>
        <v/>
      </c>
      <c r="BZ768" s="873" t="str">
        <f t="shared" si="58"/>
        <v/>
      </c>
      <c r="CA768" s="873" t="str">
        <f t="shared" si="59"/>
        <v/>
      </c>
      <c r="CB768" s="873" t="str">
        <f t="shared" si="60"/>
        <v/>
      </c>
      <c r="CC768" s="873" t="str">
        <f t="shared" si="61"/>
        <v/>
      </c>
      <c r="CD768" s="873" t="str">
        <f t="shared" si="62"/>
        <v/>
      </c>
      <c r="CE768" s="873" t="str">
        <f t="shared" si="63"/>
        <v/>
      </c>
      <c r="CF768" s="873" t="str">
        <f t="shared" si="64"/>
        <v/>
      </c>
      <c r="CG768" s="873" t="str">
        <f t="shared" si="65"/>
        <v/>
      </c>
      <c r="CH768" s="873" t="str">
        <f t="shared" si="66"/>
        <v/>
      </c>
      <c r="CI768" s="873" t="str">
        <f t="shared" si="67"/>
        <v/>
      </c>
      <c r="CJ768" s="873" t="str">
        <f t="shared" si="68"/>
        <v/>
      </c>
      <c r="CK768" s="873" t="str">
        <f t="shared" si="69"/>
        <v/>
      </c>
      <c r="CL768" s="873" t="str">
        <f t="shared" si="70"/>
        <v/>
      </c>
      <c r="CM768" s="873" t="str">
        <f t="shared" si="71"/>
        <v/>
      </c>
      <c r="CN768" s="873" t="str">
        <f t="shared" si="72"/>
        <v/>
      </c>
      <c r="CO768" s="873" t="str">
        <f t="shared" si="73"/>
        <v/>
      </c>
      <c r="CP768" s="873" t="str">
        <f t="shared" si="74"/>
        <v/>
      </c>
      <c r="CQ768" s="873" t="str">
        <f t="shared" si="75"/>
        <v/>
      </c>
      <c r="CR768" s="873" t="str">
        <f t="shared" si="76"/>
        <v/>
      </c>
      <c r="CS768" s="873" t="str">
        <f t="shared" si="77"/>
        <v/>
      </c>
      <c r="CT768" s="873" t="str">
        <f t="shared" si="78"/>
        <v/>
      </c>
      <c r="CU768" s="873" t="str">
        <f t="shared" si="79"/>
        <v/>
      </c>
      <c r="CV768" s="873" t="str">
        <f t="shared" si="80"/>
        <v/>
      </c>
      <c r="CW768" s="873" t="str">
        <f t="shared" si="81"/>
        <v/>
      </c>
      <c r="CX768" s="873" t="str">
        <f t="shared" si="82"/>
        <v/>
      </c>
      <c r="CY768" s="873" t="str">
        <f t="shared" si="83"/>
        <v/>
      </c>
      <c r="CZ768" s="873" t="str">
        <f t="shared" si="84"/>
        <v/>
      </c>
      <c r="DA768" s="873" t="str">
        <f t="shared" si="85"/>
        <v/>
      </c>
      <c r="DB768" s="873" t="str">
        <f t="shared" si="86"/>
        <v/>
      </c>
      <c r="DC768" s="873" t="str">
        <f t="shared" si="87"/>
        <v/>
      </c>
      <c r="DD768" s="873" t="str">
        <f t="shared" si="88"/>
        <v/>
      </c>
      <c r="DE768" s="873" t="str">
        <f t="shared" si="89"/>
        <v/>
      </c>
      <c r="DF768" s="873" t="str">
        <f t="shared" si="90"/>
        <v/>
      </c>
      <c r="DG768" s="873" t="str">
        <f t="shared" si="91"/>
        <v/>
      </c>
      <c r="DH768" s="873" t="str">
        <f t="shared" si="92"/>
        <v/>
      </c>
      <c r="DI768" s="873" t="str">
        <f t="shared" si="93"/>
        <v/>
      </c>
      <c r="DJ768" s="873" t="str">
        <f t="shared" si="94"/>
        <v/>
      </c>
      <c r="DK768" s="873" t="str">
        <f t="shared" si="95"/>
        <v/>
      </c>
      <c r="DL768" s="873" t="str">
        <f t="shared" si="96"/>
        <v/>
      </c>
      <c r="DM768" s="873" t="str">
        <f t="shared" si="97"/>
        <v/>
      </c>
      <c r="DN768" s="873" t="str">
        <f t="shared" si="98"/>
        <v/>
      </c>
      <c r="DO768" s="873" t="str">
        <f t="shared" si="99"/>
        <v/>
      </c>
      <c r="DP768" s="873" t="str">
        <f t="shared" si="100"/>
        <v/>
      </c>
      <c r="DQ768" s="873" t="str">
        <f t="shared" si="101"/>
        <v/>
      </c>
      <c r="DR768" s="873" t="str">
        <f t="shared" si="102"/>
        <v/>
      </c>
      <c r="DS768" s="873" t="str">
        <f t="shared" si="103"/>
        <v/>
      </c>
      <c r="DT768" s="873" t="str">
        <f t="shared" si="104"/>
        <v/>
      </c>
      <c r="DU768" s="873" t="str">
        <f t="shared" si="105"/>
        <v/>
      </c>
      <c r="DV768" s="873" t="str">
        <f t="shared" si="106"/>
        <v/>
      </c>
      <c r="DW768" s="873" t="str">
        <f t="shared" si="107"/>
        <v/>
      </c>
      <c r="DX768" s="873" t="str">
        <f t="shared" si="108"/>
        <v/>
      </c>
      <c r="DY768" s="873" t="str">
        <f t="shared" si="109"/>
        <v/>
      </c>
      <c r="DZ768" s="873" t="str">
        <f t="shared" si="110"/>
        <v/>
      </c>
      <c r="EA768" s="873" t="str">
        <f t="shared" si="111"/>
        <v/>
      </c>
      <c r="EB768" s="873" t="str">
        <f t="shared" si="112"/>
        <v/>
      </c>
      <c r="EC768" s="873" t="str">
        <f t="shared" si="113"/>
        <v/>
      </c>
      <c r="ED768" s="873" t="str">
        <f t="shared" si="114"/>
        <v/>
      </c>
      <c r="EE768" s="873" t="str">
        <f t="shared" si="115"/>
        <v/>
      </c>
      <c r="EF768" s="873" t="str">
        <f t="shared" si="116"/>
        <v/>
      </c>
      <c r="EG768" s="873" t="str">
        <f t="shared" si="117"/>
        <v/>
      </c>
      <c r="EH768" s="873" t="str">
        <f t="shared" si="118"/>
        <v/>
      </c>
      <c r="EI768" s="873" t="str">
        <f t="shared" si="119"/>
        <v/>
      </c>
      <c r="EJ768" s="873" t="str">
        <f t="shared" si="120"/>
        <v/>
      </c>
      <c r="EK768" s="873" t="str">
        <f t="shared" si="121"/>
        <v/>
      </c>
      <c r="EL768" s="873" t="str">
        <f t="shared" si="122"/>
        <v/>
      </c>
      <c r="EM768" s="873" t="str">
        <f t="shared" si="123"/>
        <v/>
      </c>
      <c r="EN768" s="873" t="str">
        <f t="shared" si="124"/>
        <v/>
      </c>
      <c r="EO768" s="873" t="str">
        <f t="shared" si="125"/>
        <v/>
      </c>
      <c r="EP768" s="873" t="str">
        <f t="shared" si="126"/>
        <v/>
      </c>
      <c r="EQ768" s="873" t="str">
        <f t="shared" si="127"/>
        <v/>
      </c>
      <c r="ER768" s="873" t="str">
        <f t="shared" si="128"/>
        <v/>
      </c>
      <c r="ES768" s="873" t="str">
        <f t="shared" si="129"/>
        <v/>
      </c>
      <c r="ET768" s="873" t="str">
        <f t="shared" si="130"/>
        <v/>
      </c>
      <c r="EU768" s="873" t="str">
        <f t="shared" si="131"/>
        <v/>
      </c>
      <c r="EV768" s="873" t="str">
        <f t="shared" si="132"/>
        <v/>
      </c>
      <c r="EW768" s="2288" t="str">
        <f t="shared" si="133"/>
        <v/>
      </c>
      <c r="EX768" s="2288" t="str">
        <f t="shared" si="134"/>
        <v/>
      </c>
      <c r="EY768" s="2288" t="str">
        <f t="shared" si="135"/>
        <v/>
      </c>
      <c r="EZ768" s="2288" t="str">
        <f t="shared" si="136"/>
        <v/>
      </c>
      <c r="FA768" s="2288" t="str">
        <f t="shared" si="137"/>
        <v/>
      </c>
      <c r="FB768" s="2288" t="str">
        <f t="shared" si="138"/>
        <v/>
      </c>
      <c r="FC768" s="2288" t="str">
        <f t="shared" si="139"/>
        <v/>
      </c>
      <c r="FD768" s="2288" t="str">
        <f t="shared" si="140"/>
        <v/>
      </c>
      <c r="FE768" s="2288" t="str">
        <f t="shared" si="141"/>
        <v/>
      </c>
      <c r="FF768" s="2288" t="str">
        <f t="shared" si="142"/>
        <v/>
      </c>
      <c r="FG768" s="2288" t="str">
        <f t="shared" si="143"/>
        <v/>
      </c>
      <c r="FH768" s="2288" t="str">
        <f t="shared" si="144"/>
        <v/>
      </c>
      <c r="FI768" s="2288" t="str">
        <f t="shared" si="145"/>
        <v/>
      </c>
      <c r="FJ768" s="2288" t="str">
        <f t="shared" si="146"/>
        <v/>
      </c>
      <c r="FK768" s="2288" t="str">
        <f t="shared" si="147"/>
        <v/>
      </c>
      <c r="FL768" s="2288" t="str">
        <f t="shared" si="148"/>
        <v/>
      </c>
      <c r="FM768" s="2288" t="str">
        <f t="shared" si="149"/>
        <v/>
      </c>
      <c r="FN768" s="2288" t="str">
        <f t="shared" si="150"/>
        <v/>
      </c>
      <c r="FO768" s="2288" t="str">
        <f t="shared" si="151"/>
        <v/>
      </c>
      <c r="FP768" s="2288" t="str">
        <f t="shared" si="152"/>
        <v/>
      </c>
      <c r="FQ768" s="2288" t="str">
        <f t="shared" si="153"/>
        <v/>
      </c>
      <c r="FR768" s="2288" t="str">
        <f t="shared" si="154"/>
        <v/>
      </c>
      <c r="FS768" s="2288" t="str">
        <f t="shared" si="155"/>
        <v/>
      </c>
      <c r="FT768" s="2288" t="str">
        <f t="shared" si="156"/>
        <v/>
      </c>
      <c r="FU768" s="2288" t="str">
        <f t="shared" si="157"/>
        <v/>
      </c>
      <c r="FV768" s="2288" t="str">
        <f t="shared" si="158"/>
        <v/>
      </c>
      <c r="FW768" s="2288" t="str">
        <f t="shared" si="159"/>
        <v/>
      </c>
      <c r="FX768" s="2288" t="str">
        <f t="shared" si="160"/>
        <v/>
      </c>
      <c r="FY768" s="2288" t="str">
        <f t="shared" si="161"/>
        <v/>
      </c>
      <c r="FZ768" s="2288" t="str">
        <f t="shared" si="162"/>
        <v/>
      </c>
      <c r="GA768" s="2288" t="str">
        <f t="shared" si="163"/>
        <v/>
      </c>
      <c r="GB768" s="2288" t="str">
        <f t="shared" si="164"/>
        <v/>
      </c>
      <c r="GC768" s="2288" t="str">
        <f t="shared" si="165"/>
        <v/>
      </c>
      <c r="GD768" s="2288" t="str">
        <f t="shared" si="166"/>
        <v/>
      </c>
      <c r="GE768" s="2288" t="str">
        <f t="shared" si="167"/>
        <v/>
      </c>
      <c r="GF768" s="2288" t="str">
        <f t="shared" si="168"/>
        <v/>
      </c>
      <c r="GG768" s="2288" t="str">
        <f t="shared" si="169"/>
        <v/>
      </c>
      <c r="GH768" s="2288" t="str">
        <f t="shared" si="170"/>
        <v/>
      </c>
      <c r="GI768" s="2288" t="str">
        <f t="shared" si="171"/>
        <v/>
      </c>
      <c r="GJ768" s="2288" t="str">
        <f t="shared" si="172"/>
        <v/>
      </c>
      <c r="GK768" s="2288" t="str">
        <f t="shared" si="173"/>
        <v/>
      </c>
      <c r="GL768" s="2288" t="str">
        <f t="shared" si="174"/>
        <v/>
      </c>
      <c r="GM768" s="2288" t="str">
        <f t="shared" si="175"/>
        <v/>
      </c>
      <c r="GN768" s="2288" t="str">
        <f t="shared" si="176"/>
        <v/>
      </c>
      <c r="GO768" s="2288" t="str">
        <f t="shared" si="177"/>
        <v/>
      </c>
      <c r="GP768" s="2288" t="str">
        <f t="shared" si="178"/>
        <v/>
      </c>
      <c r="GQ768" s="2288" t="str">
        <f t="shared" si="179"/>
        <v/>
      </c>
      <c r="GR768" s="2288" t="str">
        <f t="shared" si="180"/>
        <v/>
      </c>
      <c r="GS768" s="2288" t="str">
        <f t="shared" si="181"/>
        <v/>
      </c>
      <c r="GT768" s="2288" t="str">
        <f t="shared" si="182"/>
        <v/>
      </c>
      <c r="GU768" s="2288" t="str">
        <f t="shared" si="183"/>
        <v/>
      </c>
      <c r="GV768" s="2288" t="str">
        <f t="shared" si="184"/>
        <v/>
      </c>
      <c r="GW768" s="2288" t="str">
        <f t="shared" si="185"/>
        <v/>
      </c>
      <c r="GX768" s="2288" t="str">
        <f t="shared" si="186"/>
        <v/>
      </c>
      <c r="GY768" s="2288" t="str">
        <f t="shared" si="187"/>
        <v/>
      </c>
      <c r="GZ768" s="2288" t="str">
        <f t="shared" si="188"/>
        <v/>
      </c>
      <c r="HA768" s="2288" t="str">
        <f t="shared" si="189"/>
        <v/>
      </c>
      <c r="HB768" s="2288" t="str">
        <f t="shared" si="190"/>
        <v/>
      </c>
      <c r="HC768" s="2288" t="str">
        <f t="shared" si="191"/>
        <v/>
      </c>
      <c r="HD768" s="2288" t="str">
        <f t="shared" si="192"/>
        <v/>
      </c>
      <c r="HE768" s="2288" t="str">
        <f t="shared" si="193"/>
        <v/>
      </c>
      <c r="HF768" s="2288" t="str">
        <f t="shared" si="194"/>
        <v/>
      </c>
      <c r="HG768" s="2288" t="str">
        <f t="shared" si="195"/>
        <v/>
      </c>
      <c r="HH768" s="2288" t="str">
        <f t="shared" si="196"/>
        <v/>
      </c>
      <c r="HI768" s="2288" t="str">
        <f t="shared" si="197"/>
        <v/>
      </c>
      <c r="HJ768" s="2288" t="str">
        <f t="shared" si="198"/>
        <v/>
      </c>
      <c r="HK768" s="2288" t="str">
        <f t="shared" si="199"/>
        <v/>
      </c>
      <c r="HL768" s="2288" t="str">
        <f t="shared" si="200"/>
        <v/>
      </c>
      <c r="HM768" s="2288" t="str">
        <f t="shared" si="201"/>
        <v/>
      </c>
      <c r="HN768" s="2288" t="str">
        <f t="shared" si="202"/>
        <v/>
      </c>
      <c r="HO768" s="2288" t="str">
        <f t="shared" si="203"/>
        <v/>
      </c>
      <c r="HP768" s="2288" t="str">
        <f t="shared" si="204"/>
        <v/>
      </c>
      <c r="HQ768" s="2288" t="str">
        <f t="shared" si="205"/>
        <v/>
      </c>
      <c r="HR768" s="2288" t="str">
        <f t="shared" si="206"/>
        <v/>
      </c>
      <c r="HS768" s="2288" t="str">
        <f t="shared" si="207"/>
        <v/>
      </c>
      <c r="HT768" s="2288" t="str">
        <f t="shared" si="208"/>
        <v/>
      </c>
      <c r="HU768" s="2288" t="str">
        <f t="shared" si="209"/>
        <v/>
      </c>
      <c r="HV768" s="2288" t="str">
        <f t="shared" si="210"/>
        <v/>
      </c>
      <c r="HW768" s="2288" t="str">
        <f t="shared" si="211"/>
        <v/>
      </c>
      <c r="HX768" s="2288" t="str">
        <f t="shared" si="212"/>
        <v/>
      </c>
      <c r="HY768" s="2288" t="str">
        <f t="shared" si="213"/>
        <v/>
      </c>
      <c r="HZ768" s="2288" t="str">
        <f t="shared" si="214"/>
        <v/>
      </c>
      <c r="IA768" s="2288" t="str">
        <f t="shared" si="215"/>
        <v/>
      </c>
      <c r="IB768" s="2288" t="str">
        <f t="shared" si="216"/>
        <v/>
      </c>
      <c r="IC768" s="2288" t="str">
        <f t="shared" si="217"/>
        <v/>
      </c>
      <c r="ID768" s="2255" t="str">
        <f t="shared" si="218"/>
        <v/>
      </c>
      <c r="IE768" s="2255" t="str">
        <f t="shared" si="219"/>
        <v/>
      </c>
      <c r="IF768" s="2255" t="str">
        <f t="shared" si="220"/>
        <v/>
      </c>
      <c r="IG768" s="2255" t="str">
        <f t="shared" si="221"/>
        <v/>
      </c>
      <c r="IH768" s="2255" t="str">
        <f t="shared" si="222"/>
        <v/>
      </c>
      <c r="II768" s="873" t="str">
        <f t="shared" si="223"/>
        <v/>
      </c>
      <c r="IJ768" s="873" t="str">
        <f t="shared" si="224"/>
        <v/>
      </c>
      <c r="IK768" s="873" t="str">
        <f t="shared" si="225"/>
        <v/>
      </c>
      <c r="IL768" s="873" t="str">
        <f t="shared" si="226"/>
        <v/>
      </c>
      <c r="IM768" s="873" t="str">
        <f t="shared" si="227"/>
        <v/>
      </c>
      <c r="IN768" s="873" t="str">
        <f t="shared" si="228"/>
        <v/>
      </c>
      <c r="IO768" s="873" t="str">
        <f t="shared" si="229"/>
        <v/>
      </c>
      <c r="IP768" s="873" t="str">
        <f t="shared" si="230"/>
        <v/>
      </c>
      <c r="IQ768" s="873" t="str">
        <f t="shared" si="231"/>
        <v/>
      </c>
      <c r="IR768" s="873" t="str">
        <f t="shared" si="232"/>
        <v/>
      </c>
      <c r="IS768" s="873" t="str">
        <f t="shared" si="233"/>
        <v/>
      </c>
      <c r="IT768" s="873" t="str">
        <f t="shared" si="234"/>
        <v/>
      </c>
      <c r="IU768" s="873" t="str">
        <f t="shared" si="235"/>
        <v/>
      </c>
      <c r="IV768" s="873" t="str">
        <f t="shared" si="236"/>
        <v/>
      </c>
      <c r="IW768" s="873" t="str">
        <f t="shared" si="237"/>
        <v/>
      </c>
      <c r="IX768" s="873" t="str">
        <f t="shared" si="238"/>
        <v/>
      </c>
      <c r="IY768" s="873" t="str">
        <f t="shared" si="239"/>
        <v/>
      </c>
      <c r="IZ768" s="873" t="str">
        <f t="shared" si="240"/>
        <v/>
      </c>
      <c r="JA768" s="873" t="str">
        <f t="shared" si="241"/>
        <v/>
      </c>
      <c r="JB768" s="873" t="str">
        <f t="shared" si="242"/>
        <v/>
      </c>
      <c r="JC768" s="2253">
        <f t="shared" si="243"/>
        <v>0</v>
      </c>
      <c r="JD768" s="2253">
        <f t="shared" si="244"/>
        <v>0</v>
      </c>
      <c r="JE768" s="2253">
        <f t="shared" si="245"/>
        <v>0</v>
      </c>
      <c r="JF768" s="2253">
        <f t="shared" si="246"/>
        <v>0</v>
      </c>
      <c r="JG768" s="2253">
        <f t="shared" si="247"/>
        <v>0</v>
      </c>
      <c r="JH768" s="2253">
        <f t="shared" si="248"/>
        <v>0</v>
      </c>
      <c r="JI768" s="2253">
        <f t="shared" si="249"/>
        <v>0</v>
      </c>
      <c r="JJ768" s="2253">
        <f t="shared" si="250"/>
        <v>0</v>
      </c>
      <c r="JK768" s="2253">
        <f t="shared" si="251"/>
        <v>0</v>
      </c>
      <c r="JL768" s="2253">
        <f t="shared" si="252"/>
        <v>0</v>
      </c>
      <c r="JM768" s="2253">
        <f t="shared" si="253"/>
        <v>0</v>
      </c>
      <c r="JN768" s="2253">
        <f t="shared" si="254"/>
        <v>0</v>
      </c>
      <c r="JO768" s="2253">
        <f t="shared" si="255"/>
        <v>0</v>
      </c>
      <c r="JP768" s="2253">
        <f t="shared" si="256"/>
        <v>0</v>
      </c>
      <c r="JQ768" s="2253">
        <f t="shared" si="257"/>
        <v>0</v>
      </c>
    </row>
    <row r="769" spans="1:277" ht="12" customHeight="1">
      <c r="A769" s="2258" t="str">
        <f t="shared" si="0"/>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1"/>
        <v>0</v>
      </c>
      <c r="L769" s="2284">
        <f t="shared" si="2"/>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3" t="str">
        <f t="shared" si="3"/>
        <v/>
      </c>
      <c r="X769" s="873" t="str">
        <f t="shared" si="4"/>
        <v/>
      </c>
      <c r="Y769" s="873" t="str">
        <f t="shared" si="5"/>
        <v/>
      </c>
      <c r="Z769" s="873" t="str">
        <f t="shared" si="6"/>
        <v/>
      </c>
      <c r="AA769" s="873" t="str">
        <f t="shared" si="7"/>
        <v/>
      </c>
      <c r="AB769" s="873" t="str">
        <f t="shared" si="8"/>
        <v/>
      </c>
      <c r="AC769" s="873" t="str">
        <f t="shared" si="9"/>
        <v/>
      </c>
      <c r="AD769" s="873" t="str">
        <f t="shared" si="10"/>
        <v/>
      </c>
      <c r="AE769" s="873" t="str">
        <f t="shared" si="11"/>
        <v/>
      </c>
      <c r="AF769" s="873" t="str">
        <f t="shared" si="12"/>
        <v/>
      </c>
      <c r="AG769" s="873" t="str">
        <f t="shared" si="13"/>
        <v/>
      </c>
      <c r="AH769" s="873" t="str">
        <f t="shared" si="14"/>
        <v/>
      </c>
      <c r="AI769" s="873" t="str">
        <f t="shared" si="15"/>
        <v/>
      </c>
      <c r="AJ769" s="873" t="str">
        <f t="shared" si="16"/>
        <v/>
      </c>
      <c r="AK769" s="873" t="str">
        <f t="shared" si="17"/>
        <v/>
      </c>
      <c r="AL769" s="873" t="str">
        <f t="shared" si="18"/>
        <v/>
      </c>
      <c r="AM769" s="873" t="str">
        <f t="shared" si="19"/>
        <v/>
      </c>
      <c r="AN769" s="873" t="str">
        <f t="shared" si="20"/>
        <v/>
      </c>
      <c r="AO769" s="873" t="str">
        <f t="shared" si="21"/>
        <v/>
      </c>
      <c r="AP769" s="873" t="str">
        <f t="shared" si="22"/>
        <v/>
      </c>
      <c r="AQ769" s="873" t="str">
        <f t="shared" si="23"/>
        <v/>
      </c>
      <c r="AR769" s="873" t="str">
        <f t="shared" si="24"/>
        <v/>
      </c>
      <c r="AS769" s="873" t="str">
        <f t="shared" si="25"/>
        <v/>
      </c>
      <c r="AT769" s="873" t="str">
        <f t="shared" si="26"/>
        <v/>
      </c>
      <c r="AU769" s="873" t="str">
        <f t="shared" si="27"/>
        <v/>
      </c>
      <c r="AV769" s="873" t="str">
        <f t="shared" si="28"/>
        <v/>
      </c>
      <c r="AW769" s="873" t="str">
        <f t="shared" si="29"/>
        <v/>
      </c>
      <c r="AX769" s="873" t="str">
        <f t="shared" si="30"/>
        <v/>
      </c>
      <c r="AY769" s="873" t="str">
        <f t="shared" si="31"/>
        <v/>
      </c>
      <c r="AZ769" s="873" t="str">
        <f t="shared" si="32"/>
        <v/>
      </c>
      <c r="BA769" s="873" t="str">
        <f t="shared" si="33"/>
        <v/>
      </c>
      <c r="BB769" s="873" t="str">
        <f t="shared" si="34"/>
        <v/>
      </c>
      <c r="BC769" s="873" t="str">
        <f t="shared" si="35"/>
        <v/>
      </c>
      <c r="BD769" s="873" t="str">
        <f t="shared" si="36"/>
        <v/>
      </c>
      <c r="BE769" s="873" t="str">
        <f t="shared" si="37"/>
        <v/>
      </c>
      <c r="BF769" s="873" t="str">
        <f t="shared" si="38"/>
        <v/>
      </c>
      <c r="BG769" s="873" t="str">
        <f t="shared" si="39"/>
        <v/>
      </c>
      <c r="BH769" s="873" t="str">
        <f t="shared" si="40"/>
        <v/>
      </c>
      <c r="BI769" s="873" t="str">
        <f t="shared" si="41"/>
        <v/>
      </c>
      <c r="BJ769" s="873" t="str">
        <f t="shared" si="42"/>
        <v/>
      </c>
      <c r="BK769" s="873" t="str">
        <f t="shared" si="43"/>
        <v/>
      </c>
      <c r="BL769" s="873" t="str">
        <f t="shared" si="44"/>
        <v/>
      </c>
      <c r="BM769" s="873" t="str">
        <f t="shared" si="45"/>
        <v/>
      </c>
      <c r="BN769" s="873" t="str">
        <f t="shared" si="46"/>
        <v/>
      </c>
      <c r="BO769" s="873" t="str">
        <f t="shared" si="47"/>
        <v/>
      </c>
      <c r="BP769" s="873" t="str">
        <f t="shared" si="48"/>
        <v/>
      </c>
      <c r="BQ769" s="873" t="str">
        <f t="shared" si="49"/>
        <v/>
      </c>
      <c r="BR769" s="873" t="str">
        <f t="shared" si="50"/>
        <v/>
      </c>
      <c r="BS769" s="873" t="str">
        <f t="shared" si="51"/>
        <v/>
      </c>
      <c r="BT769" s="873" t="str">
        <f t="shared" si="52"/>
        <v/>
      </c>
      <c r="BU769" s="873" t="str">
        <f t="shared" si="53"/>
        <v/>
      </c>
      <c r="BV769" s="873" t="str">
        <f t="shared" si="54"/>
        <v/>
      </c>
      <c r="BW769" s="873" t="str">
        <f t="shared" si="55"/>
        <v/>
      </c>
      <c r="BX769" s="873" t="str">
        <f t="shared" si="56"/>
        <v/>
      </c>
      <c r="BY769" s="873" t="str">
        <f t="shared" si="57"/>
        <v/>
      </c>
      <c r="BZ769" s="873" t="str">
        <f t="shared" si="58"/>
        <v/>
      </c>
      <c r="CA769" s="873" t="str">
        <f t="shared" si="59"/>
        <v/>
      </c>
      <c r="CB769" s="873" t="str">
        <f t="shared" si="60"/>
        <v/>
      </c>
      <c r="CC769" s="873" t="str">
        <f t="shared" si="61"/>
        <v/>
      </c>
      <c r="CD769" s="873" t="str">
        <f t="shared" si="62"/>
        <v/>
      </c>
      <c r="CE769" s="873" t="str">
        <f t="shared" si="63"/>
        <v/>
      </c>
      <c r="CF769" s="873" t="str">
        <f t="shared" si="64"/>
        <v/>
      </c>
      <c r="CG769" s="873" t="str">
        <f t="shared" si="65"/>
        <v/>
      </c>
      <c r="CH769" s="873" t="str">
        <f t="shared" si="66"/>
        <v/>
      </c>
      <c r="CI769" s="873" t="str">
        <f t="shared" si="67"/>
        <v/>
      </c>
      <c r="CJ769" s="873" t="str">
        <f t="shared" si="68"/>
        <v/>
      </c>
      <c r="CK769" s="873" t="str">
        <f t="shared" si="69"/>
        <v/>
      </c>
      <c r="CL769" s="873" t="str">
        <f t="shared" si="70"/>
        <v/>
      </c>
      <c r="CM769" s="873" t="str">
        <f t="shared" si="71"/>
        <v/>
      </c>
      <c r="CN769" s="873" t="str">
        <f t="shared" si="72"/>
        <v/>
      </c>
      <c r="CO769" s="873" t="str">
        <f t="shared" si="73"/>
        <v/>
      </c>
      <c r="CP769" s="873" t="str">
        <f t="shared" si="74"/>
        <v/>
      </c>
      <c r="CQ769" s="873" t="str">
        <f t="shared" si="75"/>
        <v/>
      </c>
      <c r="CR769" s="873" t="str">
        <f t="shared" si="76"/>
        <v/>
      </c>
      <c r="CS769" s="873" t="str">
        <f t="shared" si="77"/>
        <v/>
      </c>
      <c r="CT769" s="873" t="str">
        <f t="shared" si="78"/>
        <v/>
      </c>
      <c r="CU769" s="873" t="str">
        <f t="shared" si="79"/>
        <v/>
      </c>
      <c r="CV769" s="873" t="str">
        <f t="shared" si="80"/>
        <v/>
      </c>
      <c r="CW769" s="873" t="str">
        <f t="shared" si="81"/>
        <v/>
      </c>
      <c r="CX769" s="873" t="str">
        <f t="shared" si="82"/>
        <v/>
      </c>
      <c r="CY769" s="873" t="str">
        <f t="shared" si="83"/>
        <v/>
      </c>
      <c r="CZ769" s="873" t="str">
        <f t="shared" si="84"/>
        <v/>
      </c>
      <c r="DA769" s="873" t="str">
        <f t="shared" si="85"/>
        <v/>
      </c>
      <c r="DB769" s="873" t="str">
        <f t="shared" si="86"/>
        <v/>
      </c>
      <c r="DC769" s="873" t="str">
        <f t="shared" si="87"/>
        <v/>
      </c>
      <c r="DD769" s="873" t="str">
        <f t="shared" si="88"/>
        <v/>
      </c>
      <c r="DE769" s="873" t="str">
        <f t="shared" si="89"/>
        <v/>
      </c>
      <c r="DF769" s="873" t="str">
        <f t="shared" si="90"/>
        <v/>
      </c>
      <c r="DG769" s="873" t="str">
        <f t="shared" si="91"/>
        <v/>
      </c>
      <c r="DH769" s="873" t="str">
        <f t="shared" si="92"/>
        <v/>
      </c>
      <c r="DI769" s="873" t="str">
        <f t="shared" si="93"/>
        <v/>
      </c>
      <c r="DJ769" s="873" t="str">
        <f t="shared" si="94"/>
        <v/>
      </c>
      <c r="DK769" s="873" t="str">
        <f t="shared" si="95"/>
        <v/>
      </c>
      <c r="DL769" s="873" t="str">
        <f t="shared" si="96"/>
        <v/>
      </c>
      <c r="DM769" s="873" t="str">
        <f t="shared" si="97"/>
        <v/>
      </c>
      <c r="DN769" s="873" t="str">
        <f t="shared" si="98"/>
        <v/>
      </c>
      <c r="DO769" s="873" t="str">
        <f t="shared" si="99"/>
        <v/>
      </c>
      <c r="DP769" s="873" t="str">
        <f t="shared" si="100"/>
        <v/>
      </c>
      <c r="DQ769" s="873" t="str">
        <f t="shared" si="101"/>
        <v/>
      </c>
      <c r="DR769" s="873" t="str">
        <f t="shared" si="102"/>
        <v/>
      </c>
      <c r="DS769" s="873" t="str">
        <f t="shared" si="103"/>
        <v/>
      </c>
      <c r="DT769" s="873" t="str">
        <f t="shared" si="104"/>
        <v/>
      </c>
      <c r="DU769" s="873" t="str">
        <f t="shared" si="105"/>
        <v/>
      </c>
      <c r="DV769" s="873" t="str">
        <f t="shared" si="106"/>
        <v/>
      </c>
      <c r="DW769" s="873" t="str">
        <f t="shared" si="107"/>
        <v/>
      </c>
      <c r="DX769" s="873" t="str">
        <f t="shared" si="108"/>
        <v/>
      </c>
      <c r="DY769" s="873" t="str">
        <f t="shared" si="109"/>
        <v/>
      </c>
      <c r="DZ769" s="873" t="str">
        <f t="shared" si="110"/>
        <v/>
      </c>
      <c r="EA769" s="873" t="str">
        <f t="shared" si="111"/>
        <v/>
      </c>
      <c r="EB769" s="873" t="str">
        <f t="shared" si="112"/>
        <v/>
      </c>
      <c r="EC769" s="873" t="str">
        <f t="shared" si="113"/>
        <v/>
      </c>
      <c r="ED769" s="873" t="str">
        <f t="shared" si="114"/>
        <v/>
      </c>
      <c r="EE769" s="873" t="str">
        <f t="shared" si="115"/>
        <v/>
      </c>
      <c r="EF769" s="873" t="str">
        <f t="shared" si="116"/>
        <v/>
      </c>
      <c r="EG769" s="873" t="str">
        <f t="shared" si="117"/>
        <v/>
      </c>
      <c r="EH769" s="873" t="str">
        <f t="shared" si="118"/>
        <v/>
      </c>
      <c r="EI769" s="873" t="str">
        <f t="shared" si="119"/>
        <v/>
      </c>
      <c r="EJ769" s="873" t="str">
        <f t="shared" si="120"/>
        <v/>
      </c>
      <c r="EK769" s="873" t="str">
        <f t="shared" si="121"/>
        <v/>
      </c>
      <c r="EL769" s="873" t="str">
        <f t="shared" si="122"/>
        <v/>
      </c>
      <c r="EM769" s="873" t="str">
        <f t="shared" si="123"/>
        <v/>
      </c>
      <c r="EN769" s="873" t="str">
        <f t="shared" si="124"/>
        <v/>
      </c>
      <c r="EO769" s="873" t="str">
        <f t="shared" si="125"/>
        <v/>
      </c>
      <c r="EP769" s="873" t="str">
        <f t="shared" si="126"/>
        <v/>
      </c>
      <c r="EQ769" s="873" t="str">
        <f t="shared" si="127"/>
        <v/>
      </c>
      <c r="ER769" s="873" t="str">
        <f t="shared" si="128"/>
        <v/>
      </c>
      <c r="ES769" s="873" t="str">
        <f t="shared" si="129"/>
        <v/>
      </c>
      <c r="ET769" s="873" t="str">
        <f t="shared" si="130"/>
        <v/>
      </c>
      <c r="EU769" s="873" t="str">
        <f t="shared" si="131"/>
        <v/>
      </c>
      <c r="EV769" s="873" t="str">
        <f t="shared" si="132"/>
        <v/>
      </c>
      <c r="EW769" s="2288" t="str">
        <f t="shared" si="133"/>
        <v/>
      </c>
      <c r="EX769" s="2288" t="str">
        <f t="shared" si="134"/>
        <v/>
      </c>
      <c r="EY769" s="2288" t="str">
        <f t="shared" si="135"/>
        <v/>
      </c>
      <c r="EZ769" s="2288" t="str">
        <f t="shared" si="136"/>
        <v/>
      </c>
      <c r="FA769" s="2288" t="str">
        <f t="shared" si="137"/>
        <v/>
      </c>
      <c r="FB769" s="2288" t="str">
        <f t="shared" si="138"/>
        <v/>
      </c>
      <c r="FC769" s="2288" t="str">
        <f t="shared" si="139"/>
        <v/>
      </c>
      <c r="FD769" s="2288" t="str">
        <f t="shared" si="140"/>
        <v/>
      </c>
      <c r="FE769" s="2288" t="str">
        <f t="shared" si="141"/>
        <v/>
      </c>
      <c r="FF769" s="2288" t="str">
        <f t="shared" si="142"/>
        <v/>
      </c>
      <c r="FG769" s="2288" t="str">
        <f t="shared" si="143"/>
        <v/>
      </c>
      <c r="FH769" s="2288" t="str">
        <f t="shared" si="144"/>
        <v/>
      </c>
      <c r="FI769" s="2288" t="str">
        <f t="shared" si="145"/>
        <v/>
      </c>
      <c r="FJ769" s="2288" t="str">
        <f t="shared" si="146"/>
        <v/>
      </c>
      <c r="FK769" s="2288" t="str">
        <f t="shared" si="147"/>
        <v/>
      </c>
      <c r="FL769" s="2288" t="str">
        <f t="shared" si="148"/>
        <v/>
      </c>
      <c r="FM769" s="2288" t="str">
        <f t="shared" si="149"/>
        <v/>
      </c>
      <c r="FN769" s="2288" t="str">
        <f t="shared" si="150"/>
        <v/>
      </c>
      <c r="FO769" s="2288" t="str">
        <f t="shared" si="151"/>
        <v/>
      </c>
      <c r="FP769" s="2288" t="str">
        <f t="shared" si="152"/>
        <v/>
      </c>
      <c r="FQ769" s="2288" t="str">
        <f t="shared" si="153"/>
        <v/>
      </c>
      <c r="FR769" s="2288" t="str">
        <f t="shared" si="154"/>
        <v/>
      </c>
      <c r="FS769" s="2288" t="str">
        <f t="shared" si="155"/>
        <v/>
      </c>
      <c r="FT769" s="2288" t="str">
        <f t="shared" si="156"/>
        <v/>
      </c>
      <c r="FU769" s="2288" t="str">
        <f t="shared" si="157"/>
        <v/>
      </c>
      <c r="FV769" s="2288" t="str">
        <f t="shared" si="158"/>
        <v/>
      </c>
      <c r="FW769" s="2288" t="str">
        <f t="shared" si="159"/>
        <v/>
      </c>
      <c r="FX769" s="2288" t="str">
        <f t="shared" si="160"/>
        <v/>
      </c>
      <c r="FY769" s="2288" t="str">
        <f t="shared" si="161"/>
        <v/>
      </c>
      <c r="FZ769" s="2288" t="str">
        <f t="shared" si="162"/>
        <v/>
      </c>
      <c r="GA769" s="2288" t="str">
        <f t="shared" si="163"/>
        <v/>
      </c>
      <c r="GB769" s="2288" t="str">
        <f t="shared" si="164"/>
        <v/>
      </c>
      <c r="GC769" s="2288" t="str">
        <f t="shared" si="165"/>
        <v/>
      </c>
      <c r="GD769" s="2288" t="str">
        <f t="shared" si="166"/>
        <v/>
      </c>
      <c r="GE769" s="2288" t="str">
        <f t="shared" si="167"/>
        <v/>
      </c>
      <c r="GF769" s="2288" t="str">
        <f t="shared" si="168"/>
        <v/>
      </c>
      <c r="GG769" s="2288" t="str">
        <f t="shared" si="169"/>
        <v/>
      </c>
      <c r="GH769" s="2288" t="str">
        <f t="shared" si="170"/>
        <v/>
      </c>
      <c r="GI769" s="2288" t="str">
        <f t="shared" si="171"/>
        <v/>
      </c>
      <c r="GJ769" s="2288" t="str">
        <f t="shared" si="172"/>
        <v/>
      </c>
      <c r="GK769" s="2288" t="str">
        <f t="shared" si="173"/>
        <v/>
      </c>
      <c r="GL769" s="2288" t="str">
        <f t="shared" si="174"/>
        <v/>
      </c>
      <c r="GM769" s="2288" t="str">
        <f t="shared" si="175"/>
        <v/>
      </c>
      <c r="GN769" s="2288" t="str">
        <f t="shared" si="176"/>
        <v/>
      </c>
      <c r="GO769" s="2288" t="str">
        <f t="shared" si="177"/>
        <v/>
      </c>
      <c r="GP769" s="2288" t="str">
        <f t="shared" si="178"/>
        <v/>
      </c>
      <c r="GQ769" s="2288" t="str">
        <f t="shared" si="179"/>
        <v/>
      </c>
      <c r="GR769" s="2288" t="str">
        <f t="shared" si="180"/>
        <v/>
      </c>
      <c r="GS769" s="2288" t="str">
        <f t="shared" si="181"/>
        <v/>
      </c>
      <c r="GT769" s="2288" t="str">
        <f t="shared" si="182"/>
        <v/>
      </c>
      <c r="GU769" s="2288" t="str">
        <f t="shared" si="183"/>
        <v/>
      </c>
      <c r="GV769" s="2288" t="str">
        <f t="shared" si="184"/>
        <v/>
      </c>
      <c r="GW769" s="2288" t="str">
        <f t="shared" si="185"/>
        <v/>
      </c>
      <c r="GX769" s="2288" t="str">
        <f t="shared" si="186"/>
        <v/>
      </c>
      <c r="GY769" s="2288" t="str">
        <f t="shared" si="187"/>
        <v/>
      </c>
      <c r="GZ769" s="2288" t="str">
        <f t="shared" si="188"/>
        <v/>
      </c>
      <c r="HA769" s="2288" t="str">
        <f t="shared" si="189"/>
        <v/>
      </c>
      <c r="HB769" s="2288" t="str">
        <f t="shared" si="190"/>
        <v/>
      </c>
      <c r="HC769" s="2288" t="str">
        <f t="shared" si="191"/>
        <v/>
      </c>
      <c r="HD769" s="2288" t="str">
        <f t="shared" si="192"/>
        <v/>
      </c>
      <c r="HE769" s="2288" t="str">
        <f t="shared" si="193"/>
        <v/>
      </c>
      <c r="HF769" s="2288" t="str">
        <f t="shared" si="194"/>
        <v/>
      </c>
      <c r="HG769" s="2288" t="str">
        <f t="shared" si="195"/>
        <v/>
      </c>
      <c r="HH769" s="2288" t="str">
        <f t="shared" si="196"/>
        <v/>
      </c>
      <c r="HI769" s="2288" t="str">
        <f t="shared" si="197"/>
        <v/>
      </c>
      <c r="HJ769" s="2288" t="str">
        <f t="shared" si="198"/>
        <v/>
      </c>
      <c r="HK769" s="2288" t="str">
        <f t="shared" si="199"/>
        <v/>
      </c>
      <c r="HL769" s="2288" t="str">
        <f t="shared" si="200"/>
        <v/>
      </c>
      <c r="HM769" s="2288" t="str">
        <f t="shared" si="201"/>
        <v/>
      </c>
      <c r="HN769" s="2288" t="str">
        <f t="shared" si="202"/>
        <v/>
      </c>
      <c r="HO769" s="2288" t="str">
        <f t="shared" si="203"/>
        <v/>
      </c>
      <c r="HP769" s="2288" t="str">
        <f t="shared" si="204"/>
        <v/>
      </c>
      <c r="HQ769" s="2288" t="str">
        <f t="shared" si="205"/>
        <v/>
      </c>
      <c r="HR769" s="2288" t="str">
        <f t="shared" si="206"/>
        <v/>
      </c>
      <c r="HS769" s="2288" t="str">
        <f t="shared" si="207"/>
        <v/>
      </c>
      <c r="HT769" s="2288" t="str">
        <f t="shared" si="208"/>
        <v/>
      </c>
      <c r="HU769" s="2288" t="str">
        <f t="shared" si="209"/>
        <v/>
      </c>
      <c r="HV769" s="2288" t="str">
        <f t="shared" si="210"/>
        <v/>
      </c>
      <c r="HW769" s="2288" t="str">
        <f t="shared" si="211"/>
        <v/>
      </c>
      <c r="HX769" s="2288" t="str">
        <f t="shared" si="212"/>
        <v/>
      </c>
      <c r="HY769" s="2288" t="str">
        <f t="shared" si="213"/>
        <v/>
      </c>
      <c r="HZ769" s="2288" t="str">
        <f t="shared" si="214"/>
        <v/>
      </c>
      <c r="IA769" s="2288" t="str">
        <f t="shared" si="215"/>
        <v/>
      </c>
      <c r="IB769" s="2288" t="str">
        <f t="shared" si="216"/>
        <v/>
      </c>
      <c r="IC769" s="2288" t="str">
        <f t="shared" si="217"/>
        <v/>
      </c>
      <c r="ID769" s="2255" t="str">
        <f t="shared" si="218"/>
        <v/>
      </c>
      <c r="IE769" s="2255" t="str">
        <f t="shared" si="219"/>
        <v/>
      </c>
      <c r="IF769" s="2255" t="str">
        <f t="shared" si="220"/>
        <v/>
      </c>
      <c r="IG769" s="2255" t="str">
        <f t="shared" si="221"/>
        <v/>
      </c>
      <c r="IH769" s="2255" t="str">
        <f t="shared" si="222"/>
        <v/>
      </c>
      <c r="II769" s="873" t="str">
        <f t="shared" si="223"/>
        <v/>
      </c>
      <c r="IJ769" s="873" t="str">
        <f t="shared" si="224"/>
        <v/>
      </c>
      <c r="IK769" s="873" t="str">
        <f t="shared" si="225"/>
        <v/>
      </c>
      <c r="IL769" s="873" t="str">
        <f t="shared" si="226"/>
        <v/>
      </c>
      <c r="IM769" s="873" t="str">
        <f t="shared" si="227"/>
        <v/>
      </c>
      <c r="IN769" s="873" t="str">
        <f t="shared" si="228"/>
        <v/>
      </c>
      <c r="IO769" s="873" t="str">
        <f t="shared" si="229"/>
        <v/>
      </c>
      <c r="IP769" s="873" t="str">
        <f t="shared" si="230"/>
        <v/>
      </c>
      <c r="IQ769" s="873" t="str">
        <f t="shared" si="231"/>
        <v/>
      </c>
      <c r="IR769" s="873" t="str">
        <f t="shared" si="232"/>
        <v/>
      </c>
      <c r="IS769" s="873" t="str">
        <f t="shared" si="233"/>
        <v/>
      </c>
      <c r="IT769" s="873" t="str">
        <f t="shared" si="234"/>
        <v/>
      </c>
      <c r="IU769" s="873" t="str">
        <f t="shared" si="235"/>
        <v/>
      </c>
      <c r="IV769" s="873" t="str">
        <f t="shared" si="236"/>
        <v/>
      </c>
      <c r="IW769" s="873" t="str">
        <f t="shared" si="237"/>
        <v/>
      </c>
      <c r="IX769" s="873" t="str">
        <f t="shared" si="238"/>
        <v/>
      </c>
      <c r="IY769" s="873" t="str">
        <f t="shared" si="239"/>
        <v/>
      </c>
      <c r="IZ769" s="873" t="str">
        <f t="shared" si="240"/>
        <v/>
      </c>
      <c r="JA769" s="873" t="str">
        <f t="shared" si="241"/>
        <v/>
      </c>
      <c r="JB769" s="873" t="str">
        <f t="shared" si="242"/>
        <v/>
      </c>
      <c r="JC769" s="2253">
        <f t="shared" si="243"/>
        <v>0</v>
      </c>
      <c r="JD769" s="2253">
        <f t="shared" si="244"/>
        <v>0</v>
      </c>
      <c r="JE769" s="2253">
        <f t="shared" si="245"/>
        <v>0</v>
      </c>
      <c r="JF769" s="2253">
        <f t="shared" si="246"/>
        <v>0</v>
      </c>
      <c r="JG769" s="2253">
        <f t="shared" si="247"/>
        <v>0</v>
      </c>
      <c r="JH769" s="2253">
        <f t="shared" si="248"/>
        <v>0</v>
      </c>
      <c r="JI769" s="2253">
        <f t="shared" si="249"/>
        <v>0</v>
      </c>
      <c r="JJ769" s="2253">
        <f t="shared" si="250"/>
        <v>0</v>
      </c>
      <c r="JK769" s="2253">
        <f t="shared" si="251"/>
        <v>0</v>
      </c>
      <c r="JL769" s="2253">
        <f t="shared" si="252"/>
        <v>0</v>
      </c>
      <c r="JM769" s="2253">
        <f t="shared" si="253"/>
        <v>0</v>
      </c>
      <c r="JN769" s="2253">
        <f t="shared" si="254"/>
        <v>0</v>
      </c>
      <c r="JO769" s="2253">
        <f t="shared" si="255"/>
        <v>0</v>
      </c>
      <c r="JP769" s="2253">
        <f t="shared" si="256"/>
        <v>0</v>
      </c>
      <c r="JQ769" s="2253">
        <f t="shared" si="257"/>
        <v>0</v>
      </c>
    </row>
    <row r="770" spans="1:277" ht="12" customHeight="1">
      <c r="A770" s="2258" t="str">
        <f t="shared" si="0"/>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1"/>
        <v>0</v>
      </c>
      <c r="L770" s="2284">
        <f t="shared" si="2"/>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3" t="str">
        <f t="shared" si="3"/>
        <v/>
      </c>
      <c r="X770" s="873" t="str">
        <f t="shared" si="4"/>
        <v/>
      </c>
      <c r="Y770" s="873" t="str">
        <f t="shared" si="5"/>
        <v/>
      </c>
      <c r="Z770" s="873" t="str">
        <f t="shared" si="6"/>
        <v/>
      </c>
      <c r="AA770" s="873" t="str">
        <f t="shared" si="7"/>
        <v/>
      </c>
      <c r="AB770" s="873" t="str">
        <f t="shared" si="8"/>
        <v/>
      </c>
      <c r="AC770" s="873" t="str">
        <f t="shared" si="9"/>
        <v/>
      </c>
      <c r="AD770" s="873" t="str">
        <f t="shared" si="10"/>
        <v/>
      </c>
      <c r="AE770" s="873" t="str">
        <f t="shared" si="11"/>
        <v/>
      </c>
      <c r="AF770" s="873" t="str">
        <f t="shared" si="12"/>
        <v/>
      </c>
      <c r="AG770" s="873" t="str">
        <f t="shared" si="13"/>
        <v/>
      </c>
      <c r="AH770" s="873" t="str">
        <f t="shared" si="14"/>
        <v/>
      </c>
      <c r="AI770" s="873" t="str">
        <f t="shared" si="15"/>
        <v/>
      </c>
      <c r="AJ770" s="873" t="str">
        <f t="shared" si="16"/>
        <v/>
      </c>
      <c r="AK770" s="873" t="str">
        <f t="shared" si="17"/>
        <v/>
      </c>
      <c r="AL770" s="873" t="str">
        <f t="shared" si="18"/>
        <v/>
      </c>
      <c r="AM770" s="873" t="str">
        <f t="shared" si="19"/>
        <v/>
      </c>
      <c r="AN770" s="873" t="str">
        <f t="shared" si="20"/>
        <v/>
      </c>
      <c r="AO770" s="873" t="str">
        <f t="shared" si="21"/>
        <v/>
      </c>
      <c r="AP770" s="873" t="str">
        <f t="shared" si="22"/>
        <v/>
      </c>
      <c r="AQ770" s="873" t="str">
        <f t="shared" si="23"/>
        <v/>
      </c>
      <c r="AR770" s="873" t="str">
        <f t="shared" si="24"/>
        <v/>
      </c>
      <c r="AS770" s="873" t="str">
        <f t="shared" si="25"/>
        <v/>
      </c>
      <c r="AT770" s="873" t="str">
        <f t="shared" si="26"/>
        <v/>
      </c>
      <c r="AU770" s="873" t="str">
        <f t="shared" si="27"/>
        <v/>
      </c>
      <c r="AV770" s="873" t="str">
        <f t="shared" si="28"/>
        <v/>
      </c>
      <c r="AW770" s="873" t="str">
        <f t="shared" si="29"/>
        <v/>
      </c>
      <c r="AX770" s="873" t="str">
        <f t="shared" si="30"/>
        <v/>
      </c>
      <c r="AY770" s="873" t="str">
        <f t="shared" si="31"/>
        <v/>
      </c>
      <c r="AZ770" s="873" t="str">
        <f t="shared" si="32"/>
        <v/>
      </c>
      <c r="BA770" s="873" t="str">
        <f t="shared" si="33"/>
        <v/>
      </c>
      <c r="BB770" s="873" t="str">
        <f t="shared" si="34"/>
        <v/>
      </c>
      <c r="BC770" s="873" t="str">
        <f t="shared" si="35"/>
        <v/>
      </c>
      <c r="BD770" s="873" t="str">
        <f t="shared" si="36"/>
        <v/>
      </c>
      <c r="BE770" s="873" t="str">
        <f t="shared" si="37"/>
        <v/>
      </c>
      <c r="BF770" s="873" t="str">
        <f t="shared" si="38"/>
        <v/>
      </c>
      <c r="BG770" s="873" t="str">
        <f t="shared" si="39"/>
        <v/>
      </c>
      <c r="BH770" s="873" t="str">
        <f t="shared" si="40"/>
        <v/>
      </c>
      <c r="BI770" s="873" t="str">
        <f t="shared" si="41"/>
        <v/>
      </c>
      <c r="BJ770" s="873" t="str">
        <f t="shared" si="42"/>
        <v/>
      </c>
      <c r="BK770" s="873" t="str">
        <f t="shared" si="43"/>
        <v/>
      </c>
      <c r="BL770" s="873" t="str">
        <f t="shared" si="44"/>
        <v/>
      </c>
      <c r="BM770" s="873" t="str">
        <f t="shared" si="45"/>
        <v/>
      </c>
      <c r="BN770" s="873" t="str">
        <f t="shared" si="46"/>
        <v/>
      </c>
      <c r="BO770" s="873" t="str">
        <f t="shared" si="47"/>
        <v/>
      </c>
      <c r="BP770" s="873" t="str">
        <f t="shared" si="48"/>
        <v/>
      </c>
      <c r="BQ770" s="873" t="str">
        <f t="shared" si="49"/>
        <v/>
      </c>
      <c r="BR770" s="873" t="str">
        <f t="shared" si="50"/>
        <v/>
      </c>
      <c r="BS770" s="873" t="str">
        <f t="shared" si="51"/>
        <v/>
      </c>
      <c r="BT770" s="873" t="str">
        <f t="shared" si="52"/>
        <v/>
      </c>
      <c r="BU770" s="873" t="str">
        <f t="shared" si="53"/>
        <v/>
      </c>
      <c r="BV770" s="873" t="str">
        <f t="shared" si="54"/>
        <v/>
      </c>
      <c r="BW770" s="873" t="str">
        <f t="shared" si="55"/>
        <v/>
      </c>
      <c r="BX770" s="873" t="str">
        <f t="shared" si="56"/>
        <v/>
      </c>
      <c r="BY770" s="873" t="str">
        <f t="shared" si="57"/>
        <v/>
      </c>
      <c r="BZ770" s="873" t="str">
        <f t="shared" si="58"/>
        <v/>
      </c>
      <c r="CA770" s="873" t="str">
        <f t="shared" si="59"/>
        <v/>
      </c>
      <c r="CB770" s="873" t="str">
        <f t="shared" si="60"/>
        <v/>
      </c>
      <c r="CC770" s="873" t="str">
        <f t="shared" si="61"/>
        <v/>
      </c>
      <c r="CD770" s="873" t="str">
        <f t="shared" si="62"/>
        <v/>
      </c>
      <c r="CE770" s="873" t="str">
        <f t="shared" si="63"/>
        <v/>
      </c>
      <c r="CF770" s="873" t="str">
        <f t="shared" si="64"/>
        <v/>
      </c>
      <c r="CG770" s="873" t="str">
        <f t="shared" si="65"/>
        <v/>
      </c>
      <c r="CH770" s="873" t="str">
        <f t="shared" si="66"/>
        <v/>
      </c>
      <c r="CI770" s="873" t="str">
        <f t="shared" si="67"/>
        <v/>
      </c>
      <c r="CJ770" s="873" t="str">
        <f t="shared" si="68"/>
        <v/>
      </c>
      <c r="CK770" s="873" t="str">
        <f t="shared" si="69"/>
        <v/>
      </c>
      <c r="CL770" s="873" t="str">
        <f t="shared" si="70"/>
        <v/>
      </c>
      <c r="CM770" s="873" t="str">
        <f t="shared" si="71"/>
        <v/>
      </c>
      <c r="CN770" s="873" t="str">
        <f t="shared" si="72"/>
        <v/>
      </c>
      <c r="CO770" s="873" t="str">
        <f t="shared" si="73"/>
        <v/>
      </c>
      <c r="CP770" s="873" t="str">
        <f t="shared" si="74"/>
        <v/>
      </c>
      <c r="CQ770" s="873" t="str">
        <f t="shared" si="75"/>
        <v/>
      </c>
      <c r="CR770" s="873" t="str">
        <f t="shared" si="76"/>
        <v/>
      </c>
      <c r="CS770" s="873" t="str">
        <f t="shared" si="77"/>
        <v/>
      </c>
      <c r="CT770" s="873" t="str">
        <f t="shared" si="78"/>
        <v/>
      </c>
      <c r="CU770" s="873" t="str">
        <f t="shared" si="79"/>
        <v/>
      </c>
      <c r="CV770" s="873" t="str">
        <f t="shared" si="80"/>
        <v/>
      </c>
      <c r="CW770" s="873" t="str">
        <f t="shared" si="81"/>
        <v/>
      </c>
      <c r="CX770" s="873" t="str">
        <f t="shared" si="82"/>
        <v/>
      </c>
      <c r="CY770" s="873" t="str">
        <f t="shared" si="83"/>
        <v/>
      </c>
      <c r="CZ770" s="873" t="str">
        <f t="shared" si="84"/>
        <v/>
      </c>
      <c r="DA770" s="873" t="str">
        <f t="shared" si="85"/>
        <v/>
      </c>
      <c r="DB770" s="873" t="str">
        <f t="shared" si="86"/>
        <v/>
      </c>
      <c r="DC770" s="873" t="str">
        <f t="shared" si="87"/>
        <v/>
      </c>
      <c r="DD770" s="873" t="str">
        <f t="shared" si="88"/>
        <v/>
      </c>
      <c r="DE770" s="873" t="str">
        <f t="shared" si="89"/>
        <v/>
      </c>
      <c r="DF770" s="873" t="str">
        <f t="shared" si="90"/>
        <v/>
      </c>
      <c r="DG770" s="873" t="str">
        <f t="shared" si="91"/>
        <v/>
      </c>
      <c r="DH770" s="873" t="str">
        <f t="shared" si="92"/>
        <v/>
      </c>
      <c r="DI770" s="873" t="str">
        <f t="shared" si="93"/>
        <v/>
      </c>
      <c r="DJ770" s="873" t="str">
        <f t="shared" si="94"/>
        <v/>
      </c>
      <c r="DK770" s="873" t="str">
        <f t="shared" si="95"/>
        <v/>
      </c>
      <c r="DL770" s="873" t="str">
        <f t="shared" si="96"/>
        <v/>
      </c>
      <c r="DM770" s="873" t="str">
        <f t="shared" si="97"/>
        <v/>
      </c>
      <c r="DN770" s="873" t="str">
        <f t="shared" si="98"/>
        <v/>
      </c>
      <c r="DO770" s="873" t="str">
        <f t="shared" si="99"/>
        <v/>
      </c>
      <c r="DP770" s="873" t="str">
        <f t="shared" si="100"/>
        <v/>
      </c>
      <c r="DQ770" s="873" t="str">
        <f t="shared" si="101"/>
        <v/>
      </c>
      <c r="DR770" s="873" t="str">
        <f t="shared" si="102"/>
        <v/>
      </c>
      <c r="DS770" s="873" t="str">
        <f t="shared" si="103"/>
        <v/>
      </c>
      <c r="DT770" s="873" t="str">
        <f t="shared" si="104"/>
        <v/>
      </c>
      <c r="DU770" s="873" t="str">
        <f t="shared" si="105"/>
        <v/>
      </c>
      <c r="DV770" s="873" t="str">
        <f t="shared" si="106"/>
        <v/>
      </c>
      <c r="DW770" s="873" t="str">
        <f t="shared" si="107"/>
        <v/>
      </c>
      <c r="DX770" s="873" t="str">
        <f t="shared" si="108"/>
        <v/>
      </c>
      <c r="DY770" s="873" t="str">
        <f t="shared" si="109"/>
        <v/>
      </c>
      <c r="DZ770" s="873" t="str">
        <f t="shared" si="110"/>
        <v/>
      </c>
      <c r="EA770" s="873" t="str">
        <f t="shared" si="111"/>
        <v/>
      </c>
      <c r="EB770" s="873" t="str">
        <f t="shared" si="112"/>
        <v/>
      </c>
      <c r="EC770" s="873" t="str">
        <f t="shared" si="113"/>
        <v/>
      </c>
      <c r="ED770" s="873" t="str">
        <f t="shared" si="114"/>
        <v/>
      </c>
      <c r="EE770" s="873" t="str">
        <f t="shared" si="115"/>
        <v/>
      </c>
      <c r="EF770" s="873" t="str">
        <f t="shared" si="116"/>
        <v/>
      </c>
      <c r="EG770" s="873" t="str">
        <f t="shared" si="117"/>
        <v/>
      </c>
      <c r="EH770" s="873" t="str">
        <f t="shared" si="118"/>
        <v/>
      </c>
      <c r="EI770" s="873" t="str">
        <f t="shared" si="119"/>
        <v/>
      </c>
      <c r="EJ770" s="873" t="str">
        <f t="shared" si="120"/>
        <v/>
      </c>
      <c r="EK770" s="873" t="str">
        <f t="shared" si="121"/>
        <v/>
      </c>
      <c r="EL770" s="873" t="str">
        <f t="shared" si="122"/>
        <v/>
      </c>
      <c r="EM770" s="873" t="str">
        <f t="shared" si="123"/>
        <v/>
      </c>
      <c r="EN770" s="873" t="str">
        <f t="shared" si="124"/>
        <v/>
      </c>
      <c r="EO770" s="873" t="str">
        <f t="shared" si="125"/>
        <v/>
      </c>
      <c r="EP770" s="873" t="str">
        <f t="shared" si="126"/>
        <v/>
      </c>
      <c r="EQ770" s="873" t="str">
        <f t="shared" si="127"/>
        <v/>
      </c>
      <c r="ER770" s="873" t="str">
        <f t="shared" si="128"/>
        <v/>
      </c>
      <c r="ES770" s="873" t="str">
        <f t="shared" si="129"/>
        <v/>
      </c>
      <c r="ET770" s="873" t="str">
        <f t="shared" si="130"/>
        <v/>
      </c>
      <c r="EU770" s="873" t="str">
        <f t="shared" si="131"/>
        <v/>
      </c>
      <c r="EV770" s="873" t="str">
        <f t="shared" si="132"/>
        <v/>
      </c>
      <c r="EW770" s="2288" t="str">
        <f t="shared" si="133"/>
        <v/>
      </c>
      <c r="EX770" s="2288" t="str">
        <f t="shared" si="134"/>
        <v/>
      </c>
      <c r="EY770" s="2288" t="str">
        <f t="shared" si="135"/>
        <v/>
      </c>
      <c r="EZ770" s="2288" t="str">
        <f t="shared" si="136"/>
        <v/>
      </c>
      <c r="FA770" s="2288" t="str">
        <f t="shared" si="137"/>
        <v/>
      </c>
      <c r="FB770" s="2288" t="str">
        <f t="shared" si="138"/>
        <v/>
      </c>
      <c r="FC770" s="2288" t="str">
        <f t="shared" si="139"/>
        <v/>
      </c>
      <c r="FD770" s="2288" t="str">
        <f t="shared" si="140"/>
        <v/>
      </c>
      <c r="FE770" s="2288" t="str">
        <f t="shared" si="141"/>
        <v/>
      </c>
      <c r="FF770" s="2288" t="str">
        <f t="shared" si="142"/>
        <v/>
      </c>
      <c r="FG770" s="2288" t="str">
        <f t="shared" si="143"/>
        <v/>
      </c>
      <c r="FH770" s="2288" t="str">
        <f t="shared" si="144"/>
        <v/>
      </c>
      <c r="FI770" s="2288" t="str">
        <f t="shared" si="145"/>
        <v/>
      </c>
      <c r="FJ770" s="2288" t="str">
        <f t="shared" si="146"/>
        <v/>
      </c>
      <c r="FK770" s="2288" t="str">
        <f t="shared" si="147"/>
        <v/>
      </c>
      <c r="FL770" s="2288" t="str">
        <f t="shared" si="148"/>
        <v/>
      </c>
      <c r="FM770" s="2288" t="str">
        <f t="shared" si="149"/>
        <v/>
      </c>
      <c r="FN770" s="2288" t="str">
        <f t="shared" si="150"/>
        <v/>
      </c>
      <c r="FO770" s="2288" t="str">
        <f t="shared" si="151"/>
        <v/>
      </c>
      <c r="FP770" s="2288" t="str">
        <f t="shared" si="152"/>
        <v/>
      </c>
      <c r="FQ770" s="2288" t="str">
        <f t="shared" si="153"/>
        <v/>
      </c>
      <c r="FR770" s="2288" t="str">
        <f t="shared" si="154"/>
        <v/>
      </c>
      <c r="FS770" s="2288" t="str">
        <f t="shared" si="155"/>
        <v/>
      </c>
      <c r="FT770" s="2288" t="str">
        <f t="shared" si="156"/>
        <v/>
      </c>
      <c r="FU770" s="2288" t="str">
        <f t="shared" si="157"/>
        <v/>
      </c>
      <c r="FV770" s="2288" t="str">
        <f t="shared" si="158"/>
        <v/>
      </c>
      <c r="FW770" s="2288" t="str">
        <f t="shared" si="159"/>
        <v/>
      </c>
      <c r="FX770" s="2288" t="str">
        <f t="shared" si="160"/>
        <v/>
      </c>
      <c r="FY770" s="2288" t="str">
        <f t="shared" si="161"/>
        <v/>
      </c>
      <c r="FZ770" s="2288" t="str">
        <f t="shared" si="162"/>
        <v/>
      </c>
      <c r="GA770" s="2288" t="str">
        <f t="shared" si="163"/>
        <v/>
      </c>
      <c r="GB770" s="2288" t="str">
        <f t="shared" si="164"/>
        <v/>
      </c>
      <c r="GC770" s="2288" t="str">
        <f t="shared" si="165"/>
        <v/>
      </c>
      <c r="GD770" s="2288" t="str">
        <f t="shared" si="166"/>
        <v/>
      </c>
      <c r="GE770" s="2288" t="str">
        <f t="shared" si="167"/>
        <v/>
      </c>
      <c r="GF770" s="2288" t="str">
        <f t="shared" si="168"/>
        <v/>
      </c>
      <c r="GG770" s="2288" t="str">
        <f t="shared" si="169"/>
        <v/>
      </c>
      <c r="GH770" s="2288" t="str">
        <f t="shared" si="170"/>
        <v/>
      </c>
      <c r="GI770" s="2288" t="str">
        <f t="shared" si="171"/>
        <v/>
      </c>
      <c r="GJ770" s="2288" t="str">
        <f t="shared" si="172"/>
        <v/>
      </c>
      <c r="GK770" s="2288" t="str">
        <f t="shared" si="173"/>
        <v/>
      </c>
      <c r="GL770" s="2288" t="str">
        <f t="shared" si="174"/>
        <v/>
      </c>
      <c r="GM770" s="2288" t="str">
        <f t="shared" si="175"/>
        <v/>
      </c>
      <c r="GN770" s="2288" t="str">
        <f t="shared" si="176"/>
        <v/>
      </c>
      <c r="GO770" s="2288" t="str">
        <f t="shared" si="177"/>
        <v/>
      </c>
      <c r="GP770" s="2288" t="str">
        <f t="shared" si="178"/>
        <v/>
      </c>
      <c r="GQ770" s="2288" t="str">
        <f t="shared" si="179"/>
        <v/>
      </c>
      <c r="GR770" s="2288" t="str">
        <f t="shared" si="180"/>
        <v/>
      </c>
      <c r="GS770" s="2288" t="str">
        <f t="shared" si="181"/>
        <v/>
      </c>
      <c r="GT770" s="2288" t="str">
        <f t="shared" si="182"/>
        <v/>
      </c>
      <c r="GU770" s="2288" t="str">
        <f t="shared" si="183"/>
        <v/>
      </c>
      <c r="GV770" s="2288" t="str">
        <f t="shared" si="184"/>
        <v/>
      </c>
      <c r="GW770" s="2288" t="str">
        <f t="shared" si="185"/>
        <v/>
      </c>
      <c r="GX770" s="2288" t="str">
        <f t="shared" si="186"/>
        <v/>
      </c>
      <c r="GY770" s="2288" t="str">
        <f t="shared" si="187"/>
        <v/>
      </c>
      <c r="GZ770" s="2288" t="str">
        <f t="shared" si="188"/>
        <v/>
      </c>
      <c r="HA770" s="2288" t="str">
        <f t="shared" si="189"/>
        <v/>
      </c>
      <c r="HB770" s="2288" t="str">
        <f t="shared" si="190"/>
        <v/>
      </c>
      <c r="HC770" s="2288" t="str">
        <f t="shared" si="191"/>
        <v/>
      </c>
      <c r="HD770" s="2288" t="str">
        <f t="shared" si="192"/>
        <v/>
      </c>
      <c r="HE770" s="2288" t="str">
        <f t="shared" si="193"/>
        <v/>
      </c>
      <c r="HF770" s="2288" t="str">
        <f t="shared" si="194"/>
        <v/>
      </c>
      <c r="HG770" s="2288" t="str">
        <f t="shared" si="195"/>
        <v/>
      </c>
      <c r="HH770" s="2288" t="str">
        <f t="shared" si="196"/>
        <v/>
      </c>
      <c r="HI770" s="2288" t="str">
        <f t="shared" si="197"/>
        <v/>
      </c>
      <c r="HJ770" s="2288" t="str">
        <f t="shared" si="198"/>
        <v/>
      </c>
      <c r="HK770" s="2288" t="str">
        <f t="shared" si="199"/>
        <v/>
      </c>
      <c r="HL770" s="2288" t="str">
        <f t="shared" si="200"/>
        <v/>
      </c>
      <c r="HM770" s="2288" t="str">
        <f t="shared" si="201"/>
        <v/>
      </c>
      <c r="HN770" s="2288" t="str">
        <f t="shared" si="202"/>
        <v/>
      </c>
      <c r="HO770" s="2288" t="str">
        <f t="shared" si="203"/>
        <v/>
      </c>
      <c r="HP770" s="2288" t="str">
        <f t="shared" si="204"/>
        <v/>
      </c>
      <c r="HQ770" s="2288" t="str">
        <f t="shared" si="205"/>
        <v/>
      </c>
      <c r="HR770" s="2288" t="str">
        <f t="shared" si="206"/>
        <v/>
      </c>
      <c r="HS770" s="2288" t="str">
        <f t="shared" si="207"/>
        <v/>
      </c>
      <c r="HT770" s="2288" t="str">
        <f t="shared" si="208"/>
        <v/>
      </c>
      <c r="HU770" s="2288" t="str">
        <f t="shared" si="209"/>
        <v/>
      </c>
      <c r="HV770" s="2288" t="str">
        <f t="shared" si="210"/>
        <v/>
      </c>
      <c r="HW770" s="2288" t="str">
        <f t="shared" si="211"/>
        <v/>
      </c>
      <c r="HX770" s="2288" t="str">
        <f t="shared" si="212"/>
        <v/>
      </c>
      <c r="HY770" s="2288" t="str">
        <f t="shared" si="213"/>
        <v/>
      </c>
      <c r="HZ770" s="2288" t="str">
        <f t="shared" si="214"/>
        <v/>
      </c>
      <c r="IA770" s="2288" t="str">
        <f t="shared" si="215"/>
        <v/>
      </c>
      <c r="IB770" s="2288" t="str">
        <f t="shared" si="216"/>
        <v/>
      </c>
      <c r="IC770" s="2288" t="str">
        <f t="shared" si="217"/>
        <v/>
      </c>
      <c r="ID770" s="2255" t="str">
        <f t="shared" si="218"/>
        <v/>
      </c>
      <c r="IE770" s="2255" t="str">
        <f t="shared" si="219"/>
        <v/>
      </c>
      <c r="IF770" s="2255" t="str">
        <f t="shared" si="220"/>
        <v/>
      </c>
      <c r="IG770" s="2255" t="str">
        <f t="shared" si="221"/>
        <v/>
      </c>
      <c r="IH770" s="2255" t="str">
        <f t="shared" si="222"/>
        <v/>
      </c>
      <c r="II770" s="873" t="str">
        <f t="shared" si="223"/>
        <v/>
      </c>
      <c r="IJ770" s="873" t="str">
        <f t="shared" si="224"/>
        <v/>
      </c>
      <c r="IK770" s="873" t="str">
        <f t="shared" si="225"/>
        <v/>
      </c>
      <c r="IL770" s="873" t="str">
        <f t="shared" si="226"/>
        <v/>
      </c>
      <c r="IM770" s="873" t="str">
        <f t="shared" si="227"/>
        <v/>
      </c>
      <c r="IN770" s="873" t="str">
        <f t="shared" si="228"/>
        <v/>
      </c>
      <c r="IO770" s="873" t="str">
        <f t="shared" si="229"/>
        <v/>
      </c>
      <c r="IP770" s="873" t="str">
        <f t="shared" si="230"/>
        <v/>
      </c>
      <c r="IQ770" s="873" t="str">
        <f t="shared" si="231"/>
        <v/>
      </c>
      <c r="IR770" s="873" t="str">
        <f t="shared" si="232"/>
        <v/>
      </c>
      <c r="IS770" s="873" t="str">
        <f t="shared" si="233"/>
        <v/>
      </c>
      <c r="IT770" s="873" t="str">
        <f t="shared" si="234"/>
        <v/>
      </c>
      <c r="IU770" s="873" t="str">
        <f t="shared" si="235"/>
        <v/>
      </c>
      <c r="IV770" s="873" t="str">
        <f t="shared" si="236"/>
        <v/>
      </c>
      <c r="IW770" s="873" t="str">
        <f t="shared" si="237"/>
        <v/>
      </c>
      <c r="IX770" s="873" t="str">
        <f t="shared" si="238"/>
        <v/>
      </c>
      <c r="IY770" s="873" t="str">
        <f t="shared" si="239"/>
        <v/>
      </c>
      <c r="IZ770" s="873" t="str">
        <f t="shared" si="240"/>
        <v/>
      </c>
      <c r="JA770" s="873" t="str">
        <f t="shared" si="241"/>
        <v/>
      </c>
      <c r="JB770" s="873" t="str">
        <f t="shared" si="242"/>
        <v/>
      </c>
      <c r="JC770" s="2253">
        <f t="shared" si="243"/>
        <v>0</v>
      </c>
      <c r="JD770" s="2253">
        <f t="shared" si="244"/>
        <v>0</v>
      </c>
      <c r="JE770" s="2253">
        <f t="shared" si="245"/>
        <v>0</v>
      </c>
      <c r="JF770" s="2253">
        <f t="shared" si="246"/>
        <v>0</v>
      </c>
      <c r="JG770" s="2253">
        <f t="shared" si="247"/>
        <v>0</v>
      </c>
      <c r="JH770" s="2253">
        <f t="shared" si="248"/>
        <v>0</v>
      </c>
      <c r="JI770" s="2253">
        <f t="shared" si="249"/>
        <v>0</v>
      </c>
      <c r="JJ770" s="2253">
        <f t="shared" si="250"/>
        <v>0</v>
      </c>
      <c r="JK770" s="2253">
        <f t="shared" si="251"/>
        <v>0</v>
      </c>
      <c r="JL770" s="2253">
        <f t="shared" si="252"/>
        <v>0</v>
      </c>
      <c r="JM770" s="2253">
        <f t="shared" si="253"/>
        <v>0</v>
      </c>
      <c r="JN770" s="2253">
        <f t="shared" si="254"/>
        <v>0</v>
      </c>
      <c r="JO770" s="2253">
        <f t="shared" si="255"/>
        <v>0</v>
      </c>
      <c r="JP770" s="2253">
        <f t="shared" si="256"/>
        <v>0</v>
      </c>
      <c r="JQ770" s="2253">
        <f t="shared" si="257"/>
        <v>0</v>
      </c>
    </row>
    <row r="771" spans="1:277" ht="12" customHeight="1">
      <c r="A771" s="2258" t="str">
        <f t="shared" si="0"/>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1"/>
        <v>0</v>
      </c>
      <c r="L771" s="2284">
        <f t="shared" si="2"/>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3" t="str">
        <f t="shared" si="3"/>
        <v/>
      </c>
      <c r="X771" s="873" t="str">
        <f t="shared" si="4"/>
        <v/>
      </c>
      <c r="Y771" s="873" t="str">
        <f t="shared" si="5"/>
        <v/>
      </c>
      <c r="Z771" s="873" t="str">
        <f t="shared" si="6"/>
        <v/>
      </c>
      <c r="AA771" s="873" t="str">
        <f t="shared" si="7"/>
        <v/>
      </c>
      <c r="AB771" s="873" t="str">
        <f t="shared" si="8"/>
        <v/>
      </c>
      <c r="AC771" s="873" t="str">
        <f t="shared" si="9"/>
        <v/>
      </c>
      <c r="AD771" s="873" t="str">
        <f t="shared" si="10"/>
        <v/>
      </c>
      <c r="AE771" s="873" t="str">
        <f t="shared" si="11"/>
        <v/>
      </c>
      <c r="AF771" s="873" t="str">
        <f t="shared" si="12"/>
        <v/>
      </c>
      <c r="AG771" s="873" t="str">
        <f t="shared" si="13"/>
        <v/>
      </c>
      <c r="AH771" s="873" t="str">
        <f t="shared" si="14"/>
        <v/>
      </c>
      <c r="AI771" s="873" t="str">
        <f t="shared" si="15"/>
        <v/>
      </c>
      <c r="AJ771" s="873" t="str">
        <f t="shared" si="16"/>
        <v/>
      </c>
      <c r="AK771" s="873" t="str">
        <f t="shared" si="17"/>
        <v/>
      </c>
      <c r="AL771" s="873" t="str">
        <f t="shared" si="18"/>
        <v/>
      </c>
      <c r="AM771" s="873" t="str">
        <f t="shared" si="19"/>
        <v/>
      </c>
      <c r="AN771" s="873" t="str">
        <f t="shared" si="20"/>
        <v/>
      </c>
      <c r="AO771" s="873" t="str">
        <f t="shared" si="21"/>
        <v/>
      </c>
      <c r="AP771" s="873" t="str">
        <f t="shared" si="22"/>
        <v/>
      </c>
      <c r="AQ771" s="873" t="str">
        <f t="shared" si="23"/>
        <v/>
      </c>
      <c r="AR771" s="873" t="str">
        <f t="shared" si="24"/>
        <v/>
      </c>
      <c r="AS771" s="873" t="str">
        <f t="shared" si="25"/>
        <v/>
      </c>
      <c r="AT771" s="873" t="str">
        <f t="shared" si="26"/>
        <v/>
      </c>
      <c r="AU771" s="873" t="str">
        <f t="shared" si="27"/>
        <v/>
      </c>
      <c r="AV771" s="873" t="str">
        <f t="shared" si="28"/>
        <v/>
      </c>
      <c r="AW771" s="873" t="str">
        <f t="shared" si="29"/>
        <v/>
      </c>
      <c r="AX771" s="873" t="str">
        <f t="shared" si="30"/>
        <v/>
      </c>
      <c r="AY771" s="873" t="str">
        <f t="shared" si="31"/>
        <v/>
      </c>
      <c r="AZ771" s="873" t="str">
        <f t="shared" si="32"/>
        <v/>
      </c>
      <c r="BA771" s="873" t="str">
        <f t="shared" si="33"/>
        <v/>
      </c>
      <c r="BB771" s="873" t="str">
        <f t="shared" si="34"/>
        <v/>
      </c>
      <c r="BC771" s="873" t="str">
        <f t="shared" si="35"/>
        <v/>
      </c>
      <c r="BD771" s="873" t="str">
        <f t="shared" si="36"/>
        <v/>
      </c>
      <c r="BE771" s="873" t="str">
        <f t="shared" si="37"/>
        <v/>
      </c>
      <c r="BF771" s="873" t="str">
        <f t="shared" si="38"/>
        <v/>
      </c>
      <c r="BG771" s="873" t="str">
        <f t="shared" si="39"/>
        <v/>
      </c>
      <c r="BH771" s="873" t="str">
        <f t="shared" si="40"/>
        <v/>
      </c>
      <c r="BI771" s="873" t="str">
        <f t="shared" si="41"/>
        <v/>
      </c>
      <c r="BJ771" s="873" t="str">
        <f t="shared" si="42"/>
        <v/>
      </c>
      <c r="BK771" s="873" t="str">
        <f t="shared" si="43"/>
        <v/>
      </c>
      <c r="BL771" s="873" t="str">
        <f t="shared" si="44"/>
        <v/>
      </c>
      <c r="BM771" s="873" t="str">
        <f t="shared" si="45"/>
        <v/>
      </c>
      <c r="BN771" s="873" t="str">
        <f t="shared" si="46"/>
        <v/>
      </c>
      <c r="BO771" s="873" t="str">
        <f t="shared" si="47"/>
        <v/>
      </c>
      <c r="BP771" s="873" t="str">
        <f t="shared" si="48"/>
        <v/>
      </c>
      <c r="BQ771" s="873" t="str">
        <f t="shared" si="49"/>
        <v/>
      </c>
      <c r="BR771" s="873" t="str">
        <f t="shared" si="50"/>
        <v/>
      </c>
      <c r="BS771" s="873" t="str">
        <f t="shared" si="51"/>
        <v/>
      </c>
      <c r="BT771" s="873" t="str">
        <f t="shared" si="52"/>
        <v/>
      </c>
      <c r="BU771" s="873" t="str">
        <f t="shared" si="53"/>
        <v/>
      </c>
      <c r="BV771" s="873" t="str">
        <f t="shared" si="54"/>
        <v/>
      </c>
      <c r="BW771" s="873" t="str">
        <f t="shared" si="55"/>
        <v/>
      </c>
      <c r="BX771" s="873" t="str">
        <f t="shared" si="56"/>
        <v/>
      </c>
      <c r="BY771" s="873" t="str">
        <f t="shared" si="57"/>
        <v/>
      </c>
      <c r="BZ771" s="873" t="str">
        <f t="shared" si="58"/>
        <v/>
      </c>
      <c r="CA771" s="873" t="str">
        <f t="shared" si="59"/>
        <v/>
      </c>
      <c r="CB771" s="873" t="str">
        <f t="shared" si="60"/>
        <v/>
      </c>
      <c r="CC771" s="873" t="str">
        <f t="shared" si="61"/>
        <v/>
      </c>
      <c r="CD771" s="873" t="str">
        <f t="shared" si="62"/>
        <v/>
      </c>
      <c r="CE771" s="873" t="str">
        <f t="shared" si="63"/>
        <v/>
      </c>
      <c r="CF771" s="873" t="str">
        <f t="shared" si="64"/>
        <v/>
      </c>
      <c r="CG771" s="873" t="str">
        <f t="shared" si="65"/>
        <v/>
      </c>
      <c r="CH771" s="873" t="str">
        <f t="shared" si="66"/>
        <v/>
      </c>
      <c r="CI771" s="873" t="str">
        <f t="shared" si="67"/>
        <v/>
      </c>
      <c r="CJ771" s="873" t="str">
        <f t="shared" si="68"/>
        <v/>
      </c>
      <c r="CK771" s="873" t="str">
        <f t="shared" si="69"/>
        <v/>
      </c>
      <c r="CL771" s="873" t="str">
        <f t="shared" si="70"/>
        <v/>
      </c>
      <c r="CM771" s="873" t="str">
        <f t="shared" si="71"/>
        <v/>
      </c>
      <c r="CN771" s="873" t="str">
        <f t="shared" si="72"/>
        <v/>
      </c>
      <c r="CO771" s="873" t="str">
        <f t="shared" si="73"/>
        <v/>
      </c>
      <c r="CP771" s="873" t="str">
        <f t="shared" si="74"/>
        <v/>
      </c>
      <c r="CQ771" s="873" t="str">
        <f t="shared" si="75"/>
        <v/>
      </c>
      <c r="CR771" s="873" t="str">
        <f t="shared" si="76"/>
        <v/>
      </c>
      <c r="CS771" s="873" t="str">
        <f t="shared" si="77"/>
        <v/>
      </c>
      <c r="CT771" s="873" t="str">
        <f t="shared" si="78"/>
        <v/>
      </c>
      <c r="CU771" s="873" t="str">
        <f t="shared" si="79"/>
        <v/>
      </c>
      <c r="CV771" s="873" t="str">
        <f t="shared" si="80"/>
        <v/>
      </c>
      <c r="CW771" s="873" t="str">
        <f t="shared" si="81"/>
        <v/>
      </c>
      <c r="CX771" s="873" t="str">
        <f t="shared" si="82"/>
        <v/>
      </c>
      <c r="CY771" s="873" t="str">
        <f t="shared" si="83"/>
        <v/>
      </c>
      <c r="CZ771" s="873" t="str">
        <f t="shared" si="84"/>
        <v/>
      </c>
      <c r="DA771" s="873" t="str">
        <f t="shared" si="85"/>
        <v/>
      </c>
      <c r="DB771" s="873" t="str">
        <f t="shared" si="86"/>
        <v/>
      </c>
      <c r="DC771" s="873" t="str">
        <f t="shared" si="87"/>
        <v/>
      </c>
      <c r="DD771" s="873" t="str">
        <f t="shared" si="88"/>
        <v/>
      </c>
      <c r="DE771" s="873" t="str">
        <f t="shared" si="89"/>
        <v/>
      </c>
      <c r="DF771" s="873" t="str">
        <f t="shared" si="90"/>
        <v/>
      </c>
      <c r="DG771" s="873" t="str">
        <f t="shared" si="91"/>
        <v/>
      </c>
      <c r="DH771" s="873" t="str">
        <f t="shared" si="92"/>
        <v/>
      </c>
      <c r="DI771" s="873" t="str">
        <f t="shared" si="93"/>
        <v/>
      </c>
      <c r="DJ771" s="873" t="str">
        <f t="shared" si="94"/>
        <v/>
      </c>
      <c r="DK771" s="873" t="str">
        <f t="shared" si="95"/>
        <v/>
      </c>
      <c r="DL771" s="873" t="str">
        <f t="shared" si="96"/>
        <v/>
      </c>
      <c r="DM771" s="873" t="str">
        <f t="shared" si="97"/>
        <v/>
      </c>
      <c r="DN771" s="873" t="str">
        <f t="shared" si="98"/>
        <v/>
      </c>
      <c r="DO771" s="873" t="str">
        <f t="shared" si="99"/>
        <v/>
      </c>
      <c r="DP771" s="873" t="str">
        <f t="shared" si="100"/>
        <v/>
      </c>
      <c r="DQ771" s="873" t="str">
        <f t="shared" si="101"/>
        <v/>
      </c>
      <c r="DR771" s="873" t="str">
        <f t="shared" si="102"/>
        <v/>
      </c>
      <c r="DS771" s="873" t="str">
        <f t="shared" si="103"/>
        <v/>
      </c>
      <c r="DT771" s="873" t="str">
        <f t="shared" si="104"/>
        <v/>
      </c>
      <c r="DU771" s="873" t="str">
        <f t="shared" si="105"/>
        <v/>
      </c>
      <c r="DV771" s="873" t="str">
        <f t="shared" si="106"/>
        <v/>
      </c>
      <c r="DW771" s="873" t="str">
        <f t="shared" si="107"/>
        <v/>
      </c>
      <c r="DX771" s="873" t="str">
        <f t="shared" si="108"/>
        <v/>
      </c>
      <c r="DY771" s="873" t="str">
        <f t="shared" si="109"/>
        <v/>
      </c>
      <c r="DZ771" s="873" t="str">
        <f t="shared" si="110"/>
        <v/>
      </c>
      <c r="EA771" s="873" t="str">
        <f t="shared" si="111"/>
        <v/>
      </c>
      <c r="EB771" s="873" t="str">
        <f t="shared" si="112"/>
        <v/>
      </c>
      <c r="EC771" s="873" t="str">
        <f t="shared" si="113"/>
        <v/>
      </c>
      <c r="ED771" s="873" t="str">
        <f t="shared" si="114"/>
        <v/>
      </c>
      <c r="EE771" s="873" t="str">
        <f t="shared" si="115"/>
        <v/>
      </c>
      <c r="EF771" s="873" t="str">
        <f t="shared" si="116"/>
        <v/>
      </c>
      <c r="EG771" s="873" t="str">
        <f t="shared" si="117"/>
        <v/>
      </c>
      <c r="EH771" s="873" t="str">
        <f t="shared" si="118"/>
        <v/>
      </c>
      <c r="EI771" s="873" t="str">
        <f t="shared" si="119"/>
        <v/>
      </c>
      <c r="EJ771" s="873" t="str">
        <f t="shared" si="120"/>
        <v/>
      </c>
      <c r="EK771" s="873" t="str">
        <f t="shared" si="121"/>
        <v/>
      </c>
      <c r="EL771" s="873" t="str">
        <f t="shared" si="122"/>
        <v/>
      </c>
      <c r="EM771" s="873" t="str">
        <f t="shared" si="123"/>
        <v/>
      </c>
      <c r="EN771" s="873" t="str">
        <f t="shared" si="124"/>
        <v/>
      </c>
      <c r="EO771" s="873" t="str">
        <f t="shared" si="125"/>
        <v/>
      </c>
      <c r="EP771" s="873" t="str">
        <f t="shared" si="126"/>
        <v/>
      </c>
      <c r="EQ771" s="873" t="str">
        <f t="shared" si="127"/>
        <v/>
      </c>
      <c r="ER771" s="873" t="str">
        <f t="shared" si="128"/>
        <v/>
      </c>
      <c r="ES771" s="873" t="str">
        <f t="shared" si="129"/>
        <v/>
      </c>
      <c r="ET771" s="873" t="str">
        <f t="shared" si="130"/>
        <v/>
      </c>
      <c r="EU771" s="873" t="str">
        <f t="shared" si="131"/>
        <v/>
      </c>
      <c r="EV771" s="873" t="str">
        <f t="shared" si="132"/>
        <v/>
      </c>
      <c r="EW771" s="2288" t="str">
        <f t="shared" si="133"/>
        <v/>
      </c>
      <c r="EX771" s="2288" t="str">
        <f t="shared" si="134"/>
        <v/>
      </c>
      <c r="EY771" s="2288" t="str">
        <f t="shared" si="135"/>
        <v/>
      </c>
      <c r="EZ771" s="2288" t="str">
        <f t="shared" si="136"/>
        <v/>
      </c>
      <c r="FA771" s="2288" t="str">
        <f t="shared" si="137"/>
        <v/>
      </c>
      <c r="FB771" s="2288" t="str">
        <f t="shared" si="138"/>
        <v/>
      </c>
      <c r="FC771" s="2288" t="str">
        <f t="shared" si="139"/>
        <v/>
      </c>
      <c r="FD771" s="2288" t="str">
        <f t="shared" si="140"/>
        <v/>
      </c>
      <c r="FE771" s="2288" t="str">
        <f t="shared" si="141"/>
        <v/>
      </c>
      <c r="FF771" s="2288" t="str">
        <f t="shared" si="142"/>
        <v/>
      </c>
      <c r="FG771" s="2288" t="str">
        <f t="shared" si="143"/>
        <v/>
      </c>
      <c r="FH771" s="2288" t="str">
        <f t="shared" si="144"/>
        <v/>
      </c>
      <c r="FI771" s="2288" t="str">
        <f t="shared" si="145"/>
        <v/>
      </c>
      <c r="FJ771" s="2288" t="str">
        <f t="shared" si="146"/>
        <v/>
      </c>
      <c r="FK771" s="2288" t="str">
        <f t="shared" si="147"/>
        <v/>
      </c>
      <c r="FL771" s="2288" t="str">
        <f t="shared" si="148"/>
        <v/>
      </c>
      <c r="FM771" s="2288" t="str">
        <f t="shared" si="149"/>
        <v/>
      </c>
      <c r="FN771" s="2288" t="str">
        <f t="shared" si="150"/>
        <v/>
      </c>
      <c r="FO771" s="2288" t="str">
        <f t="shared" si="151"/>
        <v/>
      </c>
      <c r="FP771" s="2288" t="str">
        <f t="shared" si="152"/>
        <v/>
      </c>
      <c r="FQ771" s="2288" t="str">
        <f t="shared" si="153"/>
        <v/>
      </c>
      <c r="FR771" s="2288" t="str">
        <f t="shared" si="154"/>
        <v/>
      </c>
      <c r="FS771" s="2288" t="str">
        <f t="shared" si="155"/>
        <v/>
      </c>
      <c r="FT771" s="2288" t="str">
        <f t="shared" si="156"/>
        <v/>
      </c>
      <c r="FU771" s="2288" t="str">
        <f t="shared" si="157"/>
        <v/>
      </c>
      <c r="FV771" s="2288" t="str">
        <f t="shared" si="158"/>
        <v/>
      </c>
      <c r="FW771" s="2288" t="str">
        <f t="shared" si="159"/>
        <v/>
      </c>
      <c r="FX771" s="2288" t="str">
        <f t="shared" si="160"/>
        <v/>
      </c>
      <c r="FY771" s="2288" t="str">
        <f t="shared" si="161"/>
        <v/>
      </c>
      <c r="FZ771" s="2288" t="str">
        <f t="shared" si="162"/>
        <v/>
      </c>
      <c r="GA771" s="2288" t="str">
        <f t="shared" si="163"/>
        <v/>
      </c>
      <c r="GB771" s="2288" t="str">
        <f t="shared" si="164"/>
        <v/>
      </c>
      <c r="GC771" s="2288" t="str">
        <f t="shared" si="165"/>
        <v/>
      </c>
      <c r="GD771" s="2288" t="str">
        <f t="shared" si="166"/>
        <v/>
      </c>
      <c r="GE771" s="2288" t="str">
        <f t="shared" si="167"/>
        <v/>
      </c>
      <c r="GF771" s="2288" t="str">
        <f t="shared" si="168"/>
        <v/>
      </c>
      <c r="GG771" s="2288" t="str">
        <f t="shared" si="169"/>
        <v/>
      </c>
      <c r="GH771" s="2288" t="str">
        <f t="shared" si="170"/>
        <v/>
      </c>
      <c r="GI771" s="2288" t="str">
        <f t="shared" si="171"/>
        <v/>
      </c>
      <c r="GJ771" s="2288" t="str">
        <f t="shared" si="172"/>
        <v/>
      </c>
      <c r="GK771" s="2288" t="str">
        <f t="shared" si="173"/>
        <v/>
      </c>
      <c r="GL771" s="2288" t="str">
        <f t="shared" si="174"/>
        <v/>
      </c>
      <c r="GM771" s="2288" t="str">
        <f t="shared" si="175"/>
        <v/>
      </c>
      <c r="GN771" s="2288" t="str">
        <f t="shared" si="176"/>
        <v/>
      </c>
      <c r="GO771" s="2288" t="str">
        <f t="shared" si="177"/>
        <v/>
      </c>
      <c r="GP771" s="2288" t="str">
        <f t="shared" si="178"/>
        <v/>
      </c>
      <c r="GQ771" s="2288" t="str">
        <f t="shared" si="179"/>
        <v/>
      </c>
      <c r="GR771" s="2288" t="str">
        <f t="shared" si="180"/>
        <v/>
      </c>
      <c r="GS771" s="2288" t="str">
        <f t="shared" si="181"/>
        <v/>
      </c>
      <c r="GT771" s="2288" t="str">
        <f t="shared" si="182"/>
        <v/>
      </c>
      <c r="GU771" s="2288" t="str">
        <f t="shared" si="183"/>
        <v/>
      </c>
      <c r="GV771" s="2288" t="str">
        <f t="shared" si="184"/>
        <v/>
      </c>
      <c r="GW771" s="2288" t="str">
        <f t="shared" si="185"/>
        <v/>
      </c>
      <c r="GX771" s="2288" t="str">
        <f t="shared" si="186"/>
        <v/>
      </c>
      <c r="GY771" s="2288" t="str">
        <f t="shared" si="187"/>
        <v/>
      </c>
      <c r="GZ771" s="2288" t="str">
        <f t="shared" si="188"/>
        <v/>
      </c>
      <c r="HA771" s="2288" t="str">
        <f t="shared" si="189"/>
        <v/>
      </c>
      <c r="HB771" s="2288" t="str">
        <f t="shared" si="190"/>
        <v/>
      </c>
      <c r="HC771" s="2288" t="str">
        <f t="shared" si="191"/>
        <v/>
      </c>
      <c r="HD771" s="2288" t="str">
        <f t="shared" si="192"/>
        <v/>
      </c>
      <c r="HE771" s="2288" t="str">
        <f t="shared" si="193"/>
        <v/>
      </c>
      <c r="HF771" s="2288" t="str">
        <f t="shared" si="194"/>
        <v/>
      </c>
      <c r="HG771" s="2288" t="str">
        <f t="shared" si="195"/>
        <v/>
      </c>
      <c r="HH771" s="2288" t="str">
        <f t="shared" si="196"/>
        <v/>
      </c>
      <c r="HI771" s="2288" t="str">
        <f t="shared" si="197"/>
        <v/>
      </c>
      <c r="HJ771" s="2288" t="str">
        <f t="shared" si="198"/>
        <v/>
      </c>
      <c r="HK771" s="2288" t="str">
        <f t="shared" si="199"/>
        <v/>
      </c>
      <c r="HL771" s="2288" t="str">
        <f t="shared" si="200"/>
        <v/>
      </c>
      <c r="HM771" s="2288" t="str">
        <f t="shared" si="201"/>
        <v/>
      </c>
      <c r="HN771" s="2288" t="str">
        <f t="shared" si="202"/>
        <v/>
      </c>
      <c r="HO771" s="2288" t="str">
        <f t="shared" si="203"/>
        <v/>
      </c>
      <c r="HP771" s="2288" t="str">
        <f t="shared" si="204"/>
        <v/>
      </c>
      <c r="HQ771" s="2288" t="str">
        <f t="shared" si="205"/>
        <v/>
      </c>
      <c r="HR771" s="2288" t="str">
        <f t="shared" si="206"/>
        <v/>
      </c>
      <c r="HS771" s="2288" t="str">
        <f t="shared" si="207"/>
        <v/>
      </c>
      <c r="HT771" s="2288" t="str">
        <f t="shared" si="208"/>
        <v/>
      </c>
      <c r="HU771" s="2288" t="str">
        <f t="shared" si="209"/>
        <v/>
      </c>
      <c r="HV771" s="2288" t="str">
        <f t="shared" si="210"/>
        <v/>
      </c>
      <c r="HW771" s="2288" t="str">
        <f t="shared" si="211"/>
        <v/>
      </c>
      <c r="HX771" s="2288" t="str">
        <f t="shared" si="212"/>
        <v/>
      </c>
      <c r="HY771" s="2288" t="str">
        <f t="shared" si="213"/>
        <v/>
      </c>
      <c r="HZ771" s="2288" t="str">
        <f t="shared" si="214"/>
        <v/>
      </c>
      <c r="IA771" s="2288" t="str">
        <f t="shared" si="215"/>
        <v/>
      </c>
      <c r="IB771" s="2288" t="str">
        <f t="shared" si="216"/>
        <v/>
      </c>
      <c r="IC771" s="2288" t="str">
        <f t="shared" si="217"/>
        <v/>
      </c>
      <c r="ID771" s="2255" t="str">
        <f t="shared" si="218"/>
        <v/>
      </c>
      <c r="IE771" s="2255" t="str">
        <f t="shared" si="219"/>
        <v/>
      </c>
      <c r="IF771" s="2255" t="str">
        <f t="shared" si="220"/>
        <v/>
      </c>
      <c r="IG771" s="2255" t="str">
        <f t="shared" si="221"/>
        <v/>
      </c>
      <c r="IH771" s="2255" t="str">
        <f t="shared" si="222"/>
        <v/>
      </c>
      <c r="II771" s="873" t="str">
        <f t="shared" si="223"/>
        <v/>
      </c>
      <c r="IJ771" s="873" t="str">
        <f t="shared" si="224"/>
        <v/>
      </c>
      <c r="IK771" s="873" t="str">
        <f t="shared" si="225"/>
        <v/>
      </c>
      <c r="IL771" s="873" t="str">
        <f t="shared" si="226"/>
        <v/>
      </c>
      <c r="IM771" s="873" t="str">
        <f t="shared" si="227"/>
        <v/>
      </c>
      <c r="IN771" s="873" t="str">
        <f t="shared" si="228"/>
        <v/>
      </c>
      <c r="IO771" s="873" t="str">
        <f t="shared" si="229"/>
        <v/>
      </c>
      <c r="IP771" s="873" t="str">
        <f t="shared" si="230"/>
        <v/>
      </c>
      <c r="IQ771" s="873" t="str">
        <f t="shared" si="231"/>
        <v/>
      </c>
      <c r="IR771" s="873" t="str">
        <f t="shared" si="232"/>
        <v/>
      </c>
      <c r="IS771" s="873" t="str">
        <f t="shared" si="233"/>
        <v/>
      </c>
      <c r="IT771" s="873" t="str">
        <f t="shared" si="234"/>
        <v/>
      </c>
      <c r="IU771" s="873" t="str">
        <f t="shared" si="235"/>
        <v/>
      </c>
      <c r="IV771" s="873" t="str">
        <f t="shared" si="236"/>
        <v/>
      </c>
      <c r="IW771" s="873" t="str">
        <f t="shared" si="237"/>
        <v/>
      </c>
      <c r="IX771" s="873" t="str">
        <f t="shared" si="238"/>
        <v/>
      </c>
      <c r="IY771" s="873" t="str">
        <f t="shared" si="239"/>
        <v/>
      </c>
      <c r="IZ771" s="873" t="str">
        <f t="shared" si="240"/>
        <v/>
      </c>
      <c r="JA771" s="873" t="str">
        <f t="shared" si="241"/>
        <v/>
      </c>
      <c r="JB771" s="873" t="str">
        <f t="shared" si="242"/>
        <v/>
      </c>
      <c r="JC771" s="2253">
        <f t="shared" si="243"/>
        <v>0</v>
      </c>
      <c r="JD771" s="2253">
        <f t="shared" si="244"/>
        <v>0</v>
      </c>
      <c r="JE771" s="2253">
        <f t="shared" si="245"/>
        <v>0</v>
      </c>
      <c r="JF771" s="2253">
        <f t="shared" si="246"/>
        <v>0</v>
      </c>
      <c r="JG771" s="2253">
        <f t="shared" si="247"/>
        <v>0</v>
      </c>
      <c r="JH771" s="2253">
        <f t="shared" si="248"/>
        <v>0</v>
      </c>
      <c r="JI771" s="2253">
        <f t="shared" si="249"/>
        <v>0</v>
      </c>
      <c r="JJ771" s="2253">
        <f t="shared" si="250"/>
        <v>0</v>
      </c>
      <c r="JK771" s="2253">
        <f t="shared" si="251"/>
        <v>0</v>
      </c>
      <c r="JL771" s="2253">
        <f t="shared" si="252"/>
        <v>0</v>
      </c>
      <c r="JM771" s="2253">
        <f t="shared" si="253"/>
        <v>0</v>
      </c>
      <c r="JN771" s="2253">
        <f t="shared" si="254"/>
        <v>0</v>
      </c>
      <c r="JO771" s="2253">
        <f t="shared" si="255"/>
        <v>0</v>
      </c>
      <c r="JP771" s="2253">
        <f t="shared" si="256"/>
        <v>0</v>
      </c>
      <c r="JQ771" s="2253">
        <f t="shared" si="257"/>
        <v>0</v>
      </c>
    </row>
    <row r="772" spans="1:277" ht="12" customHeight="1">
      <c r="A772" s="2258" t="str">
        <f t="shared" si="0"/>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1"/>
        <v>0</v>
      </c>
      <c r="L772" s="2284">
        <f t="shared" si="2"/>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3" t="str">
        <f t="shared" si="3"/>
        <v/>
      </c>
      <c r="X772" s="873" t="str">
        <f t="shared" si="4"/>
        <v/>
      </c>
      <c r="Y772" s="873" t="str">
        <f t="shared" si="5"/>
        <v/>
      </c>
      <c r="Z772" s="873" t="str">
        <f t="shared" si="6"/>
        <v/>
      </c>
      <c r="AA772" s="873" t="str">
        <f t="shared" si="7"/>
        <v/>
      </c>
      <c r="AB772" s="873" t="str">
        <f t="shared" si="8"/>
        <v/>
      </c>
      <c r="AC772" s="873" t="str">
        <f t="shared" si="9"/>
        <v/>
      </c>
      <c r="AD772" s="873" t="str">
        <f t="shared" si="10"/>
        <v/>
      </c>
      <c r="AE772" s="873" t="str">
        <f t="shared" si="11"/>
        <v/>
      </c>
      <c r="AF772" s="873" t="str">
        <f t="shared" si="12"/>
        <v/>
      </c>
      <c r="AG772" s="873" t="str">
        <f t="shared" si="13"/>
        <v/>
      </c>
      <c r="AH772" s="873" t="str">
        <f t="shared" si="14"/>
        <v/>
      </c>
      <c r="AI772" s="873" t="str">
        <f t="shared" si="15"/>
        <v/>
      </c>
      <c r="AJ772" s="873" t="str">
        <f t="shared" si="16"/>
        <v/>
      </c>
      <c r="AK772" s="873" t="str">
        <f t="shared" si="17"/>
        <v/>
      </c>
      <c r="AL772" s="873" t="str">
        <f t="shared" si="18"/>
        <v/>
      </c>
      <c r="AM772" s="873" t="str">
        <f t="shared" si="19"/>
        <v/>
      </c>
      <c r="AN772" s="873" t="str">
        <f t="shared" si="20"/>
        <v/>
      </c>
      <c r="AO772" s="873" t="str">
        <f t="shared" si="21"/>
        <v/>
      </c>
      <c r="AP772" s="873" t="str">
        <f t="shared" si="22"/>
        <v/>
      </c>
      <c r="AQ772" s="873" t="str">
        <f t="shared" si="23"/>
        <v/>
      </c>
      <c r="AR772" s="873" t="str">
        <f t="shared" si="24"/>
        <v/>
      </c>
      <c r="AS772" s="873" t="str">
        <f t="shared" si="25"/>
        <v/>
      </c>
      <c r="AT772" s="873" t="str">
        <f t="shared" si="26"/>
        <v/>
      </c>
      <c r="AU772" s="873" t="str">
        <f t="shared" si="27"/>
        <v/>
      </c>
      <c r="AV772" s="873" t="str">
        <f t="shared" si="28"/>
        <v/>
      </c>
      <c r="AW772" s="873" t="str">
        <f t="shared" si="29"/>
        <v/>
      </c>
      <c r="AX772" s="873" t="str">
        <f t="shared" si="30"/>
        <v/>
      </c>
      <c r="AY772" s="873" t="str">
        <f t="shared" si="31"/>
        <v/>
      </c>
      <c r="AZ772" s="873" t="str">
        <f t="shared" si="32"/>
        <v/>
      </c>
      <c r="BA772" s="873" t="str">
        <f t="shared" si="33"/>
        <v/>
      </c>
      <c r="BB772" s="873" t="str">
        <f t="shared" si="34"/>
        <v/>
      </c>
      <c r="BC772" s="873" t="str">
        <f t="shared" si="35"/>
        <v/>
      </c>
      <c r="BD772" s="873" t="str">
        <f t="shared" si="36"/>
        <v/>
      </c>
      <c r="BE772" s="873" t="str">
        <f t="shared" si="37"/>
        <v/>
      </c>
      <c r="BF772" s="873" t="str">
        <f t="shared" si="38"/>
        <v/>
      </c>
      <c r="BG772" s="873" t="str">
        <f t="shared" si="39"/>
        <v/>
      </c>
      <c r="BH772" s="873" t="str">
        <f t="shared" si="40"/>
        <v/>
      </c>
      <c r="BI772" s="873" t="str">
        <f t="shared" si="41"/>
        <v/>
      </c>
      <c r="BJ772" s="873" t="str">
        <f t="shared" si="42"/>
        <v/>
      </c>
      <c r="BK772" s="873" t="str">
        <f t="shared" si="43"/>
        <v/>
      </c>
      <c r="BL772" s="873" t="str">
        <f t="shared" si="44"/>
        <v/>
      </c>
      <c r="BM772" s="873" t="str">
        <f t="shared" si="45"/>
        <v/>
      </c>
      <c r="BN772" s="873" t="str">
        <f t="shared" si="46"/>
        <v/>
      </c>
      <c r="BO772" s="873" t="str">
        <f t="shared" si="47"/>
        <v/>
      </c>
      <c r="BP772" s="873" t="str">
        <f t="shared" si="48"/>
        <v/>
      </c>
      <c r="BQ772" s="873" t="str">
        <f t="shared" si="49"/>
        <v/>
      </c>
      <c r="BR772" s="873" t="str">
        <f t="shared" si="50"/>
        <v/>
      </c>
      <c r="BS772" s="873" t="str">
        <f t="shared" si="51"/>
        <v/>
      </c>
      <c r="BT772" s="873" t="str">
        <f t="shared" si="52"/>
        <v/>
      </c>
      <c r="BU772" s="873" t="str">
        <f t="shared" si="53"/>
        <v/>
      </c>
      <c r="BV772" s="873" t="str">
        <f t="shared" si="54"/>
        <v/>
      </c>
      <c r="BW772" s="873" t="str">
        <f t="shared" si="55"/>
        <v/>
      </c>
      <c r="BX772" s="873" t="str">
        <f t="shared" si="56"/>
        <v/>
      </c>
      <c r="BY772" s="873" t="str">
        <f t="shared" si="57"/>
        <v/>
      </c>
      <c r="BZ772" s="873" t="str">
        <f t="shared" si="58"/>
        <v/>
      </c>
      <c r="CA772" s="873" t="str">
        <f t="shared" si="59"/>
        <v/>
      </c>
      <c r="CB772" s="873" t="str">
        <f t="shared" si="60"/>
        <v/>
      </c>
      <c r="CC772" s="873" t="str">
        <f t="shared" si="61"/>
        <v/>
      </c>
      <c r="CD772" s="873" t="str">
        <f t="shared" si="62"/>
        <v/>
      </c>
      <c r="CE772" s="873" t="str">
        <f t="shared" si="63"/>
        <v/>
      </c>
      <c r="CF772" s="873" t="str">
        <f t="shared" si="64"/>
        <v/>
      </c>
      <c r="CG772" s="873" t="str">
        <f t="shared" si="65"/>
        <v/>
      </c>
      <c r="CH772" s="873" t="str">
        <f t="shared" si="66"/>
        <v/>
      </c>
      <c r="CI772" s="873" t="str">
        <f t="shared" si="67"/>
        <v/>
      </c>
      <c r="CJ772" s="873" t="str">
        <f t="shared" si="68"/>
        <v/>
      </c>
      <c r="CK772" s="873" t="str">
        <f t="shared" si="69"/>
        <v/>
      </c>
      <c r="CL772" s="873" t="str">
        <f t="shared" si="70"/>
        <v/>
      </c>
      <c r="CM772" s="873" t="str">
        <f t="shared" si="71"/>
        <v/>
      </c>
      <c r="CN772" s="873" t="str">
        <f t="shared" si="72"/>
        <v/>
      </c>
      <c r="CO772" s="873" t="str">
        <f t="shared" si="73"/>
        <v/>
      </c>
      <c r="CP772" s="873" t="str">
        <f t="shared" si="74"/>
        <v/>
      </c>
      <c r="CQ772" s="873" t="str">
        <f t="shared" si="75"/>
        <v/>
      </c>
      <c r="CR772" s="873" t="str">
        <f t="shared" si="76"/>
        <v/>
      </c>
      <c r="CS772" s="873" t="str">
        <f t="shared" si="77"/>
        <v/>
      </c>
      <c r="CT772" s="873" t="str">
        <f t="shared" si="78"/>
        <v/>
      </c>
      <c r="CU772" s="873" t="str">
        <f t="shared" si="79"/>
        <v/>
      </c>
      <c r="CV772" s="873" t="str">
        <f t="shared" si="80"/>
        <v/>
      </c>
      <c r="CW772" s="873" t="str">
        <f t="shared" si="81"/>
        <v/>
      </c>
      <c r="CX772" s="873" t="str">
        <f t="shared" si="82"/>
        <v/>
      </c>
      <c r="CY772" s="873" t="str">
        <f t="shared" si="83"/>
        <v/>
      </c>
      <c r="CZ772" s="873" t="str">
        <f t="shared" si="84"/>
        <v/>
      </c>
      <c r="DA772" s="873" t="str">
        <f t="shared" si="85"/>
        <v/>
      </c>
      <c r="DB772" s="873" t="str">
        <f t="shared" si="86"/>
        <v/>
      </c>
      <c r="DC772" s="873" t="str">
        <f t="shared" si="87"/>
        <v/>
      </c>
      <c r="DD772" s="873" t="str">
        <f t="shared" si="88"/>
        <v/>
      </c>
      <c r="DE772" s="873" t="str">
        <f t="shared" si="89"/>
        <v/>
      </c>
      <c r="DF772" s="873" t="str">
        <f t="shared" si="90"/>
        <v/>
      </c>
      <c r="DG772" s="873" t="str">
        <f t="shared" si="91"/>
        <v/>
      </c>
      <c r="DH772" s="873" t="str">
        <f t="shared" si="92"/>
        <v/>
      </c>
      <c r="DI772" s="873" t="str">
        <f t="shared" si="93"/>
        <v/>
      </c>
      <c r="DJ772" s="873" t="str">
        <f t="shared" si="94"/>
        <v/>
      </c>
      <c r="DK772" s="873" t="str">
        <f t="shared" si="95"/>
        <v/>
      </c>
      <c r="DL772" s="873" t="str">
        <f t="shared" si="96"/>
        <v/>
      </c>
      <c r="DM772" s="873" t="str">
        <f t="shared" si="97"/>
        <v/>
      </c>
      <c r="DN772" s="873" t="str">
        <f t="shared" si="98"/>
        <v/>
      </c>
      <c r="DO772" s="873" t="str">
        <f t="shared" si="99"/>
        <v/>
      </c>
      <c r="DP772" s="873" t="str">
        <f t="shared" si="100"/>
        <v/>
      </c>
      <c r="DQ772" s="873" t="str">
        <f t="shared" si="101"/>
        <v/>
      </c>
      <c r="DR772" s="873" t="str">
        <f t="shared" si="102"/>
        <v/>
      </c>
      <c r="DS772" s="873" t="str">
        <f t="shared" si="103"/>
        <v/>
      </c>
      <c r="DT772" s="873" t="str">
        <f t="shared" si="104"/>
        <v/>
      </c>
      <c r="DU772" s="873" t="str">
        <f t="shared" si="105"/>
        <v/>
      </c>
      <c r="DV772" s="873" t="str">
        <f t="shared" si="106"/>
        <v/>
      </c>
      <c r="DW772" s="873" t="str">
        <f t="shared" si="107"/>
        <v/>
      </c>
      <c r="DX772" s="873" t="str">
        <f t="shared" si="108"/>
        <v/>
      </c>
      <c r="DY772" s="873" t="str">
        <f t="shared" si="109"/>
        <v/>
      </c>
      <c r="DZ772" s="873" t="str">
        <f t="shared" si="110"/>
        <v/>
      </c>
      <c r="EA772" s="873" t="str">
        <f t="shared" si="111"/>
        <v/>
      </c>
      <c r="EB772" s="873" t="str">
        <f t="shared" si="112"/>
        <v/>
      </c>
      <c r="EC772" s="873" t="str">
        <f t="shared" si="113"/>
        <v/>
      </c>
      <c r="ED772" s="873" t="str">
        <f t="shared" si="114"/>
        <v/>
      </c>
      <c r="EE772" s="873" t="str">
        <f t="shared" si="115"/>
        <v/>
      </c>
      <c r="EF772" s="873" t="str">
        <f t="shared" si="116"/>
        <v/>
      </c>
      <c r="EG772" s="873" t="str">
        <f t="shared" si="117"/>
        <v/>
      </c>
      <c r="EH772" s="873" t="str">
        <f t="shared" si="118"/>
        <v/>
      </c>
      <c r="EI772" s="873" t="str">
        <f t="shared" si="119"/>
        <v/>
      </c>
      <c r="EJ772" s="873" t="str">
        <f t="shared" si="120"/>
        <v/>
      </c>
      <c r="EK772" s="873" t="str">
        <f t="shared" si="121"/>
        <v/>
      </c>
      <c r="EL772" s="873" t="str">
        <f t="shared" si="122"/>
        <v/>
      </c>
      <c r="EM772" s="873" t="str">
        <f t="shared" si="123"/>
        <v/>
      </c>
      <c r="EN772" s="873" t="str">
        <f t="shared" si="124"/>
        <v/>
      </c>
      <c r="EO772" s="873" t="str">
        <f t="shared" si="125"/>
        <v/>
      </c>
      <c r="EP772" s="873" t="str">
        <f t="shared" si="126"/>
        <v/>
      </c>
      <c r="EQ772" s="873" t="str">
        <f t="shared" si="127"/>
        <v/>
      </c>
      <c r="ER772" s="873" t="str">
        <f t="shared" si="128"/>
        <v/>
      </c>
      <c r="ES772" s="873" t="str">
        <f t="shared" si="129"/>
        <v/>
      </c>
      <c r="ET772" s="873" t="str">
        <f t="shared" si="130"/>
        <v/>
      </c>
      <c r="EU772" s="873" t="str">
        <f t="shared" si="131"/>
        <v/>
      </c>
      <c r="EV772" s="873" t="str">
        <f t="shared" si="132"/>
        <v/>
      </c>
      <c r="EW772" s="2288" t="str">
        <f t="shared" si="133"/>
        <v/>
      </c>
      <c r="EX772" s="2288" t="str">
        <f t="shared" si="134"/>
        <v/>
      </c>
      <c r="EY772" s="2288" t="str">
        <f t="shared" si="135"/>
        <v/>
      </c>
      <c r="EZ772" s="2288" t="str">
        <f t="shared" si="136"/>
        <v/>
      </c>
      <c r="FA772" s="2288" t="str">
        <f t="shared" si="137"/>
        <v/>
      </c>
      <c r="FB772" s="2288" t="str">
        <f t="shared" si="138"/>
        <v/>
      </c>
      <c r="FC772" s="2288" t="str">
        <f t="shared" si="139"/>
        <v/>
      </c>
      <c r="FD772" s="2288" t="str">
        <f t="shared" si="140"/>
        <v/>
      </c>
      <c r="FE772" s="2288" t="str">
        <f t="shared" si="141"/>
        <v/>
      </c>
      <c r="FF772" s="2288" t="str">
        <f t="shared" si="142"/>
        <v/>
      </c>
      <c r="FG772" s="2288" t="str">
        <f t="shared" si="143"/>
        <v/>
      </c>
      <c r="FH772" s="2288" t="str">
        <f t="shared" si="144"/>
        <v/>
      </c>
      <c r="FI772" s="2288" t="str">
        <f t="shared" si="145"/>
        <v/>
      </c>
      <c r="FJ772" s="2288" t="str">
        <f t="shared" si="146"/>
        <v/>
      </c>
      <c r="FK772" s="2288" t="str">
        <f t="shared" si="147"/>
        <v/>
      </c>
      <c r="FL772" s="2288" t="str">
        <f t="shared" si="148"/>
        <v/>
      </c>
      <c r="FM772" s="2288" t="str">
        <f t="shared" si="149"/>
        <v/>
      </c>
      <c r="FN772" s="2288" t="str">
        <f t="shared" si="150"/>
        <v/>
      </c>
      <c r="FO772" s="2288" t="str">
        <f t="shared" si="151"/>
        <v/>
      </c>
      <c r="FP772" s="2288" t="str">
        <f t="shared" si="152"/>
        <v/>
      </c>
      <c r="FQ772" s="2288" t="str">
        <f t="shared" si="153"/>
        <v/>
      </c>
      <c r="FR772" s="2288" t="str">
        <f t="shared" si="154"/>
        <v/>
      </c>
      <c r="FS772" s="2288" t="str">
        <f t="shared" si="155"/>
        <v/>
      </c>
      <c r="FT772" s="2288" t="str">
        <f t="shared" si="156"/>
        <v/>
      </c>
      <c r="FU772" s="2288" t="str">
        <f t="shared" si="157"/>
        <v/>
      </c>
      <c r="FV772" s="2288" t="str">
        <f t="shared" si="158"/>
        <v/>
      </c>
      <c r="FW772" s="2288" t="str">
        <f t="shared" si="159"/>
        <v/>
      </c>
      <c r="FX772" s="2288" t="str">
        <f t="shared" si="160"/>
        <v/>
      </c>
      <c r="FY772" s="2288" t="str">
        <f t="shared" si="161"/>
        <v/>
      </c>
      <c r="FZ772" s="2288" t="str">
        <f t="shared" si="162"/>
        <v/>
      </c>
      <c r="GA772" s="2288" t="str">
        <f t="shared" si="163"/>
        <v/>
      </c>
      <c r="GB772" s="2288" t="str">
        <f t="shared" si="164"/>
        <v/>
      </c>
      <c r="GC772" s="2288" t="str">
        <f t="shared" si="165"/>
        <v/>
      </c>
      <c r="GD772" s="2288" t="str">
        <f t="shared" si="166"/>
        <v/>
      </c>
      <c r="GE772" s="2288" t="str">
        <f t="shared" si="167"/>
        <v/>
      </c>
      <c r="GF772" s="2288" t="str">
        <f t="shared" si="168"/>
        <v/>
      </c>
      <c r="GG772" s="2288" t="str">
        <f t="shared" si="169"/>
        <v/>
      </c>
      <c r="GH772" s="2288" t="str">
        <f t="shared" si="170"/>
        <v/>
      </c>
      <c r="GI772" s="2288" t="str">
        <f t="shared" si="171"/>
        <v/>
      </c>
      <c r="GJ772" s="2288" t="str">
        <f t="shared" si="172"/>
        <v/>
      </c>
      <c r="GK772" s="2288" t="str">
        <f t="shared" si="173"/>
        <v/>
      </c>
      <c r="GL772" s="2288" t="str">
        <f t="shared" si="174"/>
        <v/>
      </c>
      <c r="GM772" s="2288" t="str">
        <f t="shared" si="175"/>
        <v/>
      </c>
      <c r="GN772" s="2288" t="str">
        <f t="shared" si="176"/>
        <v/>
      </c>
      <c r="GO772" s="2288" t="str">
        <f t="shared" si="177"/>
        <v/>
      </c>
      <c r="GP772" s="2288" t="str">
        <f t="shared" si="178"/>
        <v/>
      </c>
      <c r="GQ772" s="2288" t="str">
        <f t="shared" si="179"/>
        <v/>
      </c>
      <c r="GR772" s="2288" t="str">
        <f t="shared" si="180"/>
        <v/>
      </c>
      <c r="GS772" s="2288" t="str">
        <f t="shared" si="181"/>
        <v/>
      </c>
      <c r="GT772" s="2288" t="str">
        <f t="shared" si="182"/>
        <v/>
      </c>
      <c r="GU772" s="2288" t="str">
        <f t="shared" si="183"/>
        <v/>
      </c>
      <c r="GV772" s="2288" t="str">
        <f t="shared" si="184"/>
        <v/>
      </c>
      <c r="GW772" s="2288" t="str">
        <f t="shared" si="185"/>
        <v/>
      </c>
      <c r="GX772" s="2288" t="str">
        <f t="shared" si="186"/>
        <v/>
      </c>
      <c r="GY772" s="2288" t="str">
        <f t="shared" si="187"/>
        <v/>
      </c>
      <c r="GZ772" s="2288" t="str">
        <f t="shared" si="188"/>
        <v/>
      </c>
      <c r="HA772" s="2288" t="str">
        <f t="shared" si="189"/>
        <v/>
      </c>
      <c r="HB772" s="2288" t="str">
        <f t="shared" si="190"/>
        <v/>
      </c>
      <c r="HC772" s="2288" t="str">
        <f t="shared" si="191"/>
        <v/>
      </c>
      <c r="HD772" s="2288" t="str">
        <f t="shared" si="192"/>
        <v/>
      </c>
      <c r="HE772" s="2288" t="str">
        <f t="shared" si="193"/>
        <v/>
      </c>
      <c r="HF772" s="2288" t="str">
        <f t="shared" si="194"/>
        <v/>
      </c>
      <c r="HG772" s="2288" t="str">
        <f t="shared" si="195"/>
        <v/>
      </c>
      <c r="HH772" s="2288" t="str">
        <f t="shared" si="196"/>
        <v/>
      </c>
      <c r="HI772" s="2288" t="str">
        <f t="shared" si="197"/>
        <v/>
      </c>
      <c r="HJ772" s="2288" t="str">
        <f t="shared" si="198"/>
        <v/>
      </c>
      <c r="HK772" s="2288" t="str">
        <f t="shared" si="199"/>
        <v/>
      </c>
      <c r="HL772" s="2288" t="str">
        <f t="shared" si="200"/>
        <v/>
      </c>
      <c r="HM772" s="2288" t="str">
        <f t="shared" si="201"/>
        <v/>
      </c>
      <c r="HN772" s="2288" t="str">
        <f t="shared" si="202"/>
        <v/>
      </c>
      <c r="HO772" s="2288" t="str">
        <f t="shared" si="203"/>
        <v/>
      </c>
      <c r="HP772" s="2288" t="str">
        <f t="shared" si="204"/>
        <v/>
      </c>
      <c r="HQ772" s="2288" t="str">
        <f t="shared" si="205"/>
        <v/>
      </c>
      <c r="HR772" s="2288" t="str">
        <f t="shared" si="206"/>
        <v/>
      </c>
      <c r="HS772" s="2288" t="str">
        <f t="shared" si="207"/>
        <v/>
      </c>
      <c r="HT772" s="2288" t="str">
        <f t="shared" si="208"/>
        <v/>
      </c>
      <c r="HU772" s="2288" t="str">
        <f t="shared" si="209"/>
        <v/>
      </c>
      <c r="HV772" s="2288" t="str">
        <f t="shared" si="210"/>
        <v/>
      </c>
      <c r="HW772" s="2288" t="str">
        <f t="shared" si="211"/>
        <v/>
      </c>
      <c r="HX772" s="2288" t="str">
        <f t="shared" si="212"/>
        <v/>
      </c>
      <c r="HY772" s="2288" t="str">
        <f t="shared" si="213"/>
        <v/>
      </c>
      <c r="HZ772" s="2288" t="str">
        <f t="shared" si="214"/>
        <v/>
      </c>
      <c r="IA772" s="2288" t="str">
        <f t="shared" si="215"/>
        <v/>
      </c>
      <c r="IB772" s="2288" t="str">
        <f t="shared" si="216"/>
        <v/>
      </c>
      <c r="IC772" s="2288" t="str">
        <f t="shared" si="217"/>
        <v/>
      </c>
      <c r="ID772" s="2255" t="str">
        <f t="shared" si="218"/>
        <v/>
      </c>
      <c r="IE772" s="2255" t="str">
        <f t="shared" si="219"/>
        <v/>
      </c>
      <c r="IF772" s="2255" t="str">
        <f t="shared" si="220"/>
        <v/>
      </c>
      <c r="IG772" s="2255" t="str">
        <f t="shared" si="221"/>
        <v/>
      </c>
      <c r="IH772" s="2255" t="str">
        <f t="shared" si="222"/>
        <v/>
      </c>
      <c r="II772" s="873" t="str">
        <f t="shared" si="223"/>
        <v/>
      </c>
      <c r="IJ772" s="873" t="str">
        <f t="shared" si="224"/>
        <v/>
      </c>
      <c r="IK772" s="873" t="str">
        <f t="shared" si="225"/>
        <v/>
      </c>
      <c r="IL772" s="873" t="str">
        <f t="shared" si="226"/>
        <v/>
      </c>
      <c r="IM772" s="873" t="str">
        <f t="shared" si="227"/>
        <v/>
      </c>
      <c r="IN772" s="873" t="str">
        <f t="shared" si="228"/>
        <v/>
      </c>
      <c r="IO772" s="873" t="str">
        <f t="shared" si="229"/>
        <v/>
      </c>
      <c r="IP772" s="873" t="str">
        <f t="shared" si="230"/>
        <v/>
      </c>
      <c r="IQ772" s="873" t="str">
        <f t="shared" si="231"/>
        <v/>
      </c>
      <c r="IR772" s="873" t="str">
        <f t="shared" si="232"/>
        <v/>
      </c>
      <c r="IS772" s="873" t="str">
        <f t="shared" si="233"/>
        <v/>
      </c>
      <c r="IT772" s="873" t="str">
        <f t="shared" si="234"/>
        <v/>
      </c>
      <c r="IU772" s="873" t="str">
        <f t="shared" si="235"/>
        <v/>
      </c>
      <c r="IV772" s="873" t="str">
        <f t="shared" si="236"/>
        <v/>
      </c>
      <c r="IW772" s="873" t="str">
        <f t="shared" si="237"/>
        <v/>
      </c>
      <c r="IX772" s="873" t="str">
        <f t="shared" si="238"/>
        <v/>
      </c>
      <c r="IY772" s="873" t="str">
        <f t="shared" si="239"/>
        <v/>
      </c>
      <c r="IZ772" s="873" t="str">
        <f t="shared" si="240"/>
        <v/>
      </c>
      <c r="JA772" s="873" t="str">
        <f t="shared" si="241"/>
        <v/>
      </c>
      <c r="JB772" s="873" t="str">
        <f t="shared" si="242"/>
        <v/>
      </c>
      <c r="JC772" s="2253">
        <f t="shared" si="243"/>
        <v>0</v>
      </c>
      <c r="JD772" s="2253">
        <f t="shared" si="244"/>
        <v>0</v>
      </c>
      <c r="JE772" s="2253">
        <f t="shared" si="245"/>
        <v>0</v>
      </c>
      <c r="JF772" s="2253">
        <f t="shared" si="246"/>
        <v>0</v>
      </c>
      <c r="JG772" s="2253">
        <f t="shared" si="247"/>
        <v>0</v>
      </c>
      <c r="JH772" s="2253">
        <f t="shared" si="248"/>
        <v>0</v>
      </c>
      <c r="JI772" s="2253">
        <f t="shared" si="249"/>
        <v>0</v>
      </c>
      <c r="JJ772" s="2253">
        <f t="shared" si="250"/>
        <v>0</v>
      </c>
      <c r="JK772" s="2253">
        <f t="shared" si="251"/>
        <v>0</v>
      </c>
      <c r="JL772" s="2253">
        <f t="shared" si="252"/>
        <v>0</v>
      </c>
      <c r="JM772" s="2253">
        <f t="shared" si="253"/>
        <v>0</v>
      </c>
      <c r="JN772" s="2253">
        <f t="shared" si="254"/>
        <v>0</v>
      </c>
      <c r="JO772" s="2253">
        <f t="shared" si="255"/>
        <v>0</v>
      </c>
      <c r="JP772" s="2253">
        <f t="shared" si="256"/>
        <v>0</v>
      </c>
      <c r="JQ772" s="2253">
        <f t="shared" si="257"/>
        <v>0</v>
      </c>
    </row>
    <row r="773" spans="1:277" ht="12" customHeight="1">
      <c r="A773" s="2258" t="str">
        <f t="shared" si="0"/>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1"/>
        <v>0</v>
      </c>
      <c r="L773" s="2284">
        <f t="shared" si="2"/>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3" t="str">
        <f t="shared" si="3"/>
        <v/>
      </c>
      <c r="X773" s="873" t="str">
        <f t="shared" si="4"/>
        <v/>
      </c>
      <c r="Y773" s="873" t="str">
        <f t="shared" si="5"/>
        <v/>
      </c>
      <c r="Z773" s="873" t="str">
        <f t="shared" si="6"/>
        <v/>
      </c>
      <c r="AA773" s="873" t="str">
        <f t="shared" si="7"/>
        <v/>
      </c>
      <c r="AB773" s="873" t="str">
        <f t="shared" si="8"/>
        <v/>
      </c>
      <c r="AC773" s="873" t="str">
        <f t="shared" si="9"/>
        <v/>
      </c>
      <c r="AD773" s="873" t="str">
        <f t="shared" si="10"/>
        <v/>
      </c>
      <c r="AE773" s="873" t="str">
        <f t="shared" si="11"/>
        <v/>
      </c>
      <c r="AF773" s="873" t="str">
        <f t="shared" si="12"/>
        <v/>
      </c>
      <c r="AG773" s="873" t="str">
        <f t="shared" si="13"/>
        <v/>
      </c>
      <c r="AH773" s="873" t="str">
        <f t="shared" si="14"/>
        <v/>
      </c>
      <c r="AI773" s="873" t="str">
        <f t="shared" si="15"/>
        <v/>
      </c>
      <c r="AJ773" s="873" t="str">
        <f t="shared" si="16"/>
        <v/>
      </c>
      <c r="AK773" s="873" t="str">
        <f t="shared" si="17"/>
        <v/>
      </c>
      <c r="AL773" s="873" t="str">
        <f t="shared" si="18"/>
        <v/>
      </c>
      <c r="AM773" s="873" t="str">
        <f t="shared" si="19"/>
        <v/>
      </c>
      <c r="AN773" s="873" t="str">
        <f t="shared" si="20"/>
        <v/>
      </c>
      <c r="AO773" s="873" t="str">
        <f t="shared" si="21"/>
        <v/>
      </c>
      <c r="AP773" s="873" t="str">
        <f t="shared" si="22"/>
        <v/>
      </c>
      <c r="AQ773" s="873" t="str">
        <f t="shared" si="23"/>
        <v/>
      </c>
      <c r="AR773" s="873" t="str">
        <f t="shared" si="24"/>
        <v/>
      </c>
      <c r="AS773" s="873" t="str">
        <f t="shared" si="25"/>
        <v/>
      </c>
      <c r="AT773" s="873" t="str">
        <f t="shared" si="26"/>
        <v/>
      </c>
      <c r="AU773" s="873" t="str">
        <f t="shared" si="27"/>
        <v/>
      </c>
      <c r="AV773" s="873" t="str">
        <f t="shared" si="28"/>
        <v/>
      </c>
      <c r="AW773" s="873" t="str">
        <f t="shared" si="29"/>
        <v/>
      </c>
      <c r="AX773" s="873" t="str">
        <f t="shared" si="30"/>
        <v/>
      </c>
      <c r="AY773" s="873" t="str">
        <f t="shared" si="31"/>
        <v/>
      </c>
      <c r="AZ773" s="873" t="str">
        <f t="shared" si="32"/>
        <v/>
      </c>
      <c r="BA773" s="873" t="str">
        <f t="shared" si="33"/>
        <v/>
      </c>
      <c r="BB773" s="873" t="str">
        <f t="shared" si="34"/>
        <v/>
      </c>
      <c r="BC773" s="873" t="str">
        <f t="shared" si="35"/>
        <v/>
      </c>
      <c r="BD773" s="873" t="str">
        <f t="shared" si="36"/>
        <v/>
      </c>
      <c r="BE773" s="873" t="str">
        <f t="shared" si="37"/>
        <v/>
      </c>
      <c r="BF773" s="873" t="str">
        <f t="shared" si="38"/>
        <v/>
      </c>
      <c r="BG773" s="873" t="str">
        <f t="shared" si="39"/>
        <v/>
      </c>
      <c r="BH773" s="873" t="str">
        <f t="shared" si="40"/>
        <v/>
      </c>
      <c r="BI773" s="873" t="str">
        <f t="shared" si="41"/>
        <v/>
      </c>
      <c r="BJ773" s="873" t="str">
        <f t="shared" si="42"/>
        <v/>
      </c>
      <c r="BK773" s="873" t="str">
        <f t="shared" si="43"/>
        <v/>
      </c>
      <c r="BL773" s="873" t="str">
        <f t="shared" si="44"/>
        <v/>
      </c>
      <c r="BM773" s="873" t="str">
        <f t="shared" si="45"/>
        <v/>
      </c>
      <c r="BN773" s="873" t="str">
        <f t="shared" si="46"/>
        <v/>
      </c>
      <c r="BO773" s="873" t="str">
        <f t="shared" si="47"/>
        <v/>
      </c>
      <c r="BP773" s="873" t="str">
        <f t="shared" si="48"/>
        <v/>
      </c>
      <c r="BQ773" s="873" t="str">
        <f t="shared" si="49"/>
        <v/>
      </c>
      <c r="BR773" s="873" t="str">
        <f t="shared" si="50"/>
        <v/>
      </c>
      <c r="BS773" s="873" t="str">
        <f t="shared" si="51"/>
        <v/>
      </c>
      <c r="BT773" s="873" t="str">
        <f t="shared" si="52"/>
        <v/>
      </c>
      <c r="BU773" s="873" t="str">
        <f t="shared" si="53"/>
        <v/>
      </c>
      <c r="BV773" s="873" t="str">
        <f t="shared" si="54"/>
        <v/>
      </c>
      <c r="BW773" s="873" t="str">
        <f t="shared" si="55"/>
        <v/>
      </c>
      <c r="BX773" s="873" t="str">
        <f t="shared" si="56"/>
        <v/>
      </c>
      <c r="BY773" s="873" t="str">
        <f t="shared" si="57"/>
        <v/>
      </c>
      <c r="BZ773" s="873" t="str">
        <f t="shared" si="58"/>
        <v/>
      </c>
      <c r="CA773" s="873" t="str">
        <f t="shared" si="59"/>
        <v/>
      </c>
      <c r="CB773" s="873" t="str">
        <f t="shared" si="60"/>
        <v/>
      </c>
      <c r="CC773" s="873" t="str">
        <f t="shared" si="61"/>
        <v/>
      </c>
      <c r="CD773" s="873" t="str">
        <f t="shared" si="62"/>
        <v/>
      </c>
      <c r="CE773" s="873" t="str">
        <f t="shared" si="63"/>
        <v/>
      </c>
      <c r="CF773" s="873" t="str">
        <f t="shared" si="64"/>
        <v/>
      </c>
      <c r="CG773" s="873" t="str">
        <f t="shared" si="65"/>
        <v/>
      </c>
      <c r="CH773" s="873" t="str">
        <f t="shared" si="66"/>
        <v/>
      </c>
      <c r="CI773" s="873" t="str">
        <f t="shared" si="67"/>
        <v/>
      </c>
      <c r="CJ773" s="873" t="str">
        <f t="shared" si="68"/>
        <v/>
      </c>
      <c r="CK773" s="873" t="str">
        <f t="shared" si="69"/>
        <v/>
      </c>
      <c r="CL773" s="873" t="str">
        <f t="shared" si="70"/>
        <v/>
      </c>
      <c r="CM773" s="873" t="str">
        <f t="shared" si="71"/>
        <v/>
      </c>
      <c r="CN773" s="873" t="str">
        <f t="shared" si="72"/>
        <v/>
      </c>
      <c r="CO773" s="873" t="str">
        <f t="shared" si="73"/>
        <v/>
      </c>
      <c r="CP773" s="873" t="str">
        <f t="shared" si="74"/>
        <v/>
      </c>
      <c r="CQ773" s="873" t="str">
        <f t="shared" si="75"/>
        <v/>
      </c>
      <c r="CR773" s="873" t="str">
        <f t="shared" si="76"/>
        <v/>
      </c>
      <c r="CS773" s="873" t="str">
        <f t="shared" si="77"/>
        <v/>
      </c>
      <c r="CT773" s="873" t="str">
        <f t="shared" si="78"/>
        <v/>
      </c>
      <c r="CU773" s="873" t="str">
        <f t="shared" si="79"/>
        <v/>
      </c>
      <c r="CV773" s="873" t="str">
        <f t="shared" si="80"/>
        <v/>
      </c>
      <c r="CW773" s="873" t="str">
        <f t="shared" si="81"/>
        <v/>
      </c>
      <c r="CX773" s="873" t="str">
        <f t="shared" si="82"/>
        <v/>
      </c>
      <c r="CY773" s="873" t="str">
        <f t="shared" si="83"/>
        <v/>
      </c>
      <c r="CZ773" s="873" t="str">
        <f t="shared" si="84"/>
        <v/>
      </c>
      <c r="DA773" s="873" t="str">
        <f t="shared" si="85"/>
        <v/>
      </c>
      <c r="DB773" s="873" t="str">
        <f t="shared" si="86"/>
        <v/>
      </c>
      <c r="DC773" s="873" t="str">
        <f t="shared" si="87"/>
        <v/>
      </c>
      <c r="DD773" s="873" t="str">
        <f t="shared" si="88"/>
        <v/>
      </c>
      <c r="DE773" s="873" t="str">
        <f t="shared" si="89"/>
        <v/>
      </c>
      <c r="DF773" s="873" t="str">
        <f t="shared" si="90"/>
        <v/>
      </c>
      <c r="DG773" s="873" t="str">
        <f t="shared" si="91"/>
        <v/>
      </c>
      <c r="DH773" s="873" t="str">
        <f t="shared" si="92"/>
        <v/>
      </c>
      <c r="DI773" s="873" t="str">
        <f t="shared" si="93"/>
        <v/>
      </c>
      <c r="DJ773" s="873" t="str">
        <f t="shared" si="94"/>
        <v/>
      </c>
      <c r="DK773" s="873" t="str">
        <f t="shared" si="95"/>
        <v/>
      </c>
      <c r="DL773" s="873" t="str">
        <f t="shared" si="96"/>
        <v/>
      </c>
      <c r="DM773" s="873" t="str">
        <f t="shared" si="97"/>
        <v/>
      </c>
      <c r="DN773" s="873" t="str">
        <f t="shared" si="98"/>
        <v/>
      </c>
      <c r="DO773" s="873" t="str">
        <f t="shared" si="99"/>
        <v/>
      </c>
      <c r="DP773" s="873" t="str">
        <f t="shared" si="100"/>
        <v/>
      </c>
      <c r="DQ773" s="873" t="str">
        <f t="shared" si="101"/>
        <v/>
      </c>
      <c r="DR773" s="873" t="str">
        <f t="shared" si="102"/>
        <v/>
      </c>
      <c r="DS773" s="873" t="str">
        <f t="shared" si="103"/>
        <v/>
      </c>
      <c r="DT773" s="873" t="str">
        <f t="shared" si="104"/>
        <v/>
      </c>
      <c r="DU773" s="873" t="str">
        <f t="shared" si="105"/>
        <v/>
      </c>
      <c r="DV773" s="873" t="str">
        <f t="shared" si="106"/>
        <v/>
      </c>
      <c r="DW773" s="873" t="str">
        <f t="shared" si="107"/>
        <v/>
      </c>
      <c r="DX773" s="873" t="str">
        <f t="shared" si="108"/>
        <v/>
      </c>
      <c r="DY773" s="873" t="str">
        <f t="shared" si="109"/>
        <v/>
      </c>
      <c r="DZ773" s="873" t="str">
        <f t="shared" si="110"/>
        <v/>
      </c>
      <c r="EA773" s="873" t="str">
        <f t="shared" si="111"/>
        <v/>
      </c>
      <c r="EB773" s="873" t="str">
        <f t="shared" si="112"/>
        <v/>
      </c>
      <c r="EC773" s="873" t="str">
        <f t="shared" si="113"/>
        <v/>
      </c>
      <c r="ED773" s="873" t="str">
        <f t="shared" si="114"/>
        <v/>
      </c>
      <c r="EE773" s="873" t="str">
        <f t="shared" si="115"/>
        <v/>
      </c>
      <c r="EF773" s="873" t="str">
        <f t="shared" si="116"/>
        <v/>
      </c>
      <c r="EG773" s="873" t="str">
        <f t="shared" si="117"/>
        <v/>
      </c>
      <c r="EH773" s="873" t="str">
        <f t="shared" si="118"/>
        <v/>
      </c>
      <c r="EI773" s="873" t="str">
        <f t="shared" si="119"/>
        <v/>
      </c>
      <c r="EJ773" s="873" t="str">
        <f t="shared" si="120"/>
        <v/>
      </c>
      <c r="EK773" s="873" t="str">
        <f t="shared" si="121"/>
        <v/>
      </c>
      <c r="EL773" s="873" t="str">
        <f t="shared" si="122"/>
        <v/>
      </c>
      <c r="EM773" s="873" t="str">
        <f t="shared" si="123"/>
        <v/>
      </c>
      <c r="EN773" s="873" t="str">
        <f t="shared" si="124"/>
        <v/>
      </c>
      <c r="EO773" s="873" t="str">
        <f t="shared" si="125"/>
        <v/>
      </c>
      <c r="EP773" s="873" t="str">
        <f t="shared" si="126"/>
        <v/>
      </c>
      <c r="EQ773" s="873" t="str">
        <f t="shared" si="127"/>
        <v/>
      </c>
      <c r="ER773" s="873" t="str">
        <f t="shared" si="128"/>
        <v/>
      </c>
      <c r="ES773" s="873" t="str">
        <f t="shared" si="129"/>
        <v/>
      </c>
      <c r="ET773" s="873" t="str">
        <f t="shared" si="130"/>
        <v/>
      </c>
      <c r="EU773" s="873" t="str">
        <f t="shared" si="131"/>
        <v/>
      </c>
      <c r="EV773" s="873" t="str">
        <f t="shared" si="132"/>
        <v/>
      </c>
      <c r="EW773" s="2288" t="str">
        <f t="shared" si="133"/>
        <v/>
      </c>
      <c r="EX773" s="2288" t="str">
        <f t="shared" si="134"/>
        <v/>
      </c>
      <c r="EY773" s="2288" t="str">
        <f t="shared" si="135"/>
        <v/>
      </c>
      <c r="EZ773" s="2288" t="str">
        <f t="shared" si="136"/>
        <v/>
      </c>
      <c r="FA773" s="2288" t="str">
        <f t="shared" si="137"/>
        <v/>
      </c>
      <c r="FB773" s="2288" t="str">
        <f t="shared" si="138"/>
        <v/>
      </c>
      <c r="FC773" s="2288" t="str">
        <f t="shared" si="139"/>
        <v/>
      </c>
      <c r="FD773" s="2288" t="str">
        <f t="shared" si="140"/>
        <v/>
      </c>
      <c r="FE773" s="2288" t="str">
        <f t="shared" si="141"/>
        <v/>
      </c>
      <c r="FF773" s="2288" t="str">
        <f t="shared" si="142"/>
        <v/>
      </c>
      <c r="FG773" s="2288" t="str">
        <f t="shared" si="143"/>
        <v/>
      </c>
      <c r="FH773" s="2288" t="str">
        <f t="shared" si="144"/>
        <v/>
      </c>
      <c r="FI773" s="2288" t="str">
        <f t="shared" si="145"/>
        <v/>
      </c>
      <c r="FJ773" s="2288" t="str">
        <f t="shared" si="146"/>
        <v/>
      </c>
      <c r="FK773" s="2288" t="str">
        <f t="shared" si="147"/>
        <v/>
      </c>
      <c r="FL773" s="2288" t="str">
        <f t="shared" si="148"/>
        <v/>
      </c>
      <c r="FM773" s="2288" t="str">
        <f t="shared" si="149"/>
        <v/>
      </c>
      <c r="FN773" s="2288" t="str">
        <f t="shared" si="150"/>
        <v/>
      </c>
      <c r="FO773" s="2288" t="str">
        <f t="shared" si="151"/>
        <v/>
      </c>
      <c r="FP773" s="2288" t="str">
        <f t="shared" si="152"/>
        <v/>
      </c>
      <c r="FQ773" s="2288" t="str">
        <f t="shared" si="153"/>
        <v/>
      </c>
      <c r="FR773" s="2288" t="str">
        <f t="shared" si="154"/>
        <v/>
      </c>
      <c r="FS773" s="2288" t="str">
        <f t="shared" si="155"/>
        <v/>
      </c>
      <c r="FT773" s="2288" t="str">
        <f t="shared" si="156"/>
        <v/>
      </c>
      <c r="FU773" s="2288" t="str">
        <f t="shared" si="157"/>
        <v/>
      </c>
      <c r="FV773" s="2288" t="str">
        <f t="shared" si="158"/>
        <v/>
      </c>
      <c r="FW773" s="2288" t="str">
        <f t="shared" si="159"/>
        <v/>
      </c>
      <c r="FX773" s="2288" t="str">
        <f t="shared" si="160"/>
        <v/>
      </c>
      <c r="FY773" s="2288" t="str">
        <f t="shared" si="161"/>
        <v/>
      </c>
      <c r="FZ773" s="2288" t="str">
        <f t="shared" si="162"/>
        <v/>
      </c>
      <c r="GA773" s="2288" t="str">
        <f t="shared" si="163"/>
        <v/>
      </c>
      <c r="GB773" s="2288" t="str">
        <f t="shared" si="164"/>
        <v/>
      </c>
      <c r="GC773" s="2288" t="str">
        <f t="shared" si="165"/>
        <v/>
      </c>
      <c r="GD773" s="2288" t="str">
        <f t="shared" si="166"/>
        <v/>
      </c>
      <c r="GE773" s="2288" t="str">
        <f t="shared" si="167"/>
        <v/>
      </c>
      <c r="GF773" s="2288" t="str">
        <f t="shared" si="168"/>
        <v/>
      </c>
      <c r="GG773" s="2288" t="str">
        <f t="shared" si="169"/>
        <v/>
      </c>
      <c r="GH773" s="2288" t="str">
        <f t="shared" si="170"/>
        <v/>
      </c>
      <c r="GI773" s="2288" t="str">
        <f t="shared" si="171"/>
        <v/>
      </c>
      <c r="GJ773" s="2288" t="str">
        <f t="shared" si="172"/>
        <v/>
      </c>
      <c r="GK773" s="2288" t="str">
        <f t="shared" si="173"/>
        <v/>
      </c>
      <c r="GL773" s="2288" t="str">
        <f t="shared" si="174"/>
        <v/>
      </c>
      <c r="GM773" s="2288" t="str">
        <f t="shared" si="175"/>
        <v/>
      </c>
      <c r="GN773" s="2288" t="str">
        <f t="shared" si="176"/>
        <v/>
      </c>
      <c r="GO773" s="2288" t="str">
        <f t="shared" si="177"/>
        <v/>
      </c>
      <c r="GP773" s="2288" t="str">
        <f t="shared" si="178"/>
        <v/>
      </c>
      <c r="GQ773" s="2288" t="str">
        <f t="shared" si="179"/>
        <v/>
      </c>
      <c r="GR773" s="2288" t="str">
        <f t="shared" si="180"/>
        <v/>
      </c>
      <c r="GS773" s="2288" t="str">
        <f t="shared" si="181"/>
        <v/>
      </c>
      <c r="GT773" s="2288" t="str">
        <f t="shared" si="182"/>
        <v/>
      </c>
      <c r="GU773" s="2288" t="str">
        <f t="shared" si="183"/>
        <v/>
      </c>
      <c r="GV773" s="2288" t="str">
        <f t="shared" si="184"/>
        <v/>
      </c>
      <c r="GW773" s="2288" t="str">
        <f t="shared" si="185"/>
        <v/>
      </c>
      <c r="GX773" s="2288" t="str">
        <f t="shared" si="186"/>
        <v/>
      </c>
      <c r="GY773" s="2288" t="str">
        <f t="shared" si="187"/>
        <v/>
      </c>
      <c r="GZ773" s="2288" t="str">
        <f t="shared" si="188"/>
        <v/>
      </c>
      <c r="HA773" s="2288" t="str">
        <f t="shared" si="189"/>
        <v/>
      </c>
      <c r="HB773" s="2288" t="str">
        <f t="shared" si="190"/>
        <v/>
      </c>
      <c r="HC773" s="2288" t="str">
        <f t="shared" si="191"/>
        <v/>
      </c>
      <c r="HD773" s="2288" t="str">
        <f t="shared" si="192"/>
        <v/>
      </c>
      <c r="HE773" s="2288" t="str">
        <f t="shared" si="193"/>
        <v/>
      </c>
      <c r="HF773" s="2288" t="str">
        <f t="shared" si="194"/>
        <v/>
      </c>
      <c r="HG773" s="2288" t="str">
        <f t="shared" si="195"/>
        <v/>
      </c>
      <c r="HH773" s="2288" t="str">
        <f t="shared" si="196"/>
        <v/>
      </c>
      <c r="HI773" s="2288" t="str">
        <f t="shared" si="197"/>
        <v/>
      </c>
      <c r="HJ773" s="2288" t="str">
        <f t="shared" si="198"/>
        <v/>
      </c>
      <c r="HK773" s="2288" t="str">
        <f t="shared" si="199"/>
        <v/>
      </c>
      <c r="HL773" s="2288" t="str">
        <f t="shared" si="200"/>
        <v/>
      </c>
      <c r="HM773" s="2288" t="str">
        <f t="shared" si="201"/>
        <v/>
      </c>
      <c r="HN773" s="2288" t="str">
        <f t="shared" si="202"/>
        <v/>
      </c>
      <c r="HO773" s="2288" t="str">
        <f t="shared" si="203"/>
        <v/>
      </c>
      <c r="HP773" s="2288" t="str">
        <f t="shared" si="204"/>
        <v/>
      </c>
      <c r="HQ773" s="2288" t="str">
        <f t="shared" si="205"/>
        <v/>
      </c>
      <c r="HR773" s="2288" t="str">
        <f t="shared" si="206"/>
        <v/>
      </c>
      <c r="HS773" s="2288" t="str">
        <f t="shared" si="207"/>
        <v/>
      </c>
      <c r="HT773" s="2288" t="str">
        <f t="shared" si="208"/>
        <v/>
      </c>
      <c r="HU773" s="2288" t="str">
        <f t="shared" si="209"/>
        <v/>
      </c>
      <c r="HV773" s="2288" t="str">
        <f t="shared" si="210"/>
        <v/>
      </c>
      <c r="HW773" s="2288" t="str">
        <f t="shared" si="211"/>
        <v/>
      </c>
      <c r="HX773" s="2288" t="str">
        <f t="shared" si="212"/>
        <v/>
      </c>
      <c r="HY773" s="2288" t="str">
        <f t="shared" si="213"/>
        <v/>
      </c>
      <c r="HZ773" s="2288" t="str">
        <f t="shared" si="214"/>
        <v/>
      </c>
      <c r="IA773" s="2288" t="str">
        <f t="shared" si="215"/>
        <v/>
      </c>
      <c r="IB773" s="2288" t="str">
        <f t="shared" si="216"/>
        <v/>
      </c>
      <c r="IC773" s="2288" t="str">
        <f t="shared" si="217"/>
        <v/>
      </c>
      <c r="ID773" s="2255" t="str">
        <f t="shared" si="218"/>
        <v/>
      </c>
      <c r="IE773" s="2255" t="str">
        <f t="shared" si="219"/>
        <v/>
      </c>
      <c r="IF773" s="2255" t="str">
        <f t="shared" si="220"/>
        <v/>
      </c>
      <c r="IG773" s="2255" t="str">
        <f t="shared" si="221"/>
        <v/>
      </c>
      <c r="IH773" s="2255" t="str">
        <f t="shared" si="222"/>
        <v/>
      </c>
      <c r="II773" s="873" t="str">
        <f t="shared" si="223"/>
        <v/>
      </c>
      <c r="IJ773" s="873" t="str">
        <f t="shared" si="224"/>
        <v/>
      </c>
      <c r="IK773" s="873" t="str">
        <f t="shared" si="225"/>
        <v/>
      </c>
      <c r="IL773" s="873" t="str">
        <f t="shared" si="226"/>
        <v/>
      </c>
      <c r="IM773" s="873" t="str">
        <f t="shared" si="227"/>
        <v/>
      </c>
      <c r="IN773" s="873" t="str">
        <f t="shared" si="228"/>
        <v/>
      </c>
      <c r="IO773" s="873" t="str">
        <f t="shared" si="229"/>
        <v/>
      </c>
      <c r="IP773" s="873" t="str">
        <f t="shared" si="230"/>
        <v/>
      </c>
      <c r="IQ773" s="873" t="str">
        <f t="shared" si="231"/>
        <v/>
      </c>
      <c r="IR773" s="873" t="str">
        <f t="shared" si="232"/>
        <v/>
      </c>
      <c r="IS773" s="873" t="str">
        <f t="shared" si="233"/>
        <v/>
      </c>
      <c r="IT773" s="873" t="str">
        <f t="shared" si="234"/>
        <v/>
      </c>
      <c r="IU773" s="873" t="str">
        <f t="shared" si="235"/>
        <v/>
      </c>
      <c r="IV773" s="873" t="str">
        <f t="shared" si="236"/>
        <v/>
      </c>
      <c r="IW773" s="873" t="str">
        <f t="shared" si="237"/>
        <v/>
      </c>
      <c r="IX773" s="873" t="str">
        <f t="shared" si="238"/>
        <v/>
      </c>
      <c r="IY773" s="873" t="str">
        <f t="shared" si="239"/>
        <v/>
      </c>
      <c r="IZ773" s="873" t="str">
        <f t="shared" si="240"/>
        <v/>
      </c>
      <c r="JA773" s="873" t="str">
        <f t="shared" si="241"/>
        <v/>
      </c>
      <c r="JB773" s="873" t="str">
        <f t="shared" si="242"/>
        <v/>
      </c>
      <c r="JC773" s="2253">
        <f t="shared" si="243"/>
        <v>0</v>
      </c>
      <c r="JD773" s="2253">
        <f t="shared" si="244"/>
        <v>0</v>
      </c>
      <c r="JE773" s="2253">
        <f t="shared" si="245"/>
        <v>0</v>
      </c>
      <c r="JF773" s="2253">
        <f t="shared" si="246"/>
        <v>0</v>
      </c>
      <c r="JG773" s="2253">
        <f t="shared" si="247"/>
        <v>0</v>
      </c>
      <c r="JH773" s="2253">
        <f t="shared" si="248"/>
        <v>0</v>
      </c>
      <c r="JI773" s="2253">
        <f t="shared" si="249"/>
        <v>0</v>
      </c>
      <c r="JJ773" s="2253">
        <f t="shared" si="250"/>
        <v>0</v>
      </c>
      <c r="JK773" s="2253">
        <f t="shared" si="251"/>
        <v>0</v>
      </c>
      <c r="JL773" s="2253">
        <f t="shared" si="252"/>
        <v>0</v>
      </c>
      <c r="JM773" s="2253">
        <f t="shared" si="253"/>
        <v>0</v>
      </c>
      <c r="JN773" s="2253">
        <f t="shared" si="254"/>
        <v>0</v>
      </c>
      <c r="JO773" s="2253">
        <f t="shared" si="255"/>
        <v>0</v>
      </c>
      <c r="JP773" s="2253">
        <f t="shared" si="256"/>
        <v>0</v>
      </c>
      <c r="JQ773" s="2253">
        <f t="shared" si="257"/>
        <v>0</v>
      </c>
    </row>
    <row r="774" spans="1:277" ht="12" customHeight="1">
      <c r="A774" s="2258" t="str">
        <f t="shared" si="0"/>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1"/>
        <v>0</v>
      </c>
      <c r="L774" s="2284">
        <f t="shared" si="2"/>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3" t="str">
        <f t="shared" si="3"/>
        <v/>
      </c>
      <c r="X774" s="873" t="str">
        <f t="shared" si="4"/>
        <v/>
      </c>
      <c r="Y774" s="873" t="str">
        <f t="shared" si="5"/>
        <v/>
      </c>
      <c r="Z774" s="873" t="str">
        <f t="shared" si="6"/>
        <v/>
      </c>
      <c r="AA774" s="873" t="str">
        <f t="shared" si="7"/>
        <v/>
      </c>
      <c r="AB774" s="873" t="str">
        <f t="shared" si="8"/>
        <v/>
      </c>
      <c r="AC774" s="873" t="str">
        <f t="shared" si="9"/>
        <v/>
      </c>
      <c r="AD774" s="873" t="str">
        <f t="shared" si="10"/>
        <v/>
      </c>
      <c r="AE774" s="873" t="str">
        <f t="shared" si="11"/>
        <v/>
      </c>
      <c r="AF774" s="873" t="str">
        <f t="shared" si="12"/>
        <v/>
      </c>
      <c r="AG774" s="873" t="str">
        <f t="shared" si="13"/>
        <v/>
      </c>
      <c r="AH774" s="873" t="str">
        <f t="shared" si="14"/>
        <v/>
      </c>
      <c r="AI774" s="873" t="str">
        <f t="shared" si="15"/>
        <v/>
      </c>
      <c r="AJ774" s="873" t="str">
        <f t="shared" si="16"/>
        <v/>
      </c>
      <c r="AK774" s="873" t="str">
        <f t="shared" si="17"/>
        <v/>
      </c>
      <c r="AL774" s="873" t="str">
        <f t="shared" si="18"/>
        <v/>
      </c>
      <c r="AM774" s="873" t="str">
        <f t="shared" si="19"/>
        <v/>
      </c>
      <c r="AN774" s="873" t="str">
        <f t="shared" si="20"/>
        <v/>
      </c>
      <c r="AO774" s="873" t="str">
        <f t="shared" si="21"/>
        <v/>
      </c>
      <c r="AP774" s="873" t="str">
        <f t="shared" si="22"/>
        <v/>
      </c>
      <c r="AQ774" s="873" t="str">
        <f t="shared" si="23"/>
        <v/>
      </c>
      <c r="AR774" s="873" t="str">
        <f t="shared" si="24"/>
        <v/>
      </c>
      <c r="AS774" s="873" t="str">
        <f t="shared" si="25"/>
        <v/>
      </c>
      <c r="AT774" s="873" t="str">
        <f t="shared" si="26"/>
        <v/>
      </c>
      <c r="AU774" s="873" t="str">
        <f t="shared" si="27"/>
        <v/>
      </c>
      <c r="AV774" s="873" t="str">
        <f t="shared" si="28"/>
        <v/>
      </c>
      <c r="AW774" s="873" t="str">
        <f t="shared" si="29"/>
        <v/>
      </c>
      <c r="AX774" s="873" t="str">
        <f t="shared" si="30"/>
        <v/>
      </c>
      <c r="AY774" s="873" t="str">
        <f t="shared" si="31"/>
        <v/>
      </c>
      <c r="AZ774" s="873" t="str">
        <f t="shared" si="32"/>
        <v/>
      </c>
      <c r="BA774" s="873" t="str">
        <f t="shared" si="33"/>
        <v/>
      </c>
      <c r="BB774" s="873" t="str">
        <f t="shared" si="34"/>
        <v/>
      </c>
      <c r="BC774" s="873" t="str">
        <f t="shared" si="35"/>
        <v/>
      </c>
      <c r="BD774" s="873" t="str">
        <f t="shared" si="36"/>
        <v/>
      </c>
      <c r="BE774" s="873" t="str">
        <f t="shared" si="37"/>
        <v/>
      </c>
      <c r="BF774" s="873" t="str">
        <f t="shared" si="38"/>
        <v/>
      </c>
      <c r="BG774" s="873" t="str">
        <f t="shared" si="39"/>
        <v/>
      </c>
      <c r="BH774" s="873" t="str">
        <f t="shared" si="40"/>
        <v/>
      </c>
      <c r="BI774" s="873" t="str">
        <f t="shared" si="41"/>
        <v/>
      </c>
      <c r="BJ774" s="873" t="str">
        <f t="shared" si="42"/>
        <v/>
      </c>
      <c r="BK774" s="873" t="str">
        <f t="shared" si="43"/>
        <v/>
      </c>
      <c r="BL774" s="873" t="str">
        <f t="shared" si="44"/>
        <v/>
      </c>
      <c r="BM774" s="873" t="str">
        <f t="shared" si="45"/>
        <v/>
      </c>
      <c r="BN774" s="873" t="str">
        <f t="shared" si="46"/>
        <v/>
      </c>
      <c r="BO774" s="873" t="str">
        <f t="shared" si="47"/>
        <v/>
      </c>
      <c r="BP774" s="873" t="str">
        <f t="shared" si="48"/>
        <v/>
      </c>
      <c r="BQ774" s="873" t="str">
        <f t="shared" si="49"/>
        <v/>
      </c>
      <c r="BR774" s="873" t="str">
        <f t="shared" si="50"/>
        <v/>
      </c>
      <c r="BS774" s="873" t="str">
        <f t="shared" si="51"/>
        <v/>
      </c>
      <c r="BT774" s="873" t="str">
        <f t="shared" si="52"/>
        <v/>
      </c>
      <c r="BU774" s="873" t="str">
        <f t="shared" si="53"/>
        <v/>
      </c>
      <c r="BV774" s="873" t="str">
        <f t="shared" si="54"/>
        <v/>
      </c>
      <c r="BW774" s="873" t="str">
        <f t="shared" si="55"/>
        <v/>
      </c>
      <c r="BX774" s="873" t="str">
        <f t="shared" si="56"/>
        <v/>
      </c>
      <c r="BY774" s="873" t="str">
        <f t="shared" si="57"/>
        <v/>
      </c>
      <c r="BZ774" s="873" t="str">
        <f t="shared" si="58"/>
        <v/>
      </c>
      <c r="CA774" s="873" t="str">
        <f t="shared" si="59"/>
        <v/>
      </c>
      <c r="CB774" s="873" t="str">
        <f t="shared" si="60"/>
        <v/>
      </c>
      <c r="CC774" s="873" t="str">
        <f t="shared" si="61"/>
        <v/>
      </c>
      <c r="CD774" s="873" t="str">
        <f t="shared" si="62"/>
        <v/>
      </c>
      <c r="CE774" s="873" t="str">
        <f t="shared" si="63"/>
        <v/>
      </c>
      <c r="CF774" s="873" t="str">
        <f t="shared" si="64"/>
        <v/>
      </c>
      <c r="CG774" s="873" t="str">
        <f t="shared" si="65"/>
        <v/>
      </c>
      <c r="CH774" s="873" t="str">
        <f t="shared" si="66"/>
        <v/>
      </c>
      <c r="CI774" s="873" t="str">
        <f t="shared" si="67"/>
        <v/>
      </c>
      <c r="CJ774" s="873" t="str">
        <f t="shared" si="68"/>
        <v/>
      </c>
      <c r="CK774" s="873" t="str">
        <f t="shared" si="69"/>
        <v/>
      </c>
      <c r="CL774" s="873" t="str">
        <f t="shared" si="70"/>
        <v/>
      </c>
      <c r="CM774" s="873" t="str">
        <f t="shared" si="71"/>
        <v/>
      </c>
      <c r="CN774" s="873" t="str">
        <f t="shared" si="72"/>
        <v/>
      </c>
      <c r="CO774" s="873" t="str">
        <f t="shared" si="73"/>
        <v/>
      </c>
      <c r="CP774" s="873" t="str">
        <f t="shared" si="74"/>
        <v/>
      </c>
      <c r="CQ774" s="873" t="str">
        <f t="shared" si="75"/>
        <v/>
      </c>
      <c r="CR774" s="873" t="str">
        <f t="shared" si="76"/>
        <v/>
      </c>
      <c r="CS774" s="873" t="str">
        <f t="shared" si="77"/>
        <v/>
      </c>
      <c r="CT774" s="873" t="str">
        <f t="shared" si="78"/>
        <v/>
      </c>
      <c r="CU774" s="873" t="str">
        <f t="shared" si="79"/>
        <v/>
      </c>
      <c r="CV774" s="873" t="str">
        <f t="shared" si="80"/>
        <v/>
      </c>
      <c r="CW774" s="873" t="str">
        <f t="shared" si="81"/>
        <v/>
      </c>
      <c r="CX774" s="873" t="str">
        <f t="shared" si="82"/>
        <v/>
      </c>
      <c r="CY774" s="873" t="str">
        <f t="shared" si="83"/>
        <v/>
      </c>
      <c r="CZ774" s="873" t="str">
        <f t="shared" si="84"/>
        <v/>
      </c>
      <c r="DA774" s="873" t="str">
        <f t="shared" si="85"/>
        <v/>
      </c>
      <c r="DB774" s="873" t="str">
        <f t="shared" si="86"/>
        <v/>
      </c>
      <c r="DC774" s="873" t="str">
        <f t="shared" si="87"/>
        <v/>
      </c>
      <c r="DD774" s="873" t="str">
        <f t="shared" si="88"/>
        <v/>
      </c>
      <c r="DE774" s="873" t="str">
        <f t="shared" si="89"/>
        <v/>
      </c>
      <c r="DF774" s="873" t="str">
        <f t="shared" si="90"/>
        <v/>
      </c>
      <c r="DG774" s="873" t="str">
        <f t="shared" si="91"/>
        <v/>
      </c>
      <c r="DH774" s="873" t="str">
        <f t="shared" si="92"/>
        <v/>
      </c>
      <c r="DI774" s="873" t="str">
        <f t="shared" si="93"/>
        <v/>
      </c>
      <c r="DJ774" s="873" t="str">
        <f t="shared" si="94"/>
        <v/>
      </c>
      <c r="DK774" s="873" t="str">
        <f t="shared" si="95"/>
        <v/>
      </c>
      <c r="DL774" s="873" t="str">
        <f t="shared" si="96"/>
        <v/>
      </c>
      <c r="DM774" s="873" t="str">
        <f t="shared" si="97"/>
        <v/>
      </c>
      <c r="DN774" s="873" t="str">
        <f t="shared" si="98"/>
        <v/>
      </c>
      <c r="DO774" s="873" t="str">
        <f t="shared" si="99"/>
        <v/>
      </c>
      <c r="DP774" s="873" t="str">
        <f t="shared" si="100"/>
        <v/>
      </c>
      <c r="DQ774" s="873" t="str">
        <f t="shared" si="101"/>
        <v/>
      </c>
      <c r="DR774" s="873" t="str">
        <f t="shared" si="102"/>
        <v/>
      </c>
      <c r="DS774" s="873" t="str">
        <f t="shared" si="103"/>
        <v/>
      </c>
      <c r="DT774" s="873" t="str">
        <f t="shared" si="104"/>
        <v/>
      </c>
      <c r="DU774" s="873" t="str">
        <f t="shared" si="105"/>
        <v/>
      </c>
      <c r="DV774" s="873" t="str">
        <f t="shared" si="106"/>
        <v/>
      </c>
      <c r="DW774" s="873" t="str">
        <f t="shared" si="107"/>
        <v/>
      </c>
      <c r="DX774" s="873" t="str">
        <f t="shared" si="108"/>
        <v/>
      </c>
      <c r="DY774" s="873" t="str">
        <f t="shared" si="109"/>
        <v/>
      </c>
      <c r="DZ774" s="873" t="str">
        <f t="shared" si="110"/>
        <v/>
      </c>
      <c r="EA774" s="873" t="str">
        <f t="shared" si="111"/>
        <v/>
      </c>
      <c r="EB774" s="873" t="str">
        <f t="shared" si="112"/>
        <v/>
      </c>
      <c r="EC774" s="873" t="str">
        <f t="shared" si="113"/>
        <v/>
      </c>
      <c r="ED774" s="873" t="str">
        <f t="shared" si="114"/>
        <v/>
      </c>
      <c r="EE774" s="873" t="str">
        <f t="shared" si="115"/>
        <v/>
      </c>
      <c r="EF774" s="873" t="str">
        <f t="shared" si="116"/>
        <v/>
      </c>
      <c r="EG774" s="873" t="str">
        <f t="shared" si="117"/>
        <v/>
      </c>
      <c r="EH774" s="873" t="str">
        <f t="shared" si="118"/>
        <v/>
      </c>
      <c r="EI774" s="873" t="str">
        <f t="shared" si="119"/>
        <v/>
      </c>
      <c r="EJ774" s="873" t="str">
        <f t="shared" si="120"/>
        <v/>
      </c>
      <c r="EK774" s="873" t="str">
        <f t="shared" si="121"/>
        <v/>
      </c>
      <c r="EL774" s="873" t="str">
        <f t="shared" si="122"/>
        <v/>
      </c>
      <c r="EM774" s="873" t="str">
        <f t="shared" si="123"/>
        <v/>
      </c>
      <c r="EN774" s="873" t="str">
        <f t="shared" si="124"/>
        <v/>
      </c>
      <c r="EO774" s="873" t="str">
        <f t="shared" si="125"/>
        <v/>
      </c>
      <c r="EP774" s="873" t="str">
        <f t="shared" si="126"/>
        <v/>
      </c>
      <c r="EQ774" s="873" t="str">
        <f t="shared" si="127"/>
        <v/>
      </c>
      <c r="ER774" s="873" t="str">
        <f t="shared" si="128"/>
        <v/>
      </c>
      <c r="ES774" s="873" t="str">
        <f t="shared" si="129"/>
        <v/>
      </c>
      <c r="ET774" s="873" t="str">
        <f t="shared" si="130"/>
        <v/>
      </c>
      <c r="EU774" s="873" t="str">
        <f t="shared" si="131"/>
        <v/>
      </c>
      <c r="EV774" s="873" t="str">
        <f t="shared" si="132"/>
        <v/>
      </c>
      <c r="EW774" s="2288" t="str">
        <f t="shared" si="133"/>
        <v/>
      </c>
      <c r="EX774" s="2288" t="str">
        <f t="shared" si="134"/>
        <v/>
      </c>
      <c r="EY774" s="2288" t="str">
        <f t="shared" si="135"/>
        <v/>
      </c>
      <c r="EZ774" s="2288" t="str">
        <f t="shared" si="136"/>
        <v/>
      </c>
      <c r="FA774" s="2288" t="str">
        <f t="shared" si="137"/>
        <v/>
      </c>
      <c r="FB774" s="2288" t="str">
        <f t="shared" si="138"/>
        <v/>
      </c>
      <c r="FC774" s="2288" t="str">
        <f t="shared" si="139"/>
        <v/>
      </c>
      <c r="FD774" s="2288" t="str">
        <f t="shared" si="140"/>
        <v/>
      </c>
      <c r="FE774" s="2288" t="str">
        <f t="shared" si="141"/>
        <v/>
      </c>
      <c r="FF774" s="2288" t="str">
        <f t="shared" si="142"/>
        <v/>
      </c>
      <c r="FG774" s="2288" t="str">
        <f t="shared" si="143"/>
        <v/>
      </c>
      <c r="FH774" s="2288" t="str">
        <f t="shared" si="144"/>
        <v/>
      </c>
      <c r="FI774" s="2288" t="str">
        <f t="shared" si="145"/>
        <v/>
      </c>
      <c r="FJ774" s="2288" t="str">
        <f t="shared" si="146"/>
        <v/>
      </c>
      <c r="FK774" s="2288" t="str">
        <f t="shared" si="147"/>
        <v/>
      </c>
      <c r="FL774" s="2288" t="str">
        <f t="shared" si="148"/>
        <v/>
      </c>
      <c r="FM774" s="2288" t="str">
        <f t="shared" si="149"/>
        <v/>
      </c>
      <c r="FN774" s="2288" t="str">
        <f t="shared" si="150"/>
        <v/>
      </c>
      <c r="FO774" s="2288" t="str">
        <f t="shared" si="151"/>
        <v/>
      </c>
      <c r="FP774" s="2288" t="str">
        <f t="shared" si="152"/>
        <v/>
      </c>
      <c r="FQ774" s="2288" t="str">
        <f t="shared" si="153"/>
        <v/>
      </c>
      <c r="FR774" s="2288" t="str">
        <f t="shared" si="154"/>
        <v/>
      </c>
      <c r="FS774" s="2288" t="str">
        <f t="shared" si="155"/>
        <v/>
      </c>
      <c r="FT774" s="2288" t="str">
        <f t="shared" si="156"/>
        <v/>
      </c>
      <c r="FU774" s="2288" t="str">
        <f t="shared" si="157"/>
        <v/>
      </c>
      <c r="FV774" s="2288" t="str">
        <f t="shared" si="158"/>
        <v/>
      </c>
      <c r="FW774" s="2288" t="str">
        <f t="shared" si="159"/>
        <v/>
      </c>
      <c r="FX774" s="2288" t="str">
        <f t="shared" si="160"/>
        <v/>
      </c>
      <c r="FY774" s="2288" t="str">
        <f t="shared" si="161"/>
        <v/>
      </c>
      <c r="FZ774" s="2288" t="str">
        <f t="shared" si="162"/>
        <v/>
      </c>
      <c r="GA774" s="2288" t="str">
        <f t="shared" si="163"/>
        <v/>
      </c>
      <c r="GB774" s="2288" t="str">
        <f t="shared" si="164"/>
        <v/>
      </c>
      <c r="GC774" s="2288" t="str">
        <f t="shared" si="165"/>
        <v/>
      </c>
      <c r="GD774" s="2288" t="str">
        <f t="shared" si="166"/>
        <v/>
      </c>
      <c r="GE774" s="2288" t="str">
        <f t="shared" si="167"/>
        <v/>
      </c>
      <c r="GF774" s="2288" t="str">
        <f t="shared" si="168"/>
        <v/>
      </c>
      <c r="GG774" s="2288" t="str">
        <f t="shared" si="169"/>
        <v/>
      </c>
      <c r="GH774" s="2288" t="str">
        <f t="shared" si="170"/>
        <v/>
      </c>
      <c r="GI774" s="2288" t="str">
        <f t="shared" si="171"/>
        <v/>
      </c>
      <c r="GJ774" s="2288" t="str">
        <f t="shared" si="172"/>
        <v/>
      </c>
      <c r="GK774" s="2288" t="str">
        <f t="shared" si="173"/>
        <v/>
      </c>
      <c r="GL774" s="2288" t="str">
        <f t="shared" si="174"/>
        <v/>
      </c>
      <c r="GM774" s="2288" t="str">
        <f t="shared" si="175"/>
        <v/>
      </c>
      <c r="GN774" s="2288" t="str">
        <f t="shared" si="176"/>
        <v/>
      </c>
      <c r="GO774" s="2288" t="str">
        <f t="shared" si="177"/>
        <v/>
      </c>
      <c r="GP774" s="2288" t="str">
        <f t="shared" si="178"/>
        <v/>
      </c>
      <c r="GQ774" s="2288" t="str">
        <f t="shared" si="179"/>
        <v/>
      </c>
      <c r="GR774" s="2288" t="str">
        <f t="shared" si="180"/>
        <v/>
      </c>
      <c r="GS774" s="2288" t="str">
        <f t="shared" si="181"/>
        <v/>
      </c>
      <c r="GT774" s="2288" t="str">
        <f t="shared" si="182"/>
        <v/>
      </c>
      <c r="GU774" s="2288" t="str">
        <f t="shared" si="183"/>
        <v/>
      </c>
      <c r="GV774" s="2288" t="str">
        <f t="shared" si="184"/>
        <v/>
      </c>
      <c r="GW774" s="2288" t="str">
        <f t="shared" si="185"/>
        <v/>
      </c>
      <c r="GX774" s="2288" t="str">
        <f t="shared" si="186"/>
        <v/>
      </c>
      <c r="GY774" s="2288" t="str">
        <f t="shared" si="187"/>
        <v/>
      </c>
      <c r="GZ774" s="2288" t="str">
        <f t="shared" si="188"/>
        <v/>
      </c>
      <c r="HA774" s="2288" t="str">
        <f t="shared" si="189"/>
        <v/>
      </c>
      <c r="HB774" s="2288" t="str">
        <f t="shared" si="190"/>
        <v/>
      </c>
      <c r="HC774" s="2288" t="str">
        <f t="shared" si="191"/>
        <v/>
      </c>
      <c r="HD774" s="2288" t="str">
        <f t="shared" si="192"/>
        <v/>
      </c>
      <c r="HE774" s="2288" t="str">
        <f t="shared" si="193"/>
        <v/>
      </c>
      <c r="HF774" s="2288" t="str">
        <f t="shared" si="194"/>
        <v/>
      </c>
      <c r="HG774" s="2288" t="str">
        <f t="shared" si="195"/>
        <v/>
      </c>
      <c r="HH774" s="2288" t="str">
        <f t="shared" si="196"/>
        <v/>
      </c>
      <c r="HI774" s="2288" t="str">
        <f t="shared" si="197"/>
        <v/>
      </c>
      <c r="HJ774" s="2288" t="str">
        <f t="shared" si="198"/>
        <v/>
      </c>
      <c r="HK774" s="2288" t="str">
        <f t="shared" si="199"/>
        <v/>
      </c>
      <c r="HL774" s="2288" t="str">
        <f t="shared" si="200"/>
        <v/>
      </c>
      <c r="HM774" s="2288" t="str">
        <f t="shared" si="201"/>
        <v/>
      </c>
      <c r="HN774" s="2288" t="str">
        <f t="shared" si="202"/>
        <v/>
      </c>
      <c r="HO774" s="2288" t="str">
        <f t="shared" si="203"/>
        <v/>
      </c>
      <c r="HP774" s="2288" t="str">
        <f t="shared" si="204"/>
        <v/>
      </c>
      <c r="HQ774" s="2288" t="str">
        <f t="shared" si="205"/>
        <v/>
      </c>
      <c r="HR774" s="2288" t="str">
        <f t="shared" si="206"/>
        <v/>
      </c>
      <c r="HS774" s="2288" t="str">
        <f t="shared" si="207"/>
        <v/>
      </c>
      <c r="HT774" s="2288" t="str">
        <f t="shared" si="208"/>
        <v/>
      </c>
      <c r="HU774" s="2288" t="str">
        <f t="shared" si="209"/>
        <v/>
      </c>
      <c r="HV774" s="2288" t="str">
        <f t="shared" si="210"/>
        <v/>
      </c>
      <c r="HW774" s="2288" t="str">
        <f t="shared" si="211"/>
        <v/>
      </c>
      <c r="HX774" s="2288" t="str">
        <f t="shared" si="212"/>
        <v/>
      </c>
      <c r="HY774" s="2288" t="str">
        <f t="shared" si="213"/>
        <v/>
      </c>
      <c r="HZ774" s="2288" t="str">
        <f t="shared" si="214"/>
        <v/>
      </c>
      <c r="IA774" s="2288" t="str">
        <f t="shared" si="215"/>
        <v/>
      </c>
      <c r="IB774" s="2288" t="str">
        <f t="shared" si="216"/>
        <v/>
      </c>
      <c r="IC774" s="2288" t="str">
        <f t="shared" si="217"/>
        <v/>
      </c>
      <c r="ID774" s="2255" t="str">
        <f t="shared" si="218"/>
        <v/>
      </c>
      <c r="IE774" s="2255" t="str">
        <f t="shared" si="219"/>
        <v/>
      </c>
      <c r="IF774" s="2255" t="str">
        <f t="shared" si="220"/>
        <v/>
      </c>
      <c r="IG774" s="2255" t="str">
        <f t="shared" si="221"/>
        <v/>
      </c>
      <c r="IH774" s="2255" t="str">
        <f t="shared" si="222"/>
        <v/>
      </c>
      <c r="II774" s="873" t="str">
        <f t="shared" si="223"/>
        <v/>
      </c>
      <c r="IJ774" s="873" t="str">
        <f t="shared" si="224"/>
        <v/>
      </c>
      <c r="IK774" s="873" t="str">
        <f t="shared" si="225"/>
        <v/>
      </c>
      <c r="IL774" s="873" t="str">
        <f t="shared" si="226"/>
        <v/>
      </c>
      <c r="IM774" s="873" t="str">
        <f t="shared" si="227"/>
        <v/>
      </c>
      <c r="IN774" s="873" t="str">
        <f t="shared" si="228"/>
        <v/>
      </c>
      <c r="IO774" s="873" t="str">
        <f t="shared" si="229"/>
        <v/>
      </c>
      <c r="IP774" s="873" t="str">
        <f t="shared" si="230"/>
        <v/>
      </c>
      <c r="IQ774" s="873" t="str">
        <f t="shared" si="231"/>
        <v/>
      </c>
      <c r="IR774" s="873" t="str">
        <f t="shared" si="232"/>
        <v/>
      </c>
      <c r="IS774" s="873" t="str">
        <f t="shared" si="233"/>
        <v/>
      </c>
      <c r="IT774" s="873" t="str">
        <f t="shared" si="234"/>
        <v/>
      </c>
      <c r="IU774" s="873" t="str">
        <f t="shared" si="235"/>
        <v/>
      </c>
      <c r="IV774" s="873" t="str">
        <f t="shared" si="236"/>
        <v/>
      </c>
      <c r="IW774" s="873" t="str">
        <f t="shared" si="237"/>
        <v/>
      </c>
      <c r="IX774" s="873" t="str">
        <f t="shared" si="238"/>
        <v/>
      </c>
      <c r="IY774" s="873" t="str">
        <f t="shared" si="239"/>
        <v/>
      </c>
      <c r="IZ774" s="873" t="str">
        <f t="shared" si="240"/>
        <v/>
      </c>
      <c r="JA774" s="873" t="str">
        <f t="shared" si="241"/>
        <v/>
      </c>
      <c r="JB774" s="873" t="str">
        <f t="shared" si="242"/>
        <v/>
      </c>
      <c r="JC774" s="2253">
        <f t="shared" si="243"/>
        <v>0</v>
      </c>
      <c r="JD774" s="2253">
        <f t="shared" si="244"/>
        <v>0</v>
      </c>
      <c r="JE774" s="2253">
        <f t="shared" si="245"/>
        <v>0</v>
      </c>
      <c r="JF774" s="2253">
        <f t="shared" si="246"/>
        <v>0</v>
      </c>
      <c r="JG774" s="2253">
        <f t="shared" si="247"/>
        <v>0</v>
      </c>
      <c r="JH774" s="2253">
        <f t="shared" si="248"/>
        <v>0</v>
      </c>
      <c r="JI774" s="2253">
        <f t="shared" si="249"/>
        <v>0</v>
      </c>
      <c r="JJ774" s="2253">
        <f t="shared" si="250"/>
        <v>0</v>
      </c>
      <c r="JK774" s="2253">
        <f t="shared" si="251"/>
        <v>0</v>
      </c>
      <c r="JL774" s="2253">
        <f t="shared" si="252"/>
        <v>0</v>
      </c>
      <c r="JM774" s="2253">
        <f t="shared" si="253"/>
        <v>0</v>
      </c>
      <c r="JN774" s="2253">
        <f t="shared" si="254"/>
        <v>0</v>
      </c>
      <c r="JO774" s="2253">
        <f t="shared" si="255"/>
        <v>0</v>
      </c>
      <c r="JP774" s="2253">
        <f t="shared" si="256"/>
        <v>0</v>
      </c>
      <c r="JQ774" s="2253">
        <f t="shared" si="257"/>
        <v>0</v>
      </c>
    </row>
    <row r="775" spans="1:277" ht="12" customHeight="1">
      <c r="A775" s="2258" t="str">
        <f t="shared" si="0"/>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1"/>
        <v>0</v>
      </c>
      <c r="L775" s="2284">
        <f t="shared" si="2"/>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3" t="str">
        <f t="shared" si="3"/>
        <v/>
      </c>
      <c r="X775" s="873" t="str">
        <f t="shared" si="4"/>
        <v/>
      </c>
      <c r="Y775" s="873" t="str">
        <f t="shared" si="5"/>
        <v/>
      </c>
      <c r="Z775" s="873" t="str">
        <f t="shared" si="6"/>
        <v/>
      </c>
      <c r="AA775" s="873" t="str">
        <f t="shared" si="7"/>
        <v/>
      </c>
      <c r="AB775" s="873" t="str">
        <f t="shared" si="8"/>
        <v/>
      </c>
      <c r="AC775" s="873" t="str">
        <f t="shared" si="9"/>
        <v/>
      </c>
      <c r="AD775" s="873" t="str">
        <f t="shared" si="10"/>
        <v/>
      </c>
      <c r="AE775" s="873" t="str">
        <f t="shared" si="11"/>
        <v/>
      </c>
      <c r="AF775" s="873" t="str">
        <f t="shared" si="12"/>
        <v/>
      </c>
      <c r="AG775" s="873" t="str">
        <f t="shared" si="13"/>
        <v/>
      </c>
      <c r="AH775" s="873" t="str">
        <f t="shared" si="14"/>
        <v/>
      </c>
      <c r="AI775" s="873" t="str">
        <f t="shared" si="15"/>
        <v/>
      </c>
      <c r="AJ775" s="873" t="str">
        <f t="shared" si="16"/>
        <v/>
      </c>
      <c r="AK775" s="873" t="str">
        <f t="shared" si="17"/>
        <v/>
      </c>
      <c r="AL775" s="873" t="str">
        <f t="shared" si="18"/>
        <v/>
      </c>
      <c r="AM775" s="873" t="str">
        <f t="shared" si="19"/>
        <v/>
      </c>
      <c r="AN775" s="873" t="str">
        <f t="shared" si="20"/>
        <v/>
      </c>
      <c r="AO775" s="873" t="str">
        <f t="shared" si="21"/>
        <v/>
      </c>
      <c r="AP775" s="873" t="str">
        <f t="shared" si="22"/>
        <v/>
      </c>
      <c r="AQ775" s="873" t="str">
        <f t="shared" si="23"/>
        <v/>
      </c>
      <c r="AR775" s="873" t="str">
        <f t="shared" si="24"/>
        <v/>
      </c>
      <c r="AS775" s="873" t="str">
        <f t="shared" si="25"/>
        <v/>
      </c>
      <c r="AT775" s="873" t="str">
        <f t="shared" si="26"/>
        <v/>
      </c>
      <c r="AU775" s="873" t="str">
        <f t="shared" si="27"/>
        <v/>
      </c>
      <c r="AV775" s="873" t="str">
        <f t="shared" si="28"/>
        <v/>
      </c>
      <c r="AW775" s="873" t="str">
        <f t="shared" si="29"/>
        <v/>
      </c>
      <c r="AX775" s="873" t="str">
        <f t="shared" si="30"/>
        <v/>
      </c>
      <c r="AY775" s="873" t="str">
        <f t="shared" si="31"/>
        <v/>
      </c>
      <c r="AZ775" s="873" t="str">
        <f t="shared" si="32"/>
        <v/>
      </c>
      <c r="BA775" s="873" t="str">
        <f t="shared" si="33"/>
        <v/>
      </c>
      <c r="BB775" s="873" t="str">
        <f t="shared" si="34"/>
        <v/>
      </c>
      <c r="BC775" s="873" t="str">
        <f t="shared" si="35"/>
        <v/>
      </c>
      <c r="BD775" s="873" t="str">
        <f t="shared" si="36"/>
        <v/>
      </c>
      <c r="BE775" s="873" t="str">
        <f t="shared" si="37"/>
        <v/>
      </c>
      <c r="BF775" s="873" t="str">
        <f t="shared" si="38"/>
        <v/>
      </c>
      <c r="BG775" s="873" t="str">
        <f t="shared" si="39"/>
        <v/>
      </c>
      <c r="BH775" s="873" t="str">
        <f t="shared" si="40"/>
        <v/>
      </c>
      <c r="BI775" s="873" t="str">
        <f t="shared" si="41"/>
        <v/>
      </c>
      <c r="BJ775" s="873" t="str">
        <f t="shared" si="42"/>
        <v/>
      </c>
      <c r="BK775" s="873" t="str">
        <f t="shared" si="43"/>
        <v/>
      </c>
      <c r="BL775" s="873" t="str">
        <f t="shared" si="44"/>
        <v/>
      </c>
      <c r="BM775" s="873" t="str">
        <f t="shared" si="45"/>
        <v/>
      </c>
      <c r="BN775" s="873" t="str">
        <f t="shared" si="46"/>
        <v/>
      </c>
      <c r="BO775" s="873" t="str">
        <f t="shared" si="47"/>
        <v/>
      </c>
      <c r="BP775" s="873" t="str">
        <f t="shared" si="48"/>
        <v/>
      </c>
      <c r="BQ775" s="873" t="str">
        <f t="shared" si="49"/>
        <v/>
      </c>
      <c r="BR775" s="873" t="str">
        <f t="shared" si="50"/>
        <v/>
      </c>
      <c r="BS775" s="873" t="str">
        <f t="shared" si="51"/>
        <v/>
      </c>
      <c r="BT775" s="873" t="str">
        <f t="shared" si="52"/>
        <v/>
      </c>
      <c r="BU775" s="873" t="str">
        <f t="shared" si="53"/>
        <v/>
      </c>
      <c r="BV775" s="873" t="str">
        <f t="shared" si="54"/>
        <v/>
      </c>
      <c r="BW775" s="873" t="str">
        <f t="shared" si="55"/>
        <v/>
      </c>
      <c r="BX775" s="873" t="str">
        <f t="shared" si="56"/>
        <v/>
      </c>
      <c r="BY775" s="873" t="str">
        <f t="shared" si="57"/>
        <v/>
      </c>
      <c r="BZ775" s="873" t="str">
        <f t="shared" si="58"/>
        <v/>
      </c>
      <c r="CA775" s="873" t="str">
        <f t="shared" si="59"/>
        <v/>
      </c>
      <c r="CB775" s="873" t="str">
        <f t="shared" si="60"/>
        <v/>
      </c>
      <c r="CC775" s="873" t="str">
        <f t="shared" si="61"/>
        <v/>
      </c>
      <c r="CD775" s="873" t="str">
        <f t="shared" si="62"/>
        <v/>
      </c>
      <c r="CE775" s="873" t="str">
        <f t="shared" si="63"/>
        <v/>
      </c>
      <c r="CF775" s="873" t="str">
        <f t="shared" si="64"/>
        <v/>
      </c>
      <c r="CG775" s="873" t="str">
        <f t="shared" si="65"/>
        <v/>
      </c>
      <c r="CH775" s="873" t="str">
        <f t="shared" si="66"/>
        <v/>
      </c>
      <c r="CI775" s="873" t="str">
        <f t="shared" si="67"/>
        <v/>
      </c>
      <c r="CJ775" s="873" t="str">
        <f t="shared" si="68"/>
        <v/>
      </c>
      <c r="CK775" s="873" t="str">
        <f t="shared" si="69"/>
        <v/>
      </c>
      <c r="CL775" s="873" t="str">
        <f t="shared" si="70"/>
        <v/>
      </c>
      <c r="CM775" s="873" t="str">
        <f t="shared" si="71"/>
        <v/>
      </c>
      <c r="CN775" s="873" t="str">
        <f t="shared" si="72"/>
        <v/>
      </c>
      <c r="CO775" s="873" t="str">
        <f t="shared" si="73"/>
        <v/>
      </c>
      <c r="CP775" s="873" t="str">
        <f t="shared" si="74"/>
        <v/>
      </c>
      <c r="CQ775" s="873" t="str">
        <f t="shared" si="75"/>
        <v/>
      </c>
      <c r="CR775" s="873" t="str">
        <f t="shared" si="76"/>
        <v/>
      </c>
      <c r="CS775" s="873" t="str">
        <f t="shared" si="77"/>
        <v/>
      </c>
      <c r="CT775" s="873" t="str">
        <f t="shared" si="78"/>
        <v/>
      </c>
      <c r="CU775" s="873" t="str">
        <f t="shared" si="79"/>
        <v/>
      </c>
      <c r="CV775" s="873" t="str">
        <f t="shared" si="80"/>
        <v/>
      </c>
      <c r="CW775" s="873" t="str">
        <f t="shared" si="81"/>
        <v/>
      </c>
      <c r="CX775" s="873" t="str">
        <f t="shared" si="82"/>
        <v/>
      </c>
      <c r="CY775" s="873" t="str">
        <f t="shared" si="83"/>
        <v/>
      </c>
      <c r="CZ775" s="873" t="str">
        <f t="shared" si="84"/>
        <v/>
      </c>
      <c r="DA775" s="873" t="str">
        <f t="shared" si="85"/>
        <v/>
      </c>
      <c r="DB775" s="873" t="str">
        <f t="shared" si="86"/>
        <v/>
      </c>
      <c r="DC775" s="873" t="str">
        <f t="shared" si="87"/>
        <v/>
      </c>
      <c r="DD775" s="873" t="str">
        <f t="shared" si="88"/>
        <v/>
      </c>
      <c r="DE775" s="873" t="str">
        <f t="shared" si="89"/>
        <v/>
      </c>
      <c r="DF775" s="873" t="str">
        <f t="shared" si="90"/>
        <v/>
      </c>
      <c r="DG775" s="873" t="str">
        <f t="shared" si="91"/>
        <v/>
      </c>
      <c r="DH775" s="873" t="str">
        <f t="shared" si="92"/>
        <v/>
      </c>
      <c r="DI775" s="873" t="str">
        <f t="shared" si="93"/>
        <v/>
      </c>
      <c r="DJ775" s="873" t="str">
        <f t="shared" si="94"/>
        <v/>
      </c>
      <c r="DK775" s="873" t="str">
        <f t="shared" si="95"/>
        <v/>
      </c>
      <c r="DL775" s="873" t="str">
        <f t="shared" si="96"/>
        <v/>
      </c>
      <c r="DM775" s="873" t="str">
        <f t="shared" si="97"/>
        <v/>
      </c>
      <c r="DN775" s="873" t="str">
        <f t="shared" si="98"/>
        <v/>
      </c>
      <c r="DO775" s="873" t="str">
        <f t="shared" si="99"/>
        <v/>
      </c>
      <c r="DP775" s="873" t="str">
        <f t="shared" si="100"/>
        <v/>
      </c>
      <c r="DQ775" s="873" t="str">
        <f t="shared" si="101"/>
        <v/>
      </c>
      <c r="DR775" s="873" t="str">
        <f t="shared" si="102"/>
        <v/>
      </c>
      <c r="DS775" s="873" t="str">
        <f t="shared" si="103"/>
        <v/>
      </c>
      <c r="DT775" s="873" t="str">
        <f t="shared" si="104"/>
        <v/>
      </c>
      <c r="DU775" s="873" t="str">
        <f t="shared" si="105"/>
        <v/>
      </c>
      <c r="DV775" s="873" t="str">
        <f t="shared" si="106"/>
        <v/>
      </c>
      <c r="DW775" s="873" t="str">
        <f t="shared" si="107"/>
        <v/>
      </c>
      <c r="DX775" s="873" t="str">
        <f t="shared" si="108"/>
        <v/>
      </c>
      <c r="DY775" s="873" t="str">
        <f t="shared" si="109"/>
        <v/>
      </c>
      <c r="DZ775" s="873" t="str">
        <f t="shared" si="110"/>
        <v/>
      </c>
      <c r="EA775" s="873" t="str">
        <f t="shared" si="111"/>
        <v/>
      </c>
      <c r="EB775" s="873" t="str">
        <f t="shared" si="112"/>
        <v/>
      </c>
      <c r="EC775" s="873" t="str">
        <f t="shared" si="113"/>
        <v/>
      </c>
      <c r="ED775" s="873" t="str">
        <f t="shared" si="114"/>
        <v/>
      </c>
      <c r="EE775" s="873" t="str">
        <f t="shared" si="115"/>
        <v/>
      </c>
      <c r="EF775" s="873" t="str">
        <f t="shared" si="116"/>
        <v/>
      </c>
      <c r="EG775" s="873" t="str">
        <f t="shared" si="117"/>
        <v/>
      </c>
      <c r="EH775" s="873" t="str">
        <f t="shared" si="118"/>
        <v/>
      </c>
      <c r="EI775" s="873" t="str">
        <f t="shared" si="119"/>
        <v/>
      </c>
      <c r="EJ775" s="873" t="str">
        <f t="shared" si="120"/>
        <v/>
      </c>
      <c r="EK775" s="873" t="str">
        <f t="shared" si="121"/>
        <v/>
      </c>
      <c r="EL775" s="873" t="str">
        <f t="shared" si="122"/>
        <v/>
      </c>
      <c r="EM775" s="873" t="str">
        <f t="shared" si="123"/>
        <v/>
      </c>
      <c r="EN775" s="873" t="str">
        <f t="shared" si="124"/>
        <v/>
      </c>
      <c r="EO775" s="873" t="str">
        <f t="shared" si="125"/>
        <v/>
      </c>
      <c r="EP775" s="873" t="str">
        <f t="shared" si="126"/>
        <v/>
      </c>
      <c r="EQ775" s="873" t="str">
        <f t="shared" si="127"/>
        <v/>
      </c>
      <c r="ER775" s="873" t="str">
        <f t="shared" si="128"/>
        <v/>
      </c>
      <c r="ES775" s="873" t="str">
        <f t="shared" si="129"/>
        <v/>
      </c>
      <c r="ET775" s="873" t="str">
        <f t="shared" si="130"/>
        <v/>
      </c>
      <c r="EU775" s="873" t="str">
        <f t="shared" si="131"/>
        <v/>
      </c>
      <c r="EV775" s="873" t="str">
        <f t="shared" si="132"/>
        <v/>
      </c>
      <c r="EW775" s="2288" t="str">
        <f t="shared" si="133"/>
        <v/>
      </c>
      <c r="EX775" s="2288" t="str">
        <f t="shared" si="134"/>
        <v/>
      </c>
      <c r="EY775" s="2288" t="str">
        <f t="shared" si="135"/>
        <v/>
      </c>
      <c r="EZ775" s="2288" t="str">
        <f t="shared" si="136"/>
        <v/>
      </c>
      <c r="FA775" s="2288" t="str">
        <f t="shared" si="137"/>
        <v/>
      </c>
      <c r="FB775" s="2288" t="str">
        <f t="shared" si="138"/>
        <v/>
      </c>
      <c r="FC775" s="2288" t="str">
        <f t="shared" si="139"/>
        <v/>
      </c>
      <c r="FD775" s="2288" t="str">
        <f t="shared" si="140"/>
        <v/>
      </c>
      <c r="FE775" s="2288" t="str">
        <f t="shared" si="141"/>
        <v/>
      </c>
      <c r="FF775" s="2288" t="str">
        <f t="shared" si="142"/>
        <v/>
      </c>
      <c r="FG775" s="2288" t="str">
        <f t="shared" si="143"/>
        <v/>
      </c>
      <c r="FH775" s="2288" t="str">
        <f t="shared" si="144"/>
        <v/>
      </c>
      <c r="FI775" s="2288" t="str">
        <f t="shared" si="145"/>
        <v/>
      </c>
      <c r="FJ775" s="2288" t="str">
        <f t="shared" si="146"/>
        <v/>
      </c>
      <c r="FK775" s="2288" t="str">
        <f t="shared" si="147"/>
        <v/>
      </c>
      <c r="FL775" s="2288" t="str">
        <f t="shared" si="148"/>
        <v/>
      </c>
      <c r="FM775" s="2288" t="str">
        <f t="shared" si="149"/>
        <v/>
      </c>
      <c r="FN775" s="2288" t="str">
        <f t="shared" si="150"/>
        <v/>
      </c>
      <c r="FO775" s="2288" t="str">
        <f t="shared" si="151"/>
        <v/>
      </c>
      <c r="FP775" s="2288" t="str">
        <f t="shared" si="152"/>
        <v/>
      </c>
      <c r="FQ775" s="2288" t="str">
        <f t="shared" si="153"/>
        <v/>
      </c>
      <c r="FR775" s="2288" t="str">
        <f t="shared" si="154"/>
        <v/>
      </c>
      <c r="FS775" s="2288" t="str">
        <f t="shared" si="155"/>
        <v/>
      </c>
      <c r="FT775" s="2288" t="str">
        <f t="shared" si="156"/>
        <v/>
      </c>
      <c r="FU775" s="2288" t="str">
        <f t="shared" si="157"/>
        <v/>
      </c>
      <c r="FV775" s="2288" t="str">
        <f t="shared" si="158"/>
        <v/>
      </c>
      <c r="FW775" s="2288" t="str">
        <f t="shared" si="159"/>
        <v/>
      </c>
      <c r="FX775" s="2288" t="str">
        <f t="shared" si="160"/>
        <v/>
      </c>
      <c r="FY775" s="2288" t="str">
        <f t="shared" si="161"/>
        <v/>
      </c>
      <c r="FZ775" s="2288" t="str">
        <f t="shared" si="162"/>
        <v/>
      </c>
      <c r="GA775" s="2288" t="str">
        <f t="shared" si="163"/>
        <v/>
      </c>
      <c r="GB775" s="2288" t="str">
        <f t="shared" si="164"/>
        <v/>
      </c>
      <c r="GC775" s="2288" t="str">
        <f t="shared" si="165"/>
        <v/>
      </c>
      <c r="GD775" s="2288" t="str">
        <f t="shared" si="166"/>
        <v/>
      </c>
      <c r="GE775" s="2288" t="str">
        <f t="shared" si="167"/>
        <v/>
      </c>
      <c r="GF775" s="2288" t="str">
        <f t="shared" si="168"/>
        <v/>
      </c>
      <c r="GG775" s="2288" t="str">
        <f t="shared" si="169"/>
        <v/>
      </c>
      <c r="GH775" s="2288" t="str">
        <f t="shared" si="170"/>
        <v/>
      </c>
      <c r="GI775" s="2288" t="str">
        <f t="shared" si="171"/>
        <v/>
      </c>
      <c r="GJ775" s="2288" t="str">
        <f t="shared" si="172"/>
        <v/>
      </c>
      <c r="GK775" s="2288" t="str">
        <f t="shared" si="173"/>
        <v/>
      </c>
      <c r="GL775" s="2288" t="str">
        <f t="shared" si="174"/>
        <v/>
      </c>
      <c r="GM775" s="2288" t="str">
        <f t="shared" si="175"/>
        <v/>
      </c>
      <c r="GN775" s="2288" t="str">
        <f t="shared" si="176"/>
        <v/>
      </c>
      <c r="GO775" s="2288" t="str">
        <f t="shared" si="177"/>
        <v/>
      </c>
      <c r="GP775" s="2288" t="str">
        <f t="shared" si="178"/>
        <v/>
      </c>
      <c r="GQ775" s="2288" t="str">
        <f t="shared" si="179"/>
        <v/>
      </c>
      <c r="GR775" s="2288" t="str">
        <f t="shared" si="180"/>
        <v/>
      </c>
      <c r="GS775" s="2288" t="str">
        <f t="shared" si="181"/>
        <v/>
      </c>
      <c r="GT775" s="2288" t="str">
        <f t="shared" si="182"/>
        <v/>
      </c>
      <c r="GU775" s="2288" t="str">
        <f t="shared" si="183"/>
        <v/>
      </c>
      <c r="GV775" s="2288" t="str">
        <f t="shared" si="184"/>
        <v/>
      </c>
      <c r="GW775" s="2288" t="str">
        <f t="shared" si="185"/>
        <v/>
      </c>
      <c r="GX775" s="2288" t="str">
        <f t="shared" si="186"/>
        <v/>
      </c>
      <c r="GY775" s="2288" t="str">
        <f t="shared" si="187"/>
        <v/>
      </c>
      <c r="GZ775" s="2288" t="str">
        <f t="shared" si="188"/>
        <v/>
      </c>
      <c r="HA775" s="2288" t="str">
        <f t="shared" si="189"/>
        <v/>
      </c>
      <c r="HB775" s="2288" t="str">
        <f t="shared" si="190"/>
        <v/>
      </c>
      <c r="HC775" s="2288" t="str">
        <f t="shared" si="191"/>
        <v/>
      </c>
      <c r="HD775" s="2288" t="str">
        <f t="shared" si="192"/>
        <v/>
      </c>
      <c r="HE775" s="2288" t="str">
        <f t="shared" si="193"/>
        <v/>
      </c>
      <c r="HF775" s="2288" t="str">
        <f t="shared" si="194"/>
        <v/>
      </c>
      <c r="HG775" s="2288" t="str">
        <f t="shared" si="195"/>
        <v/>
      </c>
      <c r="HH775" s="2288" t="str">
        <f t="shared" si="196"/>
        <v/>
      </c>
      <c r="HI775" s="2288" t="str">
        <f t="shared" si="197"/>
        <v/>
      </c>
      <c r="HJ775" s="2288" t="str">
        <f t="shared" si="198"/>
        <v/>
      </c>
      <c r="HK775" s="2288" t="str">
        <f t="shared" si="199"/>
        <v/>
      </c>
      <c r="HL775" s="2288" t="str">
        <f t="shared" si="200"/>
        <v/>
      </c>
      <c r="HM775" s="2288" t="str">
        <f t="shared" si="201"/>
        <v/>
      </c>
      <c r="HN775" s="2288" t="str">
        <f t="shared" si="202"/>
        <v/>
      </c>
      <c r="HO775" s="2288" t="str">
        <f t="shared" si="203"/>
        <v/>
      </c>
      <c r="HP775" s="2288" t="str">
        <f t="shared" si="204"/>
        <v/>
      </c>
      <c r="HQ775" s="2288" t="str">
        <f t="shared" si="205"/>
        <v/>
      </c>
      <c r="HR775" s="2288" t="str">
        <f t="shared" si="206"/>
        <v/>
      </c>
      <c r="HS775" s="2288" t="str">
        <f t="shared" si="207"/>
        <v/>
      </c>
      <c r="HT775" s="2288" t="str">
        <f t="shared" si="208"/>
        <v/>
      </c>
      <c r="HU775" s="2288" t="str">
        <f t="shared" si="209"/>
        <v/>
      </c>
      <c r="HV775" s="2288" t="str">
        <f t="shared" si="210"/>
        <v/>
      </c>
      <c r="HW775" s="2288" t="str">
        <f t="shared" si="211"/>
        <v/>
      </c>
      <c r="HX775" s="2288" t="str">
        <f t="shared" si="212"/>
        <v/>
      </c>
      <c r="HY775" s="2288" t="str">
        <f t="shared" si="213"/>
        <v/>
      </c>
      <c r="HZ775" s="2288" t="str">
        <f t="shared" si="214"/>
        <v/>
      </c>
      <c r="IA775" s="2288" t="str">
        <f t="shared" si="215"/>
        <v/>
      </c>
      <c r="IB775" s="2288" t="str">
        <f t="shared" si="216"/>
        <v/>
      </c>
      <c r="IC775" s="2288" t="str">
        <f t="shared" si="217"/>
        <v/>
      </c>
      <c r="ID775" s="2255" t="str">
        <f t="shared" si="218"/>
        <v/>
      </c>
      <c r="IE775" s="2255" t="str">
        <f t="shared" si="219"/>
        <v/>
      </c>
      <c r="IF775" s="2255" t="str">
        <f t="shared" si="220"/>
        <v/>
      </c>
      <c r="IG775" s="2255" t="str">
        <f t="shared" si="221"/>
        <v/>
      </c>
      <c r="IH775" s="2255" t="str">
        <f t="shared" si="222"/>
        <v/>
      </c>
      <c r="II775" s="873" t="str">
        <f t="shared" si="223"/>
        <v/>
      </c>
      <c r="IJ775" s="873" t="str">
        <f t="shared" si="224"/>
        <v/>
      </c>
      <c r="IK775" s="873" t="str">
        <f t="shared" si="225"/>
        <v/>
      </c>
      <c r="IL775" s="873" t="str">
        <f t="shared" si="226"/>
        <v/>
      </c>
      <c r="IM775" s="873" t="str">
        <f t="shared" si="227"/>
        <v/>
      </c>
      <c r="IN775" s="873" t="str">
        <f t="shared" si="228"/>
        <v/>
      </c>
      <c r="IO775" s="873" t="str">
        <f t="shared" si="229"/>
        <v/>
      </c>
      <c r="IP775" s="873" t="str">
        <f t="shared" si="230"/>
        <v/>
      </c>
      <c r="IQ775" s="873" t="str">
        <f t="shared" si="231"/>
        <v/>
      </c>
      <c r="IR775" s="873" t="str">
        <f t="shared" si="232"/>
        <v/>
      </c>
      <c r="IS775" s="873" t="str">
        <f t="shared" si="233"/>
        <v/>
      </c>
      <c r="IT775" s="873" t="str">
        <f t="shared" si="234"/>
        <v/>
      </c>
      <c r="IU775" s="873" t="str">
        <f t="shared" si="235"/>
        <v/>
      </c>
      <c r="IV775" s="873" t="str">
        <f t="shared" si="236"/>
        <v/>
      </c>
      <c r="IW775" s="873" t="str">
        <f t="shared" si="237"/>
        <v/>
      </c>
      <c r="IX775" s="873" t="str">
        <f t="shared" si="238"/>
        <v/>
      </c>
      <c r="IY775" s="873" t="str">
        <f t="shared" si="239"/>
        <v/>
      </c>
      <c r="IZ775" s="873" t="str">
        <f t="shared" si="240"/>
        <v/>
      </c>
      <c r="JA775" s="873" t="str">
        <f t="shared" si="241"/>
        <v/>
      </c>
      <c r="JB775" s="873" t="str">
        <f t="shared" si="242"/>
        <v/>
      </c>
      <c r="JC775" s="2253">
        <f t="shared" si="243"/>
        <v>0</v>
      </c>
      <c r="JD775" s="2253">
        <f t="shared" si="244"/>
        <v>0</v>
      </c>
      <c r="JE775" s="2253">
        <f t="shared" si="245"/>
        <v>0</v>
      </c>
      <c r="JF775" s="2253">
        <f t="shared" si="246"/>
        <v>0</v>
      </c>
      <c r="JG775" s="2253">
        <f t="shared" si="247"/>
        <v>0</v>
      </c>
      <c r="JH775" s="2253">
        <f t="shared" si="248"/>
        <v>0</v>
      </c>
      <c r="JI775" s="2253">
        <f t="shared" si="249"/>
        <v>0</v>
      </c>
      <c r="JJ775" s="2253">
        <f t="shared" si="250"/>
        <v>0</v>
      </c>
      <c r="JK775" s="2253">
        <f t="shared" si="251"/>
        <v>0</v>
      </c>
      <c r="JL775" s="2253">
        <f t="shared" si="252"/>
        <v>0</v>
      </c>
      <c r="JM775" s="2253">
        <f t="shared" si="253"/>
        <v>0</v>
      </c>
      <c r="JN775" s="2253">
        <f t="shared" si="254"/>
        <v>0</v>
      </c>
      <c r="JO775" s="2253">
        <f t="shared" si="255"/>
        <v>0</v>
      </c>
      <c r="JP775" s="2253">
        <f t="shared" si="256"/>
        <v>0</v>
      </c>
      <c r="JQ775" s="2253">
        <f t="shared" si="257"/>
        <v>0</v>
      </c>
    </row>
    <row r="776" spans="1:277" ht="12" customHeight="1">
      <c r="A776" s="2258" t="str">
        <f t="shared" si="0"/>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1"/>
        <v>0</v>
      </c>
      <c r="L776" s="2284">
        <f t="shared" si="2"/>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3" t="str">
        <f t="shared" si="3"/>
        <v/>
      </c>
      <c r="X776" s="873" t="str">
        <f t="shared" si="4"/>
        <v/>
      </c>
      <c r="Y776" s="873" t="str">
        <f t="shared" si="5"/>
        <v/>
      </c>
      <c r="Z776" s="873" t="str">
        <f t="shared" si="6"/>
        <v/>
      </c>
      <c r="AA776" s="873" t="str">
        <f t="shared" si="7"/>
        <v/>
      </c>
      <c r="AB776" s="873" t="str">
        <f t="shared" si="8"/>
        <v/>
      </c>
      <c r="AC776" s="873" t="str">
        <f t="shared" si="9"/>
        <v/>
      </c>
      <c r="AD776" s="873" t="str">
        <f t="shared" si="10"/>
        <v/>
      </c>
      <c r="AE776" s="873" t="str">
        <f t="shared" si="11"/>
        <v/>
      </c>
      <c r="AF776" s="873" t="str">
        <f t="shared" si="12"/>
        <v/>
      </c>
      <c r="AG776" s="873" t="str">
        <f t="shared" si="13"/>
        <v/>
      </c>
      <c r="AH776" s="873" t="str">
        <f t="shared" si="14"/>
        <v/>
      </c>
      <c r="AI776" s="873" t="str">
        <f t="shared" si="15"/>
        <v/>
      </c>
      <c r="AJ776" s="873" t="str">
        <f t="shared" si="16"/>
        <v/>
      </c>
      <c r="AK776" s="873" t="str">
        <f t="shared" si="17"/>
        <v/>
      </c>
      <c r="AL776" s="873" t="str">
        <f t="shared" si="18"/>
        <v/>
      </c>
      <c r="AM776" s="873" t="str">
        <f t="shared" si="19"/>
        <v/>
      </c>
      <c r="AN776" s="873" t="str">
        <f t="shared" si="20"/>
        <v/>
      </c>
      <c r="AO776" s="873" t="str">
        <f t="shared" si="21"/>
        <v/>
      </c>
      <c r="AP776" s="873" t="str">
        <f t="shared" si="22"/>
        <v/>
      </c>
      <c r="AQ776" s="873" t="str">
        <f t="shared" si="23"/>
        <v/>
      </c>
      <c r="AR776" s="873" t="str">
        <f t="shared" si="24"/>
        <v/>
      </c>
      <c r="AS776" s="873" t="str">
        <f t="shared" si="25"/>
        <v/>
      </c>
      <c r="AT776" s="873" t="str">
        <f t="shared" si="26"/>
        <v/>
      </c>
      <c r="AU776" s="873" t="str">
        <f t="shared" si="27"/>
        <v/>
      </c>
      <c r="AV776" s="873" t="str">
        <f t="shared" si="28"/>
        <v/>
      </c>
      <c r="AW776" s="873" t="str">
        <f t="shared" si="29"/>
        <v/>
      </c>
      <c r="AX776" s="873" t="str">
        <f t="shared" si="30"/>
        <v/>
      </c>
      <c r="AY776" s="873" t="str">
        <f t="shared" si="31"/>
        <v/>
      </c>
      <c r="AZ776" s="873" t="str">
        <f t="shared" si="32"/>
        <v/>
      </c>
      <c r="BA776" s="873" t="str">
        <f t="shared" si="33"/>
        <v/>
      </c>
      <c r="BB776" s="873" t="str">
        <f t="shared" si="34"/>
        <v/>
      </c>
      <c r="BC776" s="873" t="str">
        <f t="shared" si="35"/>
        <v/>
      </c>
      <c r="BD776" s="873" t="str">
        <f t="shared" si="36"/>
        <v/>
      </c>
      <c r="BE776" s="873" t="str">
        <f t="shared" si="37"/>
        <v/>
      </c>
      <c r="BF776" s="873" t="str">
        <f t="shared" si="38"/>
        <v/>
      </c>
      <c r="BG776" s="873" t="str">
        <f t="shared" si="39"/>
        <v/>
      </c>
      <c r="BH776" s="873" t="str">
        <f t="shared" si="40"/>
        <v/>
      </c>
      <c r="BI776" s="873" t="str">
        <f t="shared" si="41"/>
        <v/>
      </c>
      <c r="BJ776" s="873" t="str">
        <f t="shared" si="42"/>
        <v/>
      </c>
      <c r="BK776" s="873" t="str">
        <f t="shared" si="43"/>
        <v/>
      </c>
      <c r="BL776" s="873" t="str">
        <f t="shared" si="44"/>
        <v/>
      </c>
      <c r="BM776" s="873" t="str">
        <f t="shared" si="45"/>
        <v/>
      </c>
      <c r="BN776" s="873" t="str">
        <f t="shared" si="46"/>
        <v/>
      </c>
      <c r="BO776" s="873" t="str">
        <f t="shared" si="47"/>
        <v/>
      </c>
      <c r="BP776" s="873" t="str">
        <f t="shared" si="48"/>
        <v/>
      </c>
      <c r="BQ776" s="873" t="str">
        <f t="shared" si="49"/>
        <v/>
      </c>
      <c r="BR776" s="873" t="str">
        <f t="shared" si="50"/>
        <v/>
      </c>
      <c r="BS776" s="873" t="str">
        <f t="shared" si="51"/>
        <v/>
      </c>
      <c r="BT776" s="873" t="str">
        <f t="shared" si="52"/>
        <v/>
      </c>
      <c r="BU776" s="873" t="str">
        <f t="shared" si="53"/>
        <v/>
      </c>
      <c r="BV776" s="873" t="str">
        <f t="shared" si="54"/>
        <v/>
      </c>
      <c r="BW776" s="873" t="str">
        <f t="shared" si="55"/>
        <v/>
      </c>
      <c r="BX776" s="873" t="str">
        <f t="shared" si="56"/>
        <v/>
      </c>
      <c r="BY776" s="873" t="str">
        <f t="shared" si="57"/>
        <v/>
      </c>
      <c r="BZ776" s="873" t="str">
        <f t="shared" si="58"/>
        <v/>
      </c>
      <c r="CA776" s="873" t="str">
        <f t="shared" si="59"/>
        <v/>
      </c>
      <c r="CB776" s="873" t="str">
        <f t="shared" si="60"/>
        <v/>
      </c>
      <c r="CC776" s="873" t="str">
        <f t="shared" si="61"/>
        <v/>
      </c>
      <c r="CD776" s="873" t="str">
        <f t="shared" si="62"/>
        <v/>
      </c>
      <c r="CE776" s="873" t="str">
        <f t="shared" si="63"/>
        <v/>
      </c>
      <c r="CF776" s="873" t="str">
        <f t="shared" si="64"/>
        <v/>
      </c>
      <c r="CG776" s="873" t="str">
        <f t="shared" si="65"/>
        <v/>
      </c>
      <c r="CH776" s="873" t="str">
        <f t="shared" si="66"/>
        <v/>
      </c>
      <c r="CI776" s="873" t="str">
        <f t="shared" si="67"/>
        <v/>
      </c>
      <c r="CJ776" s="873" t="str">
        <f t="shared" si="68"/>
        <v/>
      </c>
      <c r="CK776" s="873" t="str">
        <f t="shared" si="69"/>
        <v/>
      </c>
      <c r="CL776" s="873" t="str">
        <f t="shared" si="70"/>
        <v/>
      </c>
      <c r="CM776" s="873" t="str">
        <f t="shared" si="71"/>
        <v/>
      </c>
      <c r="CN776" s="873" t="str">
        <f t="shared" si="72"/>
        <v/>
      </c>
      <c r="CO776" s="873" t="str">
        <f t="shared" si="73"/>
        <v/>
      </c>
      <c r="CP776" s="873" t="str">
        <f t="shared" si="74"/>
        <v/>
      </c>
      <c r="CQ776" s="873" t="str">
        <f t="shared" si="75"/>
        <v/>
      </c>
      <c r="CR776" s="873" t="str">
        <f t="shared" si="76"/>
        <v/>
      </c>
      <c r="CS776" s="873" t="str">
        <f t="shared" si="77"/>
        <v/>
      </c>
      <c r="CT776" s="873" t="str">
        <f t="shared" si="78"/>
        <v/>
      </c>
      <c r="CU776" s="873" t="str">
        <f t="shared" si="79"/>
        <v/>
      </c>
      <c r="CV776" s="873" t="str">
        <f t="shared" si="80"/>
        <v/>
      </c>
      <c r="CW776" s="873" t="str">
        <f t="shared" si="81"/>
        <v/>
      </c>
      <c r="CX776" s="873" t="str">
        <f t="shared" si="82"/>
        <v/>
      </c>
      <c r="CY776" s="873" t="str">
        <f t="shared" si="83"/>
        <v/>
      </c>
      <c r="CZ776" s="873" t="str">
        <f t="shared" si="84"/>
        <v/>
      </c>
      <c r="DA776" s="873" t="str">
        <f t="shared" si="85"/>
        <v/>
      </c>
      <c r="DB776" s="873" t="str">
        <f t="shared" si="86"/>
        <v/>
      </c>
      <c r="DC776" s="873" t="str">
        <f t="shared" si="87"/>
        <v/>
      </c>
      <c r="DD776" s="873" t="str">
        <f t="shared" si="88"/>
        <v/>
      </c>
      <c r="DE776" s="873" t="str">
        <f t="shared" si="89"/>
        <v/>
      </c>
      <c r="DF776" s="873" t="str">
        <f t="shared" si="90"/>
        <v/>
      </c>
      <c r="DG776" s="873" t="str">
        <f t="shared" si="91"/>
        <v/>
      </c>
      <c r="DH776" s="873" t="str">
        <f t="shared" si="92"/>
        <v/>
      </c>
      <c r="DI776" s="873" t="str">
        <f t="shared" si="93"/>
        <v/>
      </c>
      <c r="DJ776" s="873" t="str">
        <f t="shared" si="94"/>
        <v/>
      </c>
      <c r="DK776" s="873" t="str">
        <f t="shared" si="95"/>
        <v/>
      </c>
      <c r="DL776" s="873" t="str">
        <f t="shared" si="96"/>
        <v/>
      </c>
      <c r="DM776" s="873" t="str">
        <f t="shared" si="97"/>
        <v/>
      </c>
      <c r="DN776" s="873" t="str">
        <f t="shared" si="98"/>
        <v/>
      </c>
      <c r="DO776" s="873" t="str">
        <f t="shared" si="99"/>
        <v/>
      </c>
      <c r="DP776" s="873" t="str">
        <f t="shared" si="100"/>
        <v/>
      </c>
      <c r="DQ776" s="873" t="str">
        <f t="shared" si="101"/>
        <v/>
      </c>
      <c r="DR776" s="873" t="str">
        <f t="shared" si="102"/>
        <v/>
      </c>
      <c r="DS776" s="873" t="str">
        <f t="shared" si="103"/>
        <v/>
      </c>
      <c r="DT776" s="873" t="str">
        <f t="shared" si="104"/>
        <v/>
      </c>
      <c r="DU776" s="873" t="str">
        <f t="shared" si="105"/>
        <v/>
      </c>
      <c r="DV776" s="873" t="str">
        <f t="shared" si="106"/>
        <v/>
      </c>
      <c r="DW776" s="873" t="str">
        <f t="shared" si="107"/>
        <v/>
      </c>
      <c r="DX776" s="873" t="str">
        <f t="shared" si="108"/>
        <v/>
      </c>
      <c r="DY776" s="873" t="str">
        <f t="shared" si="109"/>
        <v/>
      </c>
      <c r="DZ776" s="873" t="str">
        <f t="shared" si="110"/>
        <v/>
      </c>
      <c r="EA776" s="873" t="str">
        <f t="shared" si="111"/>
        <v/>
      </c>
      <c r="EB776" s="873" t="str">
        <f t="shared" si="112"/>
        <v/>
      </c>
      <c r="EC776" s="873" t="str">
        <f t="shared" si="113"/>
        <v/>
      </c>
      <c r="ED776" s="873" t="str">
        <f t="shared" si="114"/>
        <v/>
      </c>
      <c r="EE776" s="873" t="str">
        <f t="shared" si="115"/>
        <v/>
      </c>
      <c r="EF776" s="873" t="str">
        <f t="shared" si="116"/>
        <v/>
      </c>
      <c r="EG776" s="873" t="str">
        <f t="shared" si="117"/>
        <v/>
      </c>
      <c r="EH776" s="873" t="str">
        <f t="shared" si="118"/>
        <v/>
      </c>
      <c r="EI776" s="873" t="str">
        <f t="shared" si="119"/>
        <v/>
      </c>
      <c r="EJ776" s="873" t="str">
        <f t="shared" si="120"/>
        <v/>
      </c>
      <c r="EK776" s="873" t="str">
        <f t="shared" si="121"/>
        <v/>
      </c>
      <c r="EL776" s="873" t="str">
        <f t="shared" si="122"/>
        <v/>
      </c>
      <c r="EM776" s="873" t="str">
        <f t="shared" si="123"/>
        <v/>
      </c>
      <c r="EN776" s="873" t="str">
        <f t="shared" si="124"/>
        <v/>
      </c>
      <c r="EO776" s="873" t="str">
        <f t="shared" si="125"/>
        <v/>
      </c>
      <c r="EP776" s="873" t="str">
        <f t="shared" si="126"/>
        <v/>
      </c>
      <c r="EQ776" s="873" t="str">
        <f t="shared" si="127"/>
        <v/>
      </c>
      <c r="ER776" s="873" t="str">
        <f t="shared" si="128"/>
        <v/>
      </c>
      <c r="ES776" s="873" t="str">
        <f t="shared" si="129"/>
        <v/>
      </c>
      <c r="ET776" s="873" t="str">
        <f t="shared" si="130"/>
        <v/>
      </c>
      <c r="EU776" s="873" t="str">
        <f t="shared" si="131"/>
        <v/>
      </c>
      <c r="EV776" s="873" t="str">
        <f t="shared" si="132"/>
        <v/>
      </c>
      <c r="EW776" s="2288" t="str">
        <f t="shared" si="133"/>
        <v/>
      </c>
      <c r="EX776" s="2288" t="str">
        <f t="shared" si="134"/>
        <v/>
      </c>
      <c r="EY776" s="2288" t="str">
        <f t="shared" si="135"/>
        <v/>
      </c>
      <c r="EZ776" s="2288" t="str">
        <f t="shared" si="136"/>
        <v/>
      </c>
      <c r="FA776" s="2288" t="str">
        <f t="shared" si="137"/>
        <v/>
      </c>
      <c r="FB776" s="2288" t="str">
        <f t="shared" si="138"/>
        <v/>
      </c>
      <c r="FC776" s="2288" t="str">
        <f t="shared" si="139"/>
        <v/>
      </c>
      <c r="FD776" s="2288" t="str">
        <f t="shared" si="140"/>
        <v/>
      </c>
      <c r="FE776" s="2288" t="str">
        <f t="shared" si="141"/>
        <v/>
      </c>
      <c r="FF776" s="2288" t="str">
        <f t="shared" si="142"/>
        <v/>
      </c>
      <c r="FG776" s="2288" t="str">
        <f t="shared" si="143"/>
        <v/>
      </c>
      <c r="FH776" s="2288" t="str">
        <f t="shared" si="144"/>
        <v/>
      </c>
      <c r="FI776" s="2288" t="str">
        <f t="shared" si="145"/>
        <v/>
      </c>
      <c r="FJ776" s="2288" t="str">
        <f t="shared" si="146"/>
        <v/>
      </c>
      <c r="FK776" s="2288" t="str">
        <f t="shared" si="147"/>
        <v/>
      </c>
      <c r="FL776" s="2288" t="str">
        <f t="shared" si="148"/>
        <v/>
      </c>
      <c r="FM776" s="2288" t="str">
        <f t="shared" si="149"/>
        <v/>
      </c>
      <c r="FN776" s="2288" t="str">
        <f t="shared" si="150"/>
        <v/>
      </c>
      <c r="FO776" s="2288" t="str">
        <f t="shared" si="151"/>
        <v/>
      </c>
      <c r="FP776" s="2288" t="str">
        <f t="shared" si="152"/>
        <v/>
      </c>
      <c r="FQ776" s="2288" t="str">
        <f t="shared" si="153"/>
        <v/>
      </c>
      <c r="FR776" s="2288" t="str">
        <f t="shared" si="154"/>
        <v/>
      </c>
      <c r="FS776" s="2288" t="str">
        <f t="shared" si="155"/>
        <v/>
      </c>
      <c r="FT776" s="2288" t="str">
        <f t="shared" si="156"/>
        <v/>
      </c>
      <c r="FU776" s="2288" t="str">
        <f t="shared" si="157"/>
        <v/>
      </c>
      <c r="FV776" s="2288" t="str">
        <f t="shared" si="158"/>
        <v/>
      </c>
      <c r="FW776" s="2288" t="str">
        <f t="shared" si="159"/>
        <v/>
      </c>
      <c r="FX776" s="2288" t="str">
        <f t="shared" si="160"/>
        <v/>
      </c>
      <c r="FY776" s="2288" t="str">
        <f t="shared" si="161"/>
        <v/>
      </c>
      <c r="FZ776" s="2288" t="str">
        <f t="shared" si="162"/>
        <v/>
      </c>
      <c r="GA776" s="2288" t="str">
        <f t="shared" si="163"/>
        <v/>
      </c>
      <c r="GB776" s="2288" t="str">
        <f t="shared" si="164"/>
        <v/>
      </c>
      <c r="GC776" s="2288" t="str">
        <f t="shared" si="165"/>
        <v/>
      </c>
      <c r="GD776" s="2288" t="str">
        <f t="shared" si="166"/>
        <v/>
      </c>
      <c r="GE776" s="2288" t="str">
        <f t="shared" si="167"/>
        <v/>
      </c>
      <c r="GF776" s="2288" t="str">
        <f t="shared" si="168"/>
        <v/>
      </c>
      <c r="GG776" s="2288" t="str">
        <f t="shared" si="169"/>
        <v/>
      </c>
      <c r="GH776" s="2288" t="str">
        <f t="shared" si="170"/>
        <v/>
      </c>
      <c r="GI776" s="2288" t="str">
        <f t="shared" si="171"/>
        <v/>
      </c>
      <c r="GJ776" s="2288" t="str">
        <f t="shared" si="172"/>
        <v/>
      </c>
      <c r="GK776" s="2288" t="str">
        <f t="shared" si="173"/>
        <v/>
      </c>
      <c r="GL776" s="2288" t="str">
        <f t="shared" si="174"/>
        <v/>
      </c>
      <c r="GM776" s="2288" t="str">
        <f t="shared" si="175"/>
        <v/>
      </c>
      <c r="GN776" s="2288" t="str">
        <f t="shared" si="176"/>
        <v/>
      </c>
      <c r="GO776" s="2288" t="str">
        <f t="shared" si="177"/>
        <v/>
      </c>
      <c r="GP776" s="2288" t="str">
        <f t="shared" si="178"/>
        <v/>
      </c>
      <c r="GQ776" s="2288" t="str">
        <f t="shared" si="179"/>
        <v/>
      </c>
      <c r="GR776" s="2288" t="str">
        <f t="shared" si="180"/>
        <v/>
      </c>
      <c r="GS776" s="2288" t="str">
        <f t="shared" si="181"/>
        <v/>
      </c>
      <c r="GT776" s="2288" t="str">
        <f t="shared" si="182"/>
        <v/>
      </c>
      <c r="GU776" s="2288" t="str">
        <f t="shared" si="183"/>
        <v/>
      </c>
      <c r="GV776" s="2288" t="str">
        <f t="shared" si="184"/>
        <v/>
      </c>
      <c r="GW776" s="2288" t="str">
        <f t="shared" si="185"/>
        <v/>
      </c>
      <c r="GX776" s="2288" t="str">
        <f t="shared" si="186"/>
        <v/>
      </c>
      <c r="GY776" s="2288" t="str">
        <f t="shared" si="187"/>
        <v/>
      </c>
      <c r="GZ776" s="2288" t="str">
        <f t="shared" si="188"/>
        <v/>
      </c>
      <c r="HA776" s="2288" t="str">
        <f t="shared" si="189"/>
        <v/>
      </c>
      <c r="HB776" s="2288" t="str">
        <f t="shared" si="190"/>
        <v/>
      </c>
      <c r="HC776" s="2288" t="str">
        <f t="shared" si="191"/>
        <v/>
      </c>
      <c r="HD776" s="2288" t="str">
        <f t="shared" si="192"/>
        <v/>
      </c>
      <c r="HE776" s="2288" t="str">
        <f t="shared" si="193"/>
        <v/>
      </c>
      <c r="HF776" s="2288" t="str">
        <f t="shared" si="194"/>
        <v/>
      </c>
      <c r="HG776" s="2288" t="str">
        <f t="shared" si="195"/>
        <v/>
      </c>
      <c r="HH776" s="2288" t="str">
        <f t="shared" si="196"/>
        <v/>
      </c>
      <c r="HI776" s="2288" t="str">
        <f t="shared" si="197"/>
        <v/>
      </c>
      <c r="HJ776" s="2288" t="str">
        <f t="shared" si="198"/>
        <v/>
      </c>
      <c r="HK776" s="2288" t="str">
        <f t="shared" si="199"/>
        <v/>
      </c>
      <c r="HL776" s="2288" t="str">
        <f t="shared" si="200"/>
        <v/>
      </c>
      <c r="HM776" s="2288" t="str">
        <f t="shared" si="201"/>
        <v/>
      </c>
      <c r="HN776" s="2288" t="str">
        <f t="shared" si="202"/>
        <v/>
      </c>
      <c r="HO776" s="2288" t="str">
        <f t="shared" si="203"/>
        <v/>
      </c>
      <c r="HP776" s="2288" t="str">
        <f t="shared" si="204"/>
        <v/>
      </c>
      <c r="HQ776" s="2288" t="str">
        <f t="shared" si="205"/>
        <v/>
      </c>
      <c r="HR776" s="2288" t="str">
        <f t="shared" si="206"/>
        <v/>
      </c>
      <c r="HS776" s="2288" t="str">
        <f t="shared" si="207"/>
        <v/>
      </c>
      <c r="HT776" s="2288" t="str">
        <f t="shared" si="208"/>
        <v/>
      </c>
      <c r="HU776" s="2288" t="str">
        <f t="shared" si="209"/>
        <v/>
      </c>
      <c r="HV776" s="2288" t="str">
        <f t="shared" si="210"/>
        <v/>
      </c>
      <c r="HW776" s="2288" t="str">
        <f t="shared" si="211"/>
        <v/>
      </c>
      <c r="HX776" s="2288" t="str">
        <f t="shared" si="212"/>
        <v/>
      </c>
      <c r="HY776" s="2288" t="str">
        <f t="shared" si="213"/>
        <v/>
      </c>
      <c r="HZ776" s="2288" t="str">
        <f t="shared" si="214"/>
        <v/>
      </c>
      <c r="IA776" s="2288" t="str">
        <f t="shared" si="215"/>
        <v/>
      </c>
      <c r="IB776" s="2288" t="str">
        <f t="shared" si="216"/>
        <v/>
      </c>
      <c r="IC776" s="2288" t="str">
        <f t="shared" si="217"/>
        <v/>
      </c>
      <c r="ID776" s="2255" t="str">
        <f t="shared" si="218"/>
        <v/>
      </c>
      <c r="IE776" s="2255" t="str">
        <f t="shared" si="219"/>
        <v/>
      </c>
      <c r="IF776" s="2255" t="str">
        <f t="shared" si="220"/>
        <v/>
      </c>
      <c r="IG776" s="2255" t="str">
        <f t="shared" si="221"/>
        <v/>
      </c>
      <c r="IH776" s="2255" t="str">
        <f t="shared" si="222"/>
        <v/>
      </c>
      <c r="II776" s="873" t="str">
        <f t="shared" si="223"/>
        <v/>
      </c>
      <c r="IJ776" s="873" t="str">
        <f t="shared" si="224"/>
        <v/>
      </c>
      <c r="IK776" s="873" t="str">
        <f t="shared" si="225"/>
        <v/>
      </c>
      <c r="IL776" s="873" t="str">
        <f t="shared" si="226"/>
        <v/>
      </c>
      <c r="IM776" s="873" t="str">
        <f t="shared" si="227"/>
        <v/>
      </c>
      <c r="IN776" s="873" t="str">
        <f t="shared" si="228"/>
        <v/>
      </c>
      <c r="IO776" s="873" t="str">
        <f t="shared" si="229"/>
        <v/>
      </c>
      <c r="IP776" s="873" t="str">
        <f t="shared" si="230"/>
        <v/>
      </c>
      <c r="IQ776" s="873" t="str">
        <f t="shared" si="231"/>
        <v/>
      </c>
      <c r="IR776" s="873" t="str">
        <f t="shared" si="232"/>
        <v/>
      </c>
      <c r="IS776" s="873" t="str">
        <f t="shared" si="233"/>
        <v/>
      </c>
      <c r="IT776" s="873" t="str">
        <f t="shared" si="234"/>
        <v/>
      </c>
      <c r="IU776" s="873" t="str">
        <f t="shared" si="235"/>
        <v/>
      </c>
      <c r="IV776" s="873" t="str">
        <f t="shared" si="236"/>
        <v/>
      </c>
      <c r="IW776" s="873" t="str">
        <f t="shared" si="237"/>
        <v/>
      </c>
      <c r="IX776" s="873" t="str">
        <f t="shared" si="238"/>
        <v/>
      </c>
      <c r="IY776" s="873" t="str">
        <f t="shared" si="239"/>
        <v/>
      </c>
      <c r="IZ776" s="873" t="str">
        <f t="shared" si="240"/>
        <v/>
      </c>
      <c r="JA776" s="873" t="str">
        <f t="shared" si="241"/>
        <v/>
      </c>
      <c r="JB776" s="873" t="str">
        <f t="shared" si="242"/>
        <v/>
      </c>
      <c r="JC776" s="2253">
        <f t="shared" si="243"/>
        <v>0</v>
      </c>
      <c r="JD776" s="2253">
        <f t="shared" si="244"/>
        <v>0</v>
      </c>
      <c r="JE776" s="2253">
        <f t="shared" si="245"/>
        <v>0</v>
      </c>
      <c r="JF776" s="2253">
        <f t="shared" si="246"/>
        <v>0</v>
      </c>
      <c r="JG776" s="2253">
        <f t="shared" si="247"/>
        <v>0</v>
      </c>
      <c r="JH776" s="2253">
        <f t="shared" si="248"/>
        <v>0</v>
      </c>
      <c r="JI776" s="2253">
        <f t="shared" si="249"/>
        <v>0</v>
      </c>
      <c r="JJ776" s="2253">
        <f t="shared" si="250"/>
        <v>0</v>
      </c>
      <c r="JK776" s="2253">
        <f t="shared" si="251"/>
        <v>0</v>
      </c>
      <c r="JL776" s="2253">
        <f t="shared" si="252"/>
        <v>0</v>
      </c>
      <c r="JM776" s="2253">
        <f t="shared" si="253"/>
        <v>0</v>
      </c>
      <c r="JN776" s="2253">
        <f t="shared" si="254"/>
        <v>0</v>
      </c>
      <c r="JO776" s="2253">
        <f t="shared" si="255"/>
        <v>0</v>
      </c>
      <c r="JP776" s="2253">
        <f t="shared" si="256"/>
        <v>0</v>
      </c>
      <c r="JQ776" s="2253">
        <f t="shared" si="257"/>
        <v>0</v>
      </c>
    </row>
    <row r="777" spans="1:277" ht="12" customHeight="1">
      <c r="A777" s="2258" t="str">
        <f t="shared" si="0"/>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1"/>
        <v>0</v>
      </c>
      <c r="L777" s="2284">
        <f t="shared" si="2"/>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3" t="str">
        <f t="shared" si="3"/>
        <v/>
      </c>
      <c r="X777" s="873" t="str">
        <f t="shared" si="4"/>
        <v/>
      </c>
      <c r="Y777" s="873" t="str">
        <f t="shared" si="5"/>
        <v/>
      </c>
      <c r="Z777" s="873" t="str">
        <f t="shared" si="6"/>
        <v/>
      </c>
      <c r="AA777" s="873" t="str">
        <f t="shared" si="7"/>
        <v/>
      </c>
      <c r="AB777" s="873" t="str">
        <f t="shared" si="8"/>
        <v/>
      </c>
      <c r="AC777" s="873" t="str">
        <f t="shared" si="9"/>
        <v/>
      </c>
      <c r="AD777" s="873" t="str">
        <f t="shared" si="10"/>
        <v/>
      </c>
      <c r="AE777" s="873" t="str">
        <f t="shared" si="11"/>
        <v/>
      </c>
      <c r="AF777" s="873" t="str">
        <f t="shared" si="12"/>
        <v/>
      </c>
      <c r="AG777" s="873" t="str">
        <f t="shared" si="13"/>
        <v/>
      </c>
      <c r="AH777" s="873" t="str">
        <f t="shared" si="14"/>
        <v/>
      </c>
      <c r="AI777" s="873" t="str">
        <f t="shared" si="15"/>
        <v/>
      </c>
      <c r="AJ777" s="873" t="str">
        <f t="shared" si="16"/>
        <v/>
      </c>
      <c r="AK777" s="873" t="str">
        <f t="shared" si="17"/>
        <v/>
      </c>
      <c r="AL777" s="873" t="str">
        <f t="shared" si="18"/>
        <v/>
      </c>
      <c r="AM777" s="873" t="str">
        <f t="shared" si="19"/>
        <v/>
      </c>
      <c r="AN777" s="873" t="str">
        <f t="shared" si="20"/>
        <v/>
      </c>
      <c r="AO777" s="873" t="str">
        <f t="shared" si="21"/>
        <v/>
      </c>
      <c r="AP777" s="873" t="str">
        <f t="shared" si="22"/>
        <v/>
      </c>
      <c r="AQ777" s="873" t="str">
        <f t="shared" si="23"/>
        <v/>
      </c>
      <c r="AR777" s="873" t="str">
        <f t="shared" si="24"/>
        <v/>
      </c>
      <c r="AS777" s="873" t="str">
        <f t="shared" si="25"/>
        <v/>
      </c>
      <c r="AT777" s="873" t="str">
        <f t="shared" si="26"/>
        <v/>
      </c>
      <c r="AU777" s="873" t="str">
        <f t="shared" si="27"/>
        <v/>
      </c>
      <c r="AV777" s="873" t="str">
        <f t="shared" si="28"/>
        <v/>
      </c>
      <c r="AW777" s="873" t="str">
        <f t="shared" si="29"/>
        <v/>
      </c>
      <c r="AX777" s="873" t="str">
        <f t="shared" si="30"/>
        <v/>
      </c>
      <c r="AY777" s="873" t="str">
        <f t="shared" si="31"/>
        <v/>
      </c>
      <c r="AZ777" s="873" t="str">
        <f t="shared" si="32"/>
        <v/>
      </c>
      <c r="BA777" s="873" t="str">
        <f t="shared" si="33"/>
        <v/>
      </c>
      <c r="BB777" s="873" t="str">
        <f t="shared" si="34"/>
        <v/>
      </c>
      <c r="BC777" s="873" t="str">
        <f t="shared" si="35"/>
        <v/>
      </c>
      <c r="BD777" s="873" t="str">
        <f t="shared" si="36"/>
        <v/>
      </c>
      <c r="BE777" s="873" t="str">
        <f t="shared" si="37"/>
        <v/>
      </c>
      <c r="BF777" s="873" t="str">
        <f t="shared" si="38"/>
        <v/>
      </c>
      <c r="BG777" s="873" t="str">
        <f t="shared" si="39"/>
        <v/>
      </c>
      <c r="BH777" s="873" t="str">
        <f t="shared" si="40"/>
        <v/>
      </c>
      <c r="BI777" s="873" t="str">
        <f t="shared" si="41"/>
        <v/>
      </c>
      <c r="BJ777" s="873" t="str">
        <f t="shared" si="42"/>
        <v/>
      </c>
      <c r="BK777" s="873" t="str">
        <f t="shared" si="43"/>
        <v/>
      </c>
      <c r="BL777" s="873" t="str">
        <f t="shared" si="44"/>
        <v/>
      </c>
      <c r="BM777" s="873" t="str">
        <f t="shared" si="45"/>
        <v/>
      </c>
      <c r="BN777" s="873" t="str">
        <f t="shared" si="46"/>
        <v/>
      </c>
      <c r="BO777" s="873" t="str">
        <f t="shared" si="47"/>
        <v/>
      </c>
      <c r="BP777" s="873" t="str">
        <f t="shared" si="48"/>
        <v/>
      </c>
      <c r="BQ777" s="873" t="str">
        <f t="shared" si="49"/>
        <v/>
      </c>
      <c r="BR777" s="873" t="str">
        <f t="shared" si="50"/>
        <v/>
      </c>
      <c r="BS777" s="873" t="str">
        <f t="shared" si="51"/>
        <v/>
      </c>
      <c r="BT777" s="873" t="str">
        <f t="shared" si="52"/>
        <v/>
      </c>
      <c r="BU777" s="873" t="str">
        <f t="shared" si="53"/>
        <v/>
      </c>
      <c r="BV777" s="873" t="str">
        <f t="shared" si="54"/>
        <v/>
      </c>
      <c r="BW777" s="873" t="str">
        <f t="shared" si="55"/>
        <v/>
      </c>
      <c r="BX777" s="873" t="str">
        <f t="shared" si="56"/>
        <v/>
      </c>
      <c r="BY777" s="873" t="str">
        <f t="shared" si="57"/>
        <v/>
      </c>
      <c r="BZ777" s="873" t="str">
        <f t="shared" si="58"/>
        <v/>
      </c>
      <c r="CA777" s="873" t="str">
        <f t="shared" si="59"/>
        <v/>
      </c>
      <c r="CB777" s="873" t="str">
        <f t="shared" si="60"/>
        <v/>
      </c>
      <c r="CC777" s="873" t="str">
        <f t="shared" si="61"/>
        <v/>
      </c>
      <c r="CD777" s="873" t="str">
        <f t="shared" si="62"/>
        <v/>
      </c>
      <c r="CE777" s="873" t="str">
        <f t="shared" si="63"/>
        <v/>
      </c>
      <c r="CF777" s="873" t="str">
        <f t="shared" si="64"/>
        <v/>
      </c>
      <c r="CG777" s="873" t="str">
        <f t="shared" si="65"/>
        <v/>
      </c>
      <c r="CH777" s="873" t="str">
        <f t="shared" si="66"/>
        <v/>
      </c>
      <c r="CI777" s="873" t="str">
        <f t="shared" si="67"/>
        <v/>
      </c>
      <c r="CJ777" s="873" t="str">
        <f t="shared" si="68"/>
        <v/>
      </c>
      <c r="CK777" s="873" t="str">
        <f t="shared" si="69"/>
        <v/>
      </c>
      <c r="CL777" s="873" t="str">
        <f t="shared" si="70"/>
        <v/>
      </c>
      <c r="CM777" s="873" t="str">
        <f t="shared" si="71"/>
        <v/>
      </c>
      <c r="CN777" s="873" t="str">
        <f t="shared" si="72"/>
        <v/>
      </c>
      <c r="CO777" s="873" t="str">
        <f t="shared" si="73"/>
        <v/>
      </c>
      <c r="CP777" s="873" t="str">
        <f t="shared" si="74"/>
        <v/>
      </c>
      <c r="CQ777" s="873" t="str">
        <f t="shared" si="75"/>
        <v/>
      </c>
      <c r="CR777" s="873" t="str">
        <f t="shared" si="76"/>
        <v/>
      </c>
      <c r="CS777" s="873" t="str">
        <f t="shared" si="77"/>
        <v/>
      </c>
      <c r="CT777" s="873" t="str">
        <f t="shared" si="78"/>
        <v/>
      </c>
      <c r="CU777" s="873" t="str">
        <f t="shared" si="79"/>
        <v/>
      </c>
      <c r="CV777" s="873" t="str">
        <f t="shared" si="80"/>
        <v/>
      </c>
      <c r="CW777" s="873" t="str">
        <f t="shared" si="81"/>
        <v/>
      </c>
      <c r="CX777" s="873" t="str">
        <f t="shared" si="82"/>
        <v/>
      </c>
      <c r="CY777" s="873" t="str">
        <f t="shared" si="83"/>
        <v/>
      </c>
      <c r="CZ777" s="873" t="str">
        <f t="shared" si="84"/>
        <v/>
      </c>
      <c r="DA777" s="873" t="str">
        <f t="shared" si="85"/>
        <v/>
      </c>
      <c r="DB777" s="873" t="str">
        <f t="shared" si="86"/>
        <v/>
      </c>
      <c r="DC777" s="873" t="str">
        <f t="shared" si="87"/>
        <v/>
      </c>
      <c r="DD777" s="873" t="str">
        <f t="shared" si="88"/>
        <v/>
      </c>
      <c r="DE777" s="873" t="str">
        <f t="shared" si="89"/>
        <v/>
      </c>
      <c r="DF777" s="873" t="str">
        <f t="shared" si="90"/>
        <v/>
      </c>
      <c r="DG777" s="873" t="str">
        <f t="shared" si="91"/>
        <v/>
      </c>
      <c r="DH777" s="873" t="str">
        <f t="shared" si="92"/>
        <v/>
      </c>
      <c r="DI777" s="873" t="str">
        <f t="shared" si="93"/>
        <v/>
      </c>
      <c r="DJ777" s="873" t="str">
        <f t="shared" si="94"/>
        <v/>
      </c>
      <c r="DK777" s="873" t="str">
        <f t="shared" si="95"/>
        <v/>
      </c>
      <c r="DL777" s="873" t="str">
        <f t="shared" si="96"/>
        <v/>
      </c>
      <c r="DM777" s="873" t="str">
        <f t="shared" si="97"/>
        <v/>
      </c>
      <c r="DN777" s="873" t="str">
        <f t="shared" si="98"/>
        <v/>
      </c>
      <c r="DO777" s="873" t="str">
        <f t="shared" si="99"/>
        <v/>
      </c>
      <c r="DP777" s="873" t="str">
        <f t="shared" si="100"/>
        <v/>
      </c>
      <c r="DQ777" s="873" t="str">
        <f t="shared" si="101"/>
        <v/>
      </c>
      <c r="DR777" s="873" t="str">
        <f t="shared" si="102"/>
        <v/>
      </c>
      <c r="DS777" s="873" t="str">
        <f t="shared" si="103"/>
        <v/>
      </c>
      <c r="DT777" s="873" t="str">
        <f t="shared" si="104"/>
        <v/>
      </c>
      <c r="DU777" s="873" t="str">
        <f t="shared" si="105"/>
        <v/>
      </c>
      <c r="DV777" s="873" t="str">
        <f t="shared" si="106"/>
        <v/>
      </c>
      <c r="DW777" s="873" t="str">
        <f t="shared" si="107"/>
        <v/>
      </c>
      <c r="DX777" s="873" t="str">
        <f t="shared" si="108"/>
        <v/>
      </c>
      <c r="DY777" s="873" t="str">
        <f t="shared" si="109"/>
        <v/>
      </c>
      <c r="DZ777" s="873" t="str">
        <f t="shared" si="110"/>
        <v/>
      </c>
      <c r="EA777" s="873" t="str">
        <f t="shared" si="111"/>
        <v/>
      </c>
      <c r="EB777" s="873" t="str">
        <f t="shared" si="112"/>
        <v/>
      </c>
      <c r="EC777" s="873" t="str">
        <f t="shared" si="113"/>
        <v/>
      </c>
      <c r="ED777" s="873" t="str">
        <f t="shared" si="114"/>
        <v/>
      </c>
      <c r="EE777" s="873" t="str">
        <f t="shared" si="115"/>
        <v/>
      </c>
      <c r="EF777" s="873" t="str">
        <f t="shared" si="116"/>
        <v/>
      </c>
      <c r="EG777" s="873" t="str">
        <f t="shared" si="117"/>
        <v/>
      </c>
      <c r="EH777" s="873" t="str">
        <f t="shared" si="118"/>
        <v/>
      </c>
      <c r="EI777" s="873" t="str">
        <f t="shared" si="119"/>
        <v/>
      </c>
      <c r="EJ777" s="873" t="str">
        <f t="shared" si="120"/>
        <v/>
      </c>
      <c r="EK777" s="873" t="str">
        <f t="shared" si="121"/>
        <v/>
      </c>
      <c r="EL777" s="873" t="str">
        <f t="shared" si="122"/>
        <v/>
      </c>
      <c r="EM777" s="873" t="str">
        <f t="shared" si="123"/>
        <v/>
      </c>
      <c r="EN777" s="873" t="str">
        <f t="shared" si="124"/>
        <v/>
      </c>
      <c r="EO777" s="873" t="str">
        <f t="shared" si="125"/>
        <v/>
      </c>
      <c r="EP777" s="873" t="str">
        <f t="shared" si="126"/>
        <v/>
      </c>
      <c r="EQ777" s="873" t="str">
        <f t="shared" si="127"/>
        <v/>
      </c>
      <c r="ER777" s="873" t="str">
        <f t="shared" si="128"/>
        <v/>
      </c>
      <c r="ES777" s="873" t="str">
        <f t="shared" si="129"/>
        <v/>
      </c>
      <c r="ET777" s="873" t="str">
        <f t="shared" si="130"/>
        <v/>
      </c>
      <c r="EU777" s="873" t="str">
        <f t="shared" si="131"/>
        <v/>
      </c>
      <c r="EV777" s="873" t="str">
        <f t="shared" si="132"/>
        <v/>
      </c>
      <c r="EW777" s="2288" t="str">
        <f t="shared" si="133"/>
        <v/>
      </c>
      <c r="EX777" s="2288" t="str">
        <f t="shared" si="134"/>
        <v/>
      </c>
      <c r="EY777" s="2288" t="str">
        <f t="shared" si="135"/>
        <v/>
      </c>
      <c r="EZ777" s="2288" t="str">
        <f t="shared" si="136"/>
        <v/>
      </c>
      <c r="FA777" s="2288" t="str">
        <f t="shared" si="137"/>
        <v/>
      </c>
      <c r="FB777" s="2288" t="str">
        <f t="shared" si="138"/>
        <v/>
      </c>
      <c r="FC777" s="2288" t="str">
        <f t="shared" si="139"/>
        <v/>
      </c>
      <c r="FD777" s="2288" t="str">
        <f t="shared" si="140"/>
        <v/>
      </c>
      <c r="FE777" s="2288" t="str">
        <f t="shared" si="141"/>
        <v/>
      </c>
      <c r="FF777" s="2288" t="str">
        <f t="shared" si="142"/>
        <v/>
      </c>
      <c r="FG777" s="2288" t="str">
        <f t="shared" si="143"/>
        <v/>
      </c>
      <c r="FH777" s="2288" t="str">
        <f t="shared" si="144"/>
        <v/>
      </c>
      <c r="FI777" s="2288" t="str">
        <f t="shared" si="145"/>
        <v/>
      </c>
      <c r="FJ777" s="2288" t="str">
        <f t="shared" si="146"/>
        <v/>
      </c>
      <c r="FK777" s="2288" t="str">
        <f t="shared" si="147"/>
        <v/>
      </c>
      <c r="FL777" s="2288" t="str">
        <f t="shared" si="148"/>
        <v/>
      </c>
      <c r="FM777" s="2288" t="str">
        <f t="shared" si="149"/>
        <v/>
      </c>
      <c r="FN777" s="2288" t="str">
        <f t="shared" si="150"/>
        <v/>
      </c>
      <c r="FO777" s="2288" t="str">
        <f t="shared" si="151"/>
        <v/>
      </c>
      <c r="FP777" s="2288" t="str">
        <f t="shared" si="152"/>
        <v/>
      </c>
      <c r="FQ777" s="2288" t="str">
        <f t="shared" si="153"/>
        <v/>
      </c>
      <c r="FR777" s="2288" t="str">
        <f t="shared" si="154"/>
        <v/>
      </c>
      <c r="FS777" s="2288" t="str">
        <f t="shared" si="155"/>
        <v/>
      </c>
      <c r="FT777" s="2288" t="str">
        <f t="shared" si="156"/>
        <v/>
      </c>
      <c r="FU777" s="2288" t="str">
        <f t="shared" si="157"/>
        <v/>
      </c>
      <c r="FV777" s="2288" t="str">
        <f t="shared" si="158"/>
        <v/>
      </c>
      <c r="FW777" s="2288" t="str">
        <f t="shared" si="159"/>
        <v/>
      </c>
      <c r="FX777" s="2288" t="str">
        <f t="shared" si="160"/>
        <v/>
      </c>
      <c r="FY777" s="2288" t="str">
        <f t="shared" si="161"/>
        <v/>
      </c>
      <c r="FZ777" s="2288" t="str">
        <f t="shared" si="162"/>
        <v/>
      </c>
      <c r="GA777" s="2288" t="str">
        <f t="shared" si="163"/>
        <v/>
      </c>
      <c r="GB777" s="2288" t="str">
        <f t="shared" si="164"/>
        <v/>
      </c>
      <c r="GC777" s="2288" t="str">
        <f t="shared" si="165"/>
        <v/>
      </c>
      <c r="GD777" s="2288" t="str">
        <f t="shared" si="166"/>
        <v/>
      </c>
      <c r="GE777" s="2288" t="str">
        <f t="shared" si="167"/>
        <v/>
      </c>
      <c r="GF777" s="2288" t="str">
        <f t="shared" si="168"/>
        <v/>
      </c>
      <c r="GG777" s="2288" t="str">
        <f t="shared" si="169"/>
        <v/>
      </c>
      <c r="GH777" s="2288" t="str">
        <f t="shared" si="170"/>
        <v/>
      </c>
      <c r="GI777" s="2288" t="str">
        <f t="shared" si="171"/>
        <v/>
      </c>
      <c r="GJ777" s="2288" t="str">
        <f t="shared" si="172"/>
        <v/>
      </c>
      <c r="GK777" s="2288" t="str">
        <f t="shared" si="173"/>
        <v/>
      </c>
      <c r="GL777" s="2288" t="str">
        <f t="shared" si="174"/>
        <v/>
      </c>
      <c r="GM777" s="2288" t="str">
        <f t="shared" si="175"/>
        <v/>
      </c>
      <c r="GN777" s="2288" t="str">
        <f t="shared" si="176"/>
        <v/>
      </c>
      <c r="GO777" s="2288" t="str">
        <f t="shared" si="177"/>
        <v/>
      </c>
      <c r="GP777" s="2288" t="str">
        <f t="shared" si="178"/>
        <v/>
      </c>
      <c r="GQ777" s="2288" t="str">
        <f t="shared" si="179"/>
        <v/>
      </c>
      <c r="GR777" s="2288" t="str">
        <f t="shared" si="180"/>
        <v/>
      </c>
      <c r="GS777" s="2288" t="str">
        <f t="shared" si="181"/>
        <v/>
      </c>
      <c r="GT777" s="2288" t="str">
        <f t="shared" si="182"/>
        <v/>
      </c>
      <c r="GU777" s="2288" t="str">
        <f t="shared" si="183"/>
        <v/>
      </c>
      <c r="GV777" s="2288" t="str">
        <f t="shared" si="184"/>
        <v/>
      </c>
      <c r="GW777" s="2288" t="str">
        <f t="shared" si="185"/>
        <v/>
      </c>
      <c r="GX777" s="2288" t="str">
        <f t="shared" si="186"/>
        <v/>
      </c>
      <c r="GY777" s="2288" t="str">
        <f t="shared" si="187"/>
        <v/>
      </c>
      <c r="GZ777" s="2288" t="str">
        <f t="shared" si="188"/>
        <v/>
      </c>
      <c r="HA777" s="2288" t="str">
        <f t="shared" si="189"/>
        <v/>
      </c>
      <c r="HB777" s="2288" t="str">
        <f t="shared" si="190"/>
        <v/>
      </c>
      <c r="HC777" s="2288" t="str">
        <f t="shared" si="191"/>
        <v/>
      </c>
      <c r="HD777" s="2288" t="str">
        <f t="shared" si="192"/>
        <v/>
      </c>
      <c r="HE777" s="2288" t="str">
        <f t="shared" si="193"/>
        <v/>
      </c>
      <c r="HF777" s="2288" t="str">
        <f t="shared" si="194"/>
        <v/>
      </c>
      <c r="HG777" s="2288" t="str">
        <f t="shared" si="195"/>
        <v/>
      </c>
      <c r="HH777" s="2288" t="str">
        <f t="shared" si="196"/>
        <v/>
      </c>
      <c r="HI777" s="2288" t="str">
        <f t="shared" si="197"/>
        <v/>
      </c>
      <c r="HJ777" s="2288" t="str">
        <f t="shared" si="198"/>
        <v/>
      </c>
      <c r="HK777" s="2288" t="str">
        <f t="shared" si="199"/>
        <v/>
      </c>
      <c r="HL777" s="2288" t="str">
        <f t="shared" si="200"/>
        <v/>
      </c>
      <c r="HM777" s="2288" t="str">
        <f t="shared" si="201"/>
        <v/>
      </c>
      <c r="HN777" s="2288" t="str">
        <f t="shared" si="202"/>
        <v/>
      </c>
      <c r="HO777" s="2288" t="str">
        <f t="shared" si="203"/>
        <v/>
      </c>
      <c r="HP777" s="2288" t="str">
        <f t="shared" si="204"/>
        <v/>
      </c>
      <c r="HQ777" s="2288" t="str">
        <f t="shared" si="205"/>
        <v/>
      </c>
      <c r="HR777" s="2288" t="str">
        <f t="shared" si="206"/>
        <v/>
      </c>
      <c r="HS777" s="2288" t="str">
        <f t="shared" si="207"/>
        <v/>
      </c>
      <c r="HT777" s="2288" t="str">
        <f t="shared" si="208"/>
        <v/>
      </c>
      <c r="HU777" s="2288" t="str">
        <f t="shared" si="209"/>
        <v/>
      </c>
      <c r="HV777" s="2288" t="str">
        <f t="shared" si="210"/>
        <v/>
      </c>
      <c r="HW777" s="2288" t="str">
        <f t="shared" si="211"/>
        <v/>
      </c>
      <c r="HX777" s="2288" t="str">
        <f t="shared" si="212"/>
        <v/>
      </c>
      <c r="HY777" s="2288" t="str">
        <f t="shared" si="213"/>
        <v/>
      </c>
      <c r="HZ777" s="2288" t="str">
        <f t="shared" si="214"/>
        <v/>
      </c>
      <c r="IA777" s="2288" t="str">
        <f t="shared" si="215"/>
        <v/>
      </c>
      <c r="IB777" s="2288" t="str">
        <f t="shared" si="216"/>
        <v/>
      </c>
      <c r="IC777" s="2288" t="str">
        <f t="shared" si="217"/>
        <v/>
      </c>
      <c r="ID777" s="2255" t="str">
        <f t="shared" si="218"/>
        <v/>
      </c>
      <c r="IE777" s="2255" t="str">
        <f t="shared" si="219"/>
        <v/>
      </c>
      <c r="IF777" s="2255" t="str">
        <f t="shared" si="220"/>
        <v/>
      </c>
      <c r="IG777" s="2255" t="str">
        <f t="shared" si="221"/>
        <v/>
      </c>
      <c r="IH777" s="2255" t="str">
        <f t="shared" si="222"/>
        <v/>
      </c>
      <c r="II777" s="873" t="str">
        <f t="shared" si="223"/>
        <v/>
      </c>
      <c r="IJ777" s="873" t="str">
        <f t="shared" si="224"/>
        <v/>
      </c>
      <c r="IK777" s="873" t="str">
        <f t="shared" si="225"/>
        <v/>
      </c>
      <c r="IL777" s="873" t="str">
        <f t="shared" si="226"/>
        <v/>
      </c>
      <c r="IM777" s="873" t="str">
        <f t="shared" si="227"/>
        <v/>
      </c>
      <c r="IN777" s="873" t="str">
        <f t="shared" si="228"/>
        <v/>
      </c>
      <c r="IO777" s="873" t="str">
        <f t="shared" si="229"/>
        <v/>
      </c>
      <c r="IP777" s="873" t="str">
        <f t="shared" si="230"/>
        <v/>
      </c>
      <c r="IQ777" s="873" t="str">
        <f t="shared" si="231"/>
        <v/>
      </c>
      <c r="IR777" s="873" t="str">
        <f t="shared" si="232"/>
        <v/>
      </c>
      <c r="IS777" s="873" t="str">
        <f t="shared" si="233"/>
        <v/>
      </c>
      <c r="IT777" s="873" t="str">
        <f t="shared" si="234"/>
        <v/>
      </c>
      <c r="IU777" s="873" t="str">
        <f t="shared" si="235"/>
        <v/>
      </c>
      <c r="IV777" s="873" t="str">
        <f t="shared" si="236"/>
        <v/>
      </c>
      <c r="IW777" s="873" t="str">
        <f t="shared" si="237"/>
        <v/>
      </c>
      <c r="IX777" s="873" t="str">
        <f t="shared" si="238"/>
        <v/>
      </c>
      <c r="IY777" s="873" t="str">
        <f t="shared" si="239"/>
        <v/>
      </c>
      <c r="IZ777" s="873" t="str">
        <f t="shared" si="240"/>
        <v/>
      </c>
      <c r="JA777" s="873" t="str">
        <f t="shared" si="241"/>
        <v/>
      </c>
      <c r="JB777" s="873" t="str">
        <f t="shared" si="242"/>
        <v/>
      </c>
      <c r="JC777" s="2253">
        <f t="shared" si="243"/>
        <v>0</v>
      </c>
      <c r="JD777" s="2253">
        <f t="shared" si="244"/>
        <v>0</v>
      </c>
      <c r="JE777" s="2253">
        <f t="shared" si="245"/>
        <v>0</v>
      </c>
      <c r="JF777" s="2253">
        <f t="shared" si="246"/>
        <v>0</v>
      </c>
      <c r="JG777" s="2253">
        <f t="shared" si="247"/>
        <v>0</v>
      </c>
      <c r="JH777" s="2253">
        <f t="shared" si="248"/>
        <v>0</v>
      </c>
      <c r="JI777" s="2253">
        <f t="shared" si="249"/>
        <v>0</v>
      </c>
      <c r="JJ777" s="2253">
        <f t="shared" si="250"/>
        <v>0</v>
      </c>
      <c r="JK777" s="2253">
        <f t="shared" si="251"/>
        <v>0</v>
      </c>
      <c r="JL777" s="2253">
        <f t="shared" si="252"/>
        <v>0</v>
      </c>
      <c r="JM777" s="2253">
        <f t="shared" si="253"/>
        <v>0</v>
      </c>
      <c r="JN777" s="2253">
        <f t="shared" si="254"/>
        <v>0</v>
      </c>
      <c r="JO777" s="2253">
        <f t="shared" si="255"/>
        <v>0</v>
      </c>
      <c r="JP777" s="2253">
        <f t="shared" si="256"/>
        <v>0</v>
      </c>
      <c r="JQ777" s="2253">
        <f t="shared" si="257"/>
        <v>0</v>
      </c>
    </row>
    <row r="778" spans="1:277" ht="12" customHeight="1">
      <c r="A778" s="2258" t="str">
        <f t="shared" si="0"/>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1"/>
        <v>0</v>
      </c>
      <c r="L778" s="2284">
        <f t="shared" si="2"/>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3" t="str">
        <f t="shared" si="3"/>
        <v/>
      </c>
      <c r="X778" s="873" t="str">
        <f t="shared" si="4"/>
        <v/>
      </c>
      <c r="Y778" s="873" t="str">
        <f t="shared" si="5"/>
        <v/>
      </c>
      <c r="Z778" s="873" t="str">
        <f t="shared" si="6"/>
        <v/>
      </c>
      <c r="AA778" s="873" t="str">
        <f t="shared" si="7"/>
        <v/>
      </c>
      <c r="AB778" s="873" t="str">
        <f t="shared" si="8"/>
        <v/>
      </c>
      <c r="AC778" s="873" t="str">
        <f t="shared" si="9"/>
        <v/>
      </c>
      <c r="AD778" s="873" t="str">
        <f t="shared" si="10"/>
        <v/>
      </c>
      <c r="AE778" s="873" t="str">
        <f t="shared" si="11"/>
        <v/>
      </c>
      <c r="AF778" s="873" t="str">
        <f t="shared" si="12"/>
        <v/>
      </c>
      <c r="AG778" s="873" t="str">
        <f t="shared" si="13"/>
        <v/>
      </c>
      <c r="AH778" s="873" t="str">
        <f t="shared" si="14"/>
        <v/>
      </c>
      <c r="AI778" s="873" t="str">
        <f t="shared" si="15"/>
        <v/>
      </c>
      <c r="AJ778" s="873" t="str">
        <f t="shared" si="16"/>
        <v/>
      </c>
      <c r="AK778" s="873" t="str">
        <f t="shared" si="17"/>
        <v/>
      </c>
      <c r="AL778" s="873" t="str">
        <f t="shared" si="18"/>
        <v/>
      </c>
      <c r="AM778" s="873" t="str">
        <f t="shared" si="19"/>
        <v/>
      </c>
      <c r="AN778" s="873" t="str">
        <f t="shared" si="20"/>
        <v/>
      </c>
      <c r="AO778" s="873" t="str">
        <f t="shared" si="21"/>
        <v/>
      </c>
      <c r="AP778" s="873" t="str">
        <f t="shared" si="22"/>
        <v/>
      </c>
      <c r="AQ778" s="873" t="str">
        <f t="shared" si="23"/>
        <v/>
      </c>
      <c r="AR778" s="873" t="str">
        <f t="shared" si="24"/>
        <v/>
      </c>
      <c r="AS778" s="873" t="str">
        <f t="shared" si="25"/>
        <v/>
      </c>
      <c r="AT778" s="873" t="str">
        <f t="shared" si="26"/>
        <v/>
      </c>
      <c r="AU778" s="873" t="str">
        <f t="shared" si="27"/>
        <v/>
      </c>
      <c r="AV778" s="873" t="str">
        <f t="shared" si="28"/>
        <v/>
      </c>
      <c r="AW778" s="873" t="str">
        <f t="shared" si="29"/>
        <v/>
      </c>
      <c r="AX778" s="873" t="str">
        <f t="shared" si="30"/>
        <v/>
      </c>
      <c r="AY778" s="873" t="str">
        <f t="shared" si="31"/>
        <v/>
      </c>
      <c r="AZ778" s="873" t="str">
        <f t="shared" si="32"/>
        <v/>
      </c>
      <c r="BA778" s="873" t="str">
        <f t="shared" si="33"/>
        <v/>
      </c>
      <c r="BB778" s="873" t="str">
        <f t="shared" si="34"/>
        <v/>
      </c>
      <c r="BC778" s="873" t="str">
        <f t="shared" si="35"/>
        <v/>
      </c>
      <c r="BD778" s="873" t="str">
        <f t="shared" si="36"/>
        <v/>
      </c>
      <c r="BE778" s="873" t="str">
        <f t="shared" si="37"/>
        <v/>
      </c>
      <c r="BF778" s="873" t="str">
        <f t="shared" si="38"/>
        <v/>
      </c>
      <c r="BG778" s="873" t="str">
        <f t="shared" si="39"/>
        <v/>
      </c>
      <c r="BH778" s="873" t="str">
        <f t="shared" si="40"/>
        <v/>
      </c>
      <c r="BI778" s="873" t="str">
        <f t="shared" si="41"/>
        <v/>
      </c>
      <c r="BJ778" s="873" t="str">
        <f t="shared" si="42"/>
        <v/>
      </c>
      <c r="BK778" s="873" t="str">
        <f t="shared" si="43"/>
        <v/>
      </c>
      <c r="BL778" s="873" t="str">
        <f t="shared" si="44"/>
        <v/>
      </c>
      <c r="BM778" s="873" t="str">
        <f t="shared" si="45"/>
        <v/>
      </c>
      <c r="BN778" s="873" t="str">
        <f t="shared" si="46"/>
        <v/>
      </c>
      <c r="BO778" s="873" t="str">
        <f t="shared" si="47"/>
        <v/>
      </c>
      <c r="BP778" s="873" t="str">
        <f t="shared" si="48"/>
        <v/>
      </c>
      <c r="BQ778" s="873" t="str">
        <f t="shared" si="49"/>
        <v/>
      </c>
      <c r="BR778" s="873" t="str">
        <f t="shared" si="50"/>
        <v/>
      </c>
      <c r="BS778" s="873" t="str">
        <f t="shared" si="51"/>
        <v/>
      </c>
      <c r="BT778" s="873" t="str">
        <f t="shared" si="52"/>
        <v/>
      </c>
      <c r="BU778" s="873" t="str">
        <f t="shared" si="53"/>
        <v/>
      </c>
      <c r="BV778" s="873" t="str">
        <f t="shared" si="54"/>
        <v/>
      </c>
      <c r="BW778" s="873" t="str">
        <f t="shared" si="55"/>
        <v/>
      </c>
      <c r="BX778" s="873" t="str">
        <f t="shared" si="56"/>
        <v/>
      </c>
      <c r="BY778" s="873" t="str">
        <f t="shared" si="57"/>
        <v/>
      </c>
      <c r="BZ778" s="873" t="str">
        <f t="shared" si="58"/>
        <v/>
      </c>
      <c r="CA778" s="873" t="str">
        <f t="shared" si="59"/>
        <v/>
      </c>
      <c r="CB778" s="873" t="str">
        <f t="shared" si="60"/>
        <v/>
      </c>
      <c r="CC778" s="873" t="str">
        <f t="shared" si="61"/>
        <v/>
      </c>
      <c r="CD778" s="873" t="str">
        <f t="shared" si="62"/>
        <v/>
      </c>
      <c r="CE778" s="873" t="str">
        <f t="shared" si="63"/>
        <v/>
      </c>
      <c r="CF778" s="873" t="str">
        <f t="shared" si="64"/>
        <v/>
      </c>
      <c r="CG778" s="873" t="str">
        <f t="shared" si="65"/>
        <v/>
      </c>
      <c r="CH778" s="873" t="str">
        <f t="shared" si="66"/>
        <v/>
      </c>
      <c r="CI778" s="873" t="str">
        <f t="shared" si="67"/>
        <v/>
      </c>
      <c r="CJ778" s="873" t="str">
        <f t="shared" si="68"/>
        <v/>
      </c>
      <c r="CK778" s="873" t="str">
        <f t="shared" si="69"/>
        <v/>
      </c>
      <c r="CL778" s="873" t="str">
        <f t="shared" si="70"/>
        <v/>
      </c>
      <c r="CM778" s="873" t="str">
        <f t="shared" si="71"/>
        <v/>
      </c>
      <c r="CN778" s="873" t="str">
        <f t="shared" si="72"/>
        <v/>
      </c>
      <c r="CO778" s="873" t="str">
        <f t="shared" si="73"/>
        <v/>
      </c>
      <c r="CP778" s="873" t="str">
        <f t="shared" si="74"/>
        <v/>
      </c>
      <c r="CQ778" s="873" t="str">
        <f t="shared" si="75"/>
        <v/>
      </c>
      <c r="CR778" s="873" t="str">
        <f t="shared" si="76"/>
        <v/>
      </c>
      <c r="CS778" s="873" t="str">
        <f t="shared" si="77"/>
        <v/>
      </c>
      <c r="CT778" s="873" t="str">
        <f t="shared" si="78"/>
        <v/>
      </c>
      <c r="CU778" s="873" t="str">
        <f t="shared" si="79"/>
        <v/>
      </c>
      <c r="CV778" s="873" t="str">
        <f t="shared" si="80"/>
        <v/>
      </c>
      <c r="CW778" s="873" t="str">
        <f t="shared" si="81"/>
        <v/>
      </c>
      <c r="CX778" s="873" t="str">
        <f t="shared" si="82"/>
        <v/>
      </c>
      <c r="CY778" s="873" t="str">
        <f t="shared" si="83"/>
        <v/>
      </c>
      <c r="CZ778" s="873" t="str">
        <f t="shared" si="84"/>
        <v/>
      </c>
      <c r="DA778" s="873" t="str">
        <f t="shared" si="85"/>
        <v/>
      </c>
      <c r="DB778" s="873" t="str">
        <f t="shared" si="86"/>
        <v/>
      </c>
      <c r="DC778" s="873" t="str">
        <f t="shared" si="87"/>
        <v/>
      </c>
      <c r="DD778" s="873" t="str">
        <f t="shared" si="88"/>
        <v/>
      </c>
      <c r="DE778" s="873" t="str">
        <f t="shared" si="89"/>
        <v/>
      </c>
      <c r="DF778" s="873" t="str">
        <f t="shared" si="90"/>
        <v/>
      </c>
      <c r="DG778" s="873" t="str">
        <f t="shared" si="91"/>
        <v/>
      </c>
      <c r="DH778" s="873" t="str">
        <f t="shared" si="92"/>
        <v/>
      </c>
      <c r="DI778" s="873" t="str">
        <f t="shared" si="93"/>
        <v/>
      </c>
      <c r="DJ778" s="873" t="str">
        <f t="shared" si="94"/>
        <v/>
      </c>
      <c r="DK778" s="873" t="str">
        <f t="shared" si="95"/>
        <v/>
      </c>
      <c r="DL778" s="873" t="str">
        <f t="shared" si="96"/>
        <v/>
      </c>
      <c r="DM778" s="873" t="str">
        <f t="shared" si="97"/>
        <v/>
      </c>
      <c r="DN778" s="873" t="str">
        <f t="shared" si="98"/>
        <v/>
      </c>
      <c r="DO778" s="873" t="str">
        <f t="shared" si="99"/>
        <v/>
      </c>
      <c r="DP778" s="873" t="str">
        <f t="shared" si="100"/>
        <v/>
      </c>
      <c r="DQ778" s="873" t="str">
        <f t="shared" si="101"/>
        <v/>
      </c>
      <c r="DR778" s="873" t="str">
        <f t="shared" si="102"/>
        <v/>
      </c>
      <c r="DS778" s="873" t="str">
        <f t="shared" si="103"/>
        <v/>
      </c>
      <c r="DT778" s="873" t="str">
        <f t="shared" si="104"/>
        <v/>
      </c>
      <c r="DU778" s="873" t="str">
        <f t="shared" si="105"/>
        <v/>
      </c>
      <c r="DV778" s="873" t="str">
        <f t="shared" si="106"/>
        <v/>
      </c>
      <c r="DW778" s="873" t="str">
        <f t="shared" si="107"/>
        <v/>
      </c>
      <c r="DX778" s="873" t="str">
        <f t="shared" si="108"/>
        <v/>
      </c>
      <c r="DY778" s="873" t="str">
        <f t="shared" si="109"/>
        <v/>
      </c>
      <c r="DZ778" s="873" t="str">
        <f t="shared" si="110"/>
        <v/>
      </c>
      <c r="EA778" s="873" t="str">
        <f t="shared" si="111"/>
        <v/>
      </c>
      <c r="EB778" s="873" t="str">
        <f t="shared" si="112"/>
        <v/>
      </c>
      <c r="EC778" s="873" t="str">
        <f t="shared" si="113"/>
        <v/>
      </c>
      <c r="ED778" s="873" t="str">
        <f t="shared" si="114"/>
        <v/>
      </c>
      <c r="EE778" s="873" t="str">
        <f t="shared" si="115"/>
        <v/>
      </c>
      <c r="EF778" s="873" t="str">
        <f t="shared" si="116"/>
        <v/>
      </c>
      <c r="EG778" s="873" t="str">
        <f t="shared" si="117"/>
        <v/>
      </c>
      <c r="EH778" s="873" t="str">
        <f t="shared" si="118"/>
        <v/>
      </c>
      <c r="EI778" s="873" t="str">
        <f t="shared" si="119"/>
        <v/>
      </c>
      <c r="EJ778" s="873" t="str">
        <f t="shared" si="120"/>
        <v/>
      </c>
      <c r="EK778" s="873" t="str">
        <f t="shared" si="121"/>
        <v/>
      </c>
      <c r="EL778" s="873" t="str">
        <f t="shared" si="122"/>
        <v/>
      </c>
      <c r="EM778" s="873" t="str">
        <f t="shared" si="123"/>
        <v/>
      </c>
      <c r="EN778" s="873" t="str">
        <f t="shared" si="124"/>
        <v/>
      </c>
      <c r="EO778" s="873" t="str">
        <f t="shared" si="125"/>
        <v/>
      </c>
      <c r="EP778" s="873" t="str">
        <f t="shared" si="126"/>
        <v/>
      </c>
      <c r="EQ778" s="873" t="str">
        <f t="shared" si="127"/>
        <v/>
      </c>
      <c r="ER778" s="873" t="str">
        <f t="shared" si="128"/>
        <v/>
      </c>
      <c r="ES778" s="873" t="str">
        <f t="shared" si="129"/>
        <v/>
      </c>
      <c r="ET778" s="873" t="str">
        <f t="shared" si="130"/>
        <v/>
      </c>
      <c r="EU778" s="873" t="str">
        <f t="shared" si="131"/>
        <v/>
      </c>
      <c r="EV778" s="873" t="str">
        <f t="shared" si="132"/>
        <v/>
      </c>
      <c r="EW778" s="2288" t="str">
        <f t="shared" si="133"/>
        <v/>
      </c>
      <c r="EX778" s="2288" t="str">
        <f t="shared" si="134"/>
        <v/>
      </c>
      <c r="EY778" s="2288" t="str">
        <f t="shared" si="135"/>
        <v/>
      </c>
      <c r="EZ778" s="2288" t="str">
        <f t="shared" si="136"/>
        <v/>
      </c>
      <c r="FA778" s="2288" t="str">
        <f t="shared" si="137"/>
        <v/>
      </c>
      <c r="FB778" s="2288" t="str">
        <f t="shared" si="138"/>
        <v/>
      </c>
      <c r="FC778" s="2288" t="str">
        <f t="shared" si="139"/>
        <v/>
      </c>
      <c r="FD778" s="2288" t="str">
        <f t="shared" si="140"/>
        <v/>
      </c>
      <c r="FE778" s="2288" t="str">
        <f t="shared" si="141"/>
        <v/>
      </c>
      <c r="FF778" s="2288" t="str">
        <f t="shared" si="142"/>
        <v/>
      </c>
      <c r="FG778" s="2288" t="str">
        <f t="shared" si="143"/>
        <v/>
      </c>
      <c r="FH778" s="2288" t="str">
        <f t="shared" si="144"/>
        <v/>
      </c>
      <c r="FI778" s="2288" t="str">
        <f t="shared" si="145"/>
        <v/>
      </c>
      <c r="FJ778" s="2288" t="str">
        <f t="shared" si="146"/>
        <v/>
      </c>
      <c r="FK778" s="2288" t="str">
        <f t="shared" si="147"/>
        <v/>
      </c>
      <c r="FL778" s="2288" t="str">
        <f t="shared" si="148"/>
        <v/>
      </c>
      <c r="FM778" s="2288" t="str">
        <f t="shared" si="149"/>
        <v/>
      </c>
      <c r="FN778" s="2288" t="str">
        <f t="shared" si="150"/>
        <v/>
      </c>
      <c r="FO778" s="2288" t="str">
        <f t="shared" si="151"/>
        <v/>
      </c>
      <c r="FP778" s="2288" t="str">
        <f t="shared" si="152"/>
        <v/>
      </c>
      <c r="FQ778" s="2288" t="str">
        <f t="shared" si="153"/>
        <v/>
      </c>
      <c r="FR778" s="2288" t="str">
        <f t="shared" si="154"/>
        <v/>
      </c>
      <c r="FS778" s="2288" t="str">
        <f t="shared" si="155"/>
        <v/>
      </c>
      <c r="FT778" s="2288" t="str">
        <f t="shared" si="156"/>
        <v/>
      </c>
      <c r="FU778" s="2288" t="str">
        <f t="shared" si="157"/>
        <v/>
      </c>
      <c r="FV778" s="2288" t="str">
        <f t="shared" si="158"/>
        <v/>
      </c>
      <c r="FW778" s="2288" t="str">
        <f t="shared" si="159"/>
        <v/>
      </c>
      <c r="FX778" s="2288" t="str">
        <f t="shared" si="160"/>
        <v/>
      </c>
      <c r="FY778" s="2288" t="str">
        <f t="shared" si="161"/>
        <v/>
      </c>
      <c r="FZ778" s="2288" t="str">
        <f t="shared" si="162"/>
        <v/>
      </c>
      <c r="GA778" s="2288" t="str">
        <f t="shared" si="163"/>
        <v/>
      </c>
      <c r="GB778" s="2288" t="str">
        <f t="shared" si="164"/>
        <v/>
      </c>
      <c r="GC778" s="2288" t="str">
        <f t="shared" si="165"/>
        <v/>
      </c>
      <c r="GD778" s="2288" t="str">
        <f t="shared" si="166"/>
        <v/>
      </c>
      <c r="GE778" s="2288" t="str">
        <f t="shared" si="167"/>
        <v/>
      </c>
      <c r="GF778" s="2288" t="str">
        <f t="shared" si="168"/>
        <v/>
      </c>
      <c r="GG778" s="2288" t="str">
        <f t="shared" si="169"/>
        <v/>
      </c>
      <c r="GH778" s="2288" t="str">
        <f t="shared" si="170"/>
        <v/>
      </c>
      <c r="GI778" s="2288" t="str">
        <f t="shared" si="171"/>
        <v/>
      </c>
      <c r="GJ778" s="2288" t="str">
        <f t="shared" si="172"/>
        <v/>
      </c>
      <c r="GK778" s="2288" t="str">
        <f t="shared" si="173"/>
        <v/>
      </c>
      <c r="GL778" s="2288" t="str">
        <f t="shared" si="174"/>
        <v/>
      </c>
      <c r="GM778" s="2288" t="str">
        <f t="shared" si="175"/>
        <v/>
      </c>
      <c r="GN778" s="2288" t="str">
        <f t="shared" si="176"/>
        <v/>
      </c>
      <c r="GO778" s="2288" t="str">
        <f t="shared" si="177"/>
        <v/>
      </c>
      <c r="GP778" s="2288" t="str">
        <f t="shared" si="178"/>
        <v/>
      </c>
      <c r="GQ778" s="2288" t="str">
        <f t="shared" si="179"/>
        <v/>
      </c>
      <c r="GR778" s="2288" t="str">
        <f t="shared" si="180"/>
        <v/>
      </c>
      <c r="GS778" s="2288" t="str">
        <f t="shared" si="181"/>
        <v/>
      </c>
      <c r="GT778" s="2288" t="str">
        <f t="shared" si="182"/>
        <v/>
      </c>
      <c r="GU778" s="2288" t="str">
        <f t="shared" si="183"/>
        <v/>
      </c>
      <c r="GV778" s="2288" t="str">
        <f t="shared" si="184"/>
        <v/>
      </c>
      <c r="GW778" s="2288" t="str">
        <f t="shared" si="185"/>
        <v/>
      </c>
      <c r="GX778" s="2288" t="str">
        <f t="shared" si="186"/>
        <v/>
      </c>
      <c r="GY778" s="2288" t="str">
        <f t="shared" si="187"/>
        <v/>
      </c>
      <c r="GZ778" s="2288" t="str">
        <f t="shared" si="188"/>
        <v/>
      </c>
      <c r="HA778" s="2288" t="str">
        <f t="shared" si="189"/>
        <v/>
      </c>
      <c r="HB778" s="2288" t="str">
        <f t="shared" si="190"/>
        <v/>
      </c>
      <c r="HC778" s="2288" t="str">
        <f t="shared" si="191"/>
        <v/>
      </c>
      <c r="HD778" s="2288" t="str">
        <f t="shared" si="192"/>
        <v/>
      </c>
      <c r="HE778" s="2288" t="str">
        <f t="shared" si="193"/>
        <v/>
      </c>
      <c r="HF778" s="2288" t="str">
        <f t="shared" si="194"/>
        <v/>
      </c>
      <c r="HG778" s="2288" t="str">
        <f t="shared" si="195"/>
        <v/>
      </c>
      <c r="HH778" s="2288" t="str">
        <f t="shared" si="196"/>
        <v/>
      </c>
      <c r="HI778" s="2288" t="str">
        <f t="shared" si="197"/>
        <v/>
      </c>
      <c r="HJ778" s="2288" t="str">
        <f t="shared" si="198"/>
        <v/>
      </c>
      <c r="HK778" s="2288" t="str">
        <f t="shared" si="199"/>
        <v/>
      </c>
      <c r="HL778" s="2288" t="str">
        <f t="shared" si="200"/>
        <v/>
      </c>
      <c r="HM778" s="2288" t="str">
        <f t="shared" si="201"/>
        <v/>
      </c>
      <c r="HN778" s="2288" t="str">
        <f t="shared" si="202"/>
        <v/>
      </c>
      <c r="HO778" s="2288" t="str">
        <f t="shared" si="203"/>
        <v/>
      </c>
      <c r="HP778" s="2288" t="str">
        <f t="shared" si="204"/>
        <v/>
      </c>
      <c r="HQ778" s="2288" t="str">
        <f t="shared" si="205"/>
        <v/>
      </c>
      <c r="HR778" s="2288" t="str">
        <f t="shared" si="206"/>
        <v/>
      </c>
      <c r="HS778" s="2288" t="str">
        <f t="shared" si="207"/>
        <v/>
      </c>
      <c r="HT778" s="2288" t="str">
        <f t="shared" si="208"/>
        <v/>
      </c>
      <c r="HU778" s="2288" t="str">
        <f t="shared" si="209"/>
        <v/>
      </c>
      <c r="HV778" s="2288" t="str">
        <f t="shared" si="210"/>
        <v/>
      </c>
      <c r="HW778" s="2288" t="str">
        <f t="shared" si="211"/>
        <v/>
      </c>
      <c r="HX778" s="2288" t="str">
        <f t="shared" si="212"/>
        <v/>
      </c>
      <c r="HY778" s="2288" t="str">
        <f t="shared" si="213"/>
        <v/>
      </c>
      <c r="HZ778" s="2288" t="str">
        <f t="shared" si="214"/>
        <v/>
      </c>
      <c r="IA778" s="2288" t="str">
        <f t="shared" si="215"/>
        <v/>
      </c>
      <c r="IB778" s="2288" t="str">
        <f t="shared" si="216"/>
        <v/>
      </c>
      <c r="IC778" s="2288" t="str">
        <f t="shared" si="217"/>
        <v/>
      </c>
      <c r="ID778" s="2255" t="str">
        <f t="shared" si="218"/>
        <v/>
      </c>
      <c r="IE778" s="2255" t="str">
        <f t="shared" si="219"/>
        <v/>
      </c>
      <c r="IF778" s="2255" t="str">
        <f t="shared" si="220"/>
        <v/>
      </c>
      <c r="IG778" s="2255" t="str">
        <f t="shared" si="221"/>
        <v/>
      </c>
      <c r="IH778" s="2255" t="str">
        <f t="shared" si="222"/>
        <v/>
      </c>
      <c r="II778" s="873" t="str">
        <f t="shared" si="223"/>
        <v/>
      </c>
      <c r="IJ778" s="873" t="str">
        <f t="shared" si="224"/>
        <v/>
      </c>
      <c r="IK778" s="873" t="str">
        <f t="shared" si="225"/>
        <v/>
      </c>
      <c r="IL778" s="873" t="str">
        <f t="shared" si="226"/>
        <v/>
      </c>
      <c r="IM778" s="873" t="str">
        <f t="shared" si="227"/>
        <v/>
      </c>
      <c r="IN778" s="873" t="str">
        <f t="shared" si="228"/>
        <v/>
      </c>
      <c r="IO778" s="873" t="str">
        <f t="shared" si="229"/>
        <v/>
      </c>
      <c r="IP778" s="873" t="str">
        <f t="shared" si="230"/>
        <v/>
      </c>
      <c r="IQ778" s="873" t="str">
        <f t="shared" si="231"/>
        <v/>
      </c>
      <c r="IR778" s="873" t="str">
        <f t="shared" si="232"/>
        <v/>
      </c>
      <c r="IS778" s="873" t="str">
        <f t="shared" si="233"/>
        <v/>
      </c>
      <c r="IT778" s="873" t="str">
        <f t="shared" si="234"/>
        <v/>
      </c>
      <c r="IU778" s="873" t="str">
        <f t="shared" si="235"/>
        <v/>
      </c>
      <c r="IV778" s="873" t="str">
        <f t="shared" si="236"/>
        <v/>
      </c>
      <c r="IW778" s="873" t="str">
        <f t="shared" si="237"/>
        <v/>
      </c>
      <c r="IX778" s="873" t="str">
        <f t="shared" si="238"/>
        <v/>
      </c>
      <c r="IY778" s="873" t="str">
        <f t="shared" si="239"/>
        <v/>
      </c>
      <c r="IZ778" s="873" t="str">
        <f t="shared" si="240"/>
        <v/>
      </c>
      <c r="JA778" s="873" t="str">
        <f t="shared" si="241"/>
        <v/>
      </c>
      <c r="JB778" s="873" t="str">
        <f t="shared" si="242"/>
        <v/>
      </c>
      <c r="JC778" s="2253">
        <f t="shared" si="243"/>
        <v>0</v>
      </c>
      <c r="JD778" s="2253">
        <f t="shared" si="244"/>
        <v>0</v>
      </c>
      <c r="JE778" s="2253">
        <f t="shared" si="245"/>
        <v>0</v>
      </c>
      <c r="JF778" s="2253">
        <f t="shared" si="246"/>
        <v>0</v>
      </c>
      <c r="JG778" s="2253">
        <f t="shared" si="247"/>
        <v>0</v>
      </c>
      <c r="JH778" s="2253">
        <f t="shared" si="248"/>
        <v>0</v>
      </c>
      <c r="JI778" s="2253">
        <f t="shared" si="249"/>
        <v>0</v>
      </c>
      <c r="JJ778" s="2253">
        <f t="shared" si="250"/>
        <v>0</v>
      </c>
      <c r="JK778" s="2253">
        <f t="shared" si="251"/>
        <v>0</v>
      </c>
      <c r="JL778" s="2253">
        <f t="shared" si="252"/>
        <v>0</v>
      </c>
      <c r="JM778" s="2253">
        <f t="shared" si="253"/>
        <v>0</v>
      </c>
      <c r="JN778" s="2253">
        <f t="shared" si="254"/>
        <v>0</v>
      </c>
      <c r="JO778" s="2253">
        <f t="shared" si="255"/>
        <v>0</v>
      </c>
      <c r="JP778" s="2253">
        <f t="shared" si="256"/>
        <v>0</v>
      </c>
      <c r="JQ778" s="2253">
        <f t="shared" si="257"/>
        <v>0</v>
      </c>
    </row>
    <row r="779" spans="1:277" ht="12" customHeight="1">
      <c r="A779" s="2258" t="str">
        <f t="shared" si="0"/>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1"/>
        <v>0</v>
      </c>
      <c r="L779" s="2284">
        <f t="shared" si="2"/>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3" t="str">
        <f t="shared" si="3"/>
        <v/>
      </c>
      <c r="X779" s="873" t="str">
        <f t="shared" si="4"/>
        <v/>
      </c>
      <c r="Y779" s="873" t="str">
        <f t="shared" si="5"/>
        <v/>
      </c>
      <c r="Z779" s="873" t="str">
        <f t="shared" si="6"/>
        <v/>
      </c>
      <c r="AA779" s="873" t="str">
        <f t="shared" si="7"/>
        <v/>
      </c>
      <c r="AB779" s="873" t="str">
        <f t="shared" si="8"/>
        <v/>
      </c>
      <c r="AC779" s="873" t="str">
        <f t="shared" si="9"/>
        <v/>
      </c>
      <c r="AD779" s="873" t="str">
        <f t="shared" si="10"/>
        <v/>
      </c>
      <c r="AE779" s="873" t="str">
        <f t="shared" si="11"/>
        <v/>
      </c>
      <c r="AF779" s="873" t="str">
        <f t="shared" si="12"/>
        <v/>
      </c>
      <c r="AG779" s="873" t="str">
        <f t="shared" si="13"/>
        <v/>
      </c>
      <c r="AH779" s="873" t="str">
        <f t="shared" si="14"/>
        <v/>
      </c>
      <c r="AI779" s="873" t="str">
        <f t="shared" si="15"/>
        <v/>
      </c>
      <c r="AJ779" s="873" t="str">
        <f t="shared" si="16"/>
        <v/>
      </c>
      <c r="AK779" s="873" t="str">
        <f t="shared" si="17"/>
        <v/>
      </c>
      <c r="AL779" s="873" t="str">
        <f t="shared" si="18"/>
        <v/>
      </c>
      <c r="AM779" s="873" t="str">
        <f t="shared" si="19"/>
        <v/>
      </c>
      <c r="AN779" s="873" t="str">
        <f t="shared" si="20"/>
        <v/>
      </c>
      <c r="AO779" s="873" t="str">
        <f t="shared" si="21"/>
        <v/>
      </c>
      <c r="AP779" s="873" t="str">
        <f t="shared" si="22"/>
        <v/>
      </c>
      <c r="AQ779" s="873" t="str">
        <f t="shared" si="23"/>
        <v/>
      </c>
      <c r="AR779" s="873" t="str">
        <f t="shared" si="24"/>
        <v/>
      </c>
      <c r="AS779" s="873" t="str">
        <f t="shared" si="25"/>
        <v/>
      </c>
      <c r="AT779" s="873" t="str">
        <f t="shared" si="26"/>
        <v/>
      </c>
      <c r="AU779" s="873" t="str">
        <f t="shared" si="27"/>
        <v/>
      </c>
      <c r="AV779" s="873" t="str">
        <f t="shared" si="28"/>
        <v/>
      </c>
      <c r="AW779" s="873" t="str">
        <f t="shared" si="29"/>
        <v/>
      </c>
      <c r="AX779" s="873" t="str">
        <f t="shared" si="30"/>
        <v/>
      </c>
      <c r="AY779" s="873" t="str">
        <f t="shared" si="31"/>
        <v/>
      </c>
      <c r="AZ779" s="873" t="str">
        <f t="shared" si="32"/>
        <v/>
      </c>
      <c r="BA779" s="873" t="str">
        <f t="shared" si="33"/>
        <v/>
      </c>
      <c r="BB779" s="873" t="str">
        <f t="shared" si="34"/>
        <v/>
      </c>
      <c r="BC779" s="873" t="str">
        <f t="shared" si="35"/>
        <v/>
      </c>
      <c r="BD779" s="873" t="str">
        <f t="shared" si="36"/>
        <v/>
      </c>
      <c r="BE779" s="873" t="str">
        <f t="shared" si="37"/>
        <v/>
      </c>
      <c r="BF779" s="873" t="str">
        <f t="shared" si="38"/>
        <v/>
      </c>
      <c r="BG779" s="873" t="str">
        <f t="shared" si="39"/>
        <v/>
      </c>
      <c r="BH779" s="873" t="str">
        <f t="shared" si="40"/>
        <v/>
      </c>
      <c r="BI779" s="873" t="str">
        <f t="shared" si="41"/>
        <v/>
      </c>
      <c r="BJ779" s="873" t="str">
        <f t="shared" si="42"/>
        <v/>
      </c>
      <c r="BK779" s="873" t="str">
        <f t="shared" si="43"/>
        <v/>
      </c>
      <c r="BL779" s="873" t="str">
        <f t="shared" si="44"/>
        <v/>
      </c>
      <c r="BM779" s="873" t="str">
        <f t="shared" si="45"/>
        <v/>
      </c>
      <c r="BN779" s="873" t="str">
        <f t="shared" si="46"/>
        <v/>
      </c>
      <c r="BO779" s="873" t="str">
        <f t="shared" si="47"/>
        <v/>
      </c>
      <c r="BP779" s="873" t="str">
        <f t="shared" si="48"/>
        <v/>
      </c>
      <c r="BQ779" s="873" t="str">
        <f t="shared" si="49"/>
        <v/>
      </c>
      <c r="BR779" s="873" t="str">
        <f t="shared" si="50"/>
        <v/>
      </c>
      <c r="BS779" s="873" t="str">
        <f t="shared" si="51"/>
        <v/>
      </c>
      <c r="BT779" s="873" t="str">
        <f t="shared" si="52"/>
        <v/>
      </c>
      <c r="BU779" s="873" t="str">
        <f t="shared" si="53"/>
        <v/>
      </c>
      <c r="BV779" s="873" t="str">
        <f t="shared" si="54"/>
        <v/>
      </c>
      <c r="BW779" s="873" t="str">
        <f t="shared" si="55"/>
        <v/>
      </c>
      <c r="BX779" s="873" t="str">
        <f t="shared" si="56"/>
        <v/>
      </c>
      <c r="BY779" s="873" t="str">
        <f t="shared" si="57"/>
        <v/>
      </c>
      <c r="BZ779" s="873" t="str">
        <f t="shared" si="58"/>
        <v/>
      </c>
      <c r="CA779" s="873" t="str">
        <f t="shared" si="59"/>
        <v/>
      </c>
      <c r="CB779" s="873" t="str">
        <f t="shared" si="60"/>
        <v/>
      </c>
      <c r="CC779" s="873" t="str">
        <f t="shared" si="61"/>
        <v/>
      </c>
      <c r="CD779" s="873" t="str">
        <f t="shared" si="62"/>
        <v/>
      </c>
      <c r="CE779" s="873" t="str">
        <f t="shared" si="63"/>
        <v/>
      </c>
      <c r="CF779" s="873" t="str">
        <f t="shared" si="64"/>
        <v/>
      </c>
      <c r="CG779" s="873" t="str">
        <f t="shared" si="65"/>
        <v/>
      </c>
      <c r="CH779" s="873" t="str">
        <f t="shared" si="66"/>
        <v/>
      </c>
      <c r="CI779" s="873" t="str">
        <f t="shared" si="67"/>
        <v/>
      </c>
      <c r="CJ779" s="873" t="str">
        <f t="shared" si="68"/>
        <v/>
      </c>
      <c r="CK779" s="873" t="str">
        <f t="shared" si="69"/>
        <v/>
      </c>
      <c r="CL779" s="873" t="str">
        <f t="shared" si="70"/>
        <v/>
      </c>
      <c r="CM779" s="873" t="str">
        <f t="shared" si="71"/>
        <v/>
      </c>
      <c r="CN779" s="873" t="str">
        <f t="shared" si="72"/>
        <v/>
      </c>
      <c r="CO779" s="873" t="str">
        <f t="shared" si="73"/>
        <v/>
      </c>
      <c r="CP779" s="873" t="str">
        <f t="shared" si="74"/>
        <v/>
      </c>
      <c r="CQ779" s="873" t="str">
        <f t="shared" si="75"/>
        <v/>
      </c>
      <c r="CR779" s="873" t="str">
        <f t="shared" si="76"/>
        <v/>
      </c>
      <c r="CS779" s="873" t="str">
        <f t="shared" si="77"/>
        <v/>
      </c>
      <c r="CT779" s="873" t="str">
        <f t="shared" si="78"/>
        <v/>
      </c>
      <c r="CU779" s="873" t="str">
        <f t="shared" si="79"/>
        <v/>
      </c>
      <c r="CV779" s="873" t="str">
        <f t="shared" si="80"/>
        <v/>
      </c>
      <c r="CW779" s="873" t="str">
        <f t="shared" si="81"/>
        <v/>
      </c>
      <c r="CX779" s="873" t="str">
        <f t="shared" si="82"/>
        <v/>
      </c>
      <c r="CY779" s="873" t="str">
        <f t="shared" si="83"/>
        <v/>
      </c>
      <c r="CZ779" s="873" t="str">
        <f t="shared" si="84"/>
        <v/>
      </c>
      <c r="DA779" s="873" t="str">
        <f t="shared" si="85"/>
        <v/>
      </c>
      <c r="DB779" s="873" t="str">
        <f t="shared" si="86"/>
        <v/>
      </c>
      <c r="DC779" s="873" t="str">
        <f t="shared" si="87"/>
        <v/>
      </c>
      <c r="DD779" s="873" t="str">
        <f t="shared" si="88"/>
        <v/>
      </c>
      <c r="DE779" s="873" t="str">
        <f t="shared" si="89"/>
        <v/>
      </c>
      <c r="DF779" s="873" t="str">
        <f t="shared" si="90"/>
        <v/>
      </c>
      <c r="DG779" s="873" t="str">
        <f t="shared" si="91"/>
        <v/>
      </c>
      <c r="DH779" s="873" t="str">
        <f t="shared" si="92"/>
        <v/>
      </c>
      <c r="DI779" s="873" t="str">
        <f t="shared" si="93"/>
        <v/>
      </c>
      <c r="DJ779" s="873" t="str">
        <f t="shared" si="94"/>
        <v/>
      </c>
      <c r="DK779" s="873" t="str">
        <f t="shared" si="95"/>
        <v/>
      </c>
      <c r="DL779" s="873" t="str">
        <f t="shared" si="96"/>
        <v/>
      </c>
      <c r="DM779" s="873" t="str">
        <f t="shared" si="97"/>
        <v/>
      </c>
      <c r="DN779" s="873" t="str">
        <f t="shared" si="98"/>
        <v/>
      </c>
      <c r="DO779" s="873" t="str">
        <f t="shared" si="99"/>
        <v/>
      </c>
      <c r="DP779" s="873" t="str">
        <f t="shared" si="100"/>
        <v/>
      </c>
      <c r="DQ779" s="873" t="str">
        <f t="shared" si="101"/>
        <v/>
      </c>
      <c r="DR779" s="873" t="str">
        <f t="shared" si="102"/>
        <v/>
      </c>
      <c r="DS779" s="873" t="str">
        <f t="shared" si="103"/>
        <v/>
      </c>
      <c r="DT779" s="873" t="str">
        <f t="shared" si="104"/>
        <v/>
      </c>
      <c r="DU779" s="873" t="str">
        <f t="shared" si="105"/>
        <v/>
      </c>
      <c r="DV779" s="873" t="str">
        <f t="shared" si="106"/>
        <v/>
      </c>
      <c r="DW779" s="873" t="str">
        <f t="shared" si="107"/>
        <v/>
      </c>
      <c r="DX779" s="873" t="str">
        <f t="shared" si="108"/>
        <v/>
      </c>
      <c r="DY779" s="873" t="str">
        <f t="shared" si="109"/>
        <v/>
      </c>
      <c r="DZ779" s="873" t="str">
        <f t="shared" si="110"/>
        <v/>
      </c>
      <c r="EA779" s="873" t="str">
        <f t="shared" si="111"/>
        <v/>
      </c>
      <c r="EB779" s="873" t="str">
        <f t="shared" si="112"/>
        <v/>
      </c>
      <c r="EC779" s="873" t="str">
        <f t="shared" si="113"/>
        <v/>
      </c>
      <c r="ED779" s="873" t="str">
        <f t="shared" si="114"/>
        <v/>
      </c>
      <c r="EE779" s="873" t="str">
        <f t="shared" si="115"/>
        <v/>
      </c>
      <c r="EF779" s="873" t="str">
        <f t="shared" si="116"/>
        <v/>
      </c>
      <c r="EG779" s="873" t="str">
        <f t="shared" si="117"/>
        <v/>
      </c>
      <c r="EH779" s="873" t="str">
        <f t="shared" si="118"/>
        <v/>
      </c>
      <c r="EI779" s="873" t="str">
        <f t="shared" si="119"/>
        <v/>
      </c>
      <c r="EJ779" s="873" t="str">
        <f t="shared" si="120"/>
        <v/>
      </c>
      <c r="EK779" s="873" t="str">
        <f t="shared" si="121"/>
        <v/>
      </c>
      <c r="EL779" s="873" t="str">
        <f t="shared" si="122"/>
        <v/>
      </c>
      <c r="EM779" s="873" t="str">
        <f t="shared" si="123"/>
        <v/>
      </c>
      <c r="EN779" s="873" t="str">
        <f t="shared" si="124"/>
        <v/>
      </c>
      <c r="EO779" s="873" t="str">
        <f t="shared" si="125"/>
        <v/>
      </c>
      <c r="EP779" s="873" t="str">
        <f t="shared" si="126"/>
        <v/>
      </c>
      <c r="EQ779" s="873" t="str">
        <f t="shared" si="127"/>
        <v/>
      </c>
      <c r="ER779" s="873" t="str">
        <f t="shared" si="128"/>
        <v/>
      </c>
      <c r="ES779" s="873" t="str">
        <f t="shared" si="129"/>
        <v/>
      </c>
      <c r="ET779" s="873" t="str">
        <f t="shared" si="130"/>
        <v/>
      </c>
      <c r="EU779" s="873" t="str">
        <f t="shared" si="131"/>
        <v/>
      </c>
      <c r="EV779" s="873" t="str">
        <f t="shared" si="132"/>
        <v/>
      </c>
      <c r="EW779" s="2288" t="str">
        <f t="shared" si="133"/>
        <v/>
      </c>
      <c r="EX779" s="2288" t="str">
        <f t="shared" si="134"/>
        <v/>
      </c>
      <c r="EY779" s="2288" t="str">
        <f t="shared" si="135"/>
        <v/>
      </c>
      <c r="EZ779" s="2288" t="str">
        <f t="shared" si="136"/>
        <v/>
      </c>
      <c r="FA779" s="2288" t="str">
        <f t="shared" si="137"/>
        <v/>
      </c>
      <c r="FB779" s="2288" t="str">
        <f t="shared" si="138"/>
        <v/>
      </c>
      <c r="FC779" s="2288" t="str">
        <f t="shared" si="139"/>
        <v/>
      </c>
      <c r="FD779" s="2288" t="str">
        <f t="shared" si="140"/>
        <v/>
      </c>
      <c r="FE779" s="2288" t="str">
        <f t="shared" si="141"/>
        <v/>
      </c>
      <c r="FF779" s="2288" t="str">
        <f t="shared" si="142"/>
        <v/>
      </c>
      <c r="FG779" s="2288" t="str">
        <f t="shared" si="143"/>
        <v/>
      </c>
      <c r="FH779" s="2288" t="str">
        <f t="shared" si="144"/>
        <v/>
      </c>
      <c r="FI779" s="2288" t="str">
        <f t="shared" si="145"/>
        <v/>
      </c>
      <c r="FJ779" s="2288" t="str">
        <f t="shared" si="146"/>
        <v/>
      </c>
      <c r="FK779" s="2288" t="str">
        <f t="shared" si="147"/>
        <v/>
      </c>
      <c r="FL779" s="2288" t="str">
        <f t="shared" si="148"/>
        <v/>
      </c>
      <c r="FM779" s="2288" t="str">
        <f t="shared" si="149"/>
        <v/>
      </c>
      <c r="FN779" s="2288" t="str">
        <f t="shared" si="150"/>
        <v/>
      </c>
      <c r="FO779" s="2288" t="str">
        <f t="shared" si="151"/>
        <v/>
      </c>
      <c r="FP779" s="2288" t="str">
        <f t="shared" si="152"/>
        <v/>
      </c>
      <c r="FQ779" s="2288" t="str">
        <f t="shared" si="153"/>
        <v/>
      </c>
      <c r="FR779" s="2288" t="str">
        <f t="shared" si="154"/>
        <v/>
      </c>
      <c r="FS779" s="2288" t="str">
        <f t="shared" si="155"/>
        <v/>
      </c>
      <c r="FT779" s="2288" t="str">
        <f t="shared" si="156"/>
        <v/>
      </c>
      <c r="FU779" s="2288" t="str">
        <f t="shared" si="157"/>
        <v/>
      </c>
      <c r="FV779" s="2288" t="str">
        <f t="shared" si="158"/>
        <v/>
      </c>
      <c r="FW779" s="2288" t="str">
        <f t="shared" si="159"/>
        <v/>
      </c>
      <c r="FX779" s="2288" t="str">
        <f t="shared" si="160"/>
        <v/>
      </c>
      <c r="FY779" s="2288" t="str">
        <f t="shared" si="161"/>
        <v/>
      </c>
      <c r="FZ779" s="2288" t="str">
        <f t="shared" si="162"/>
        <v/>
      </c>
      <c r="GA779" s="2288" t="str">
        <f t="shared" si="163"/>
        <v/>
      </c>
      <c r="GB779" s="2288" t="str">
        <f t="shared" si="164"/>
        <v/>
      </c>
      <c r="GC779" s="2288" t="str">
        <f t="shared" si="165"/>
        <v/>
      </c>
      <c r="GD779" s="2288" t="str">
        <f t="shared" si="166"/>
        <v/>
      </c>
      <c r="GE779" s="2288" t="str">
        <f t="shared" si="167"/>
        <v/>
      </c>
      <c r="GF779" s="2288" t="str">
        <f t="shared" si="168"/>
        <v/>
      </c>
      <c r="GG779" s="2288" t="str">
        <f t="shared" si="169"/>
        <v/>
      </c>
      <c r="GH779" s="2288" t="str">
        <f t="shared" si="170"/>
        <v/>
      </c>
      <c r="GI779" s="2288" t="str">
        <f t="shared" si="171"/>
        <v/>
      </c>
      <c r="GJ779" s="2288" t="str">
        <f t="shared" si="172"/>
        <v/>
      </c>
      <c r="GK779" s="2288" t="str">
        <f t="shared" si="173"/>
        <v/>
      </c>
      <c r="GL779" s="2288" t="str">
        <f t="shared" si="174"/>
        <v/>
      </c>
      <c r="GM779" s="2288" t="str">
        <f t="shared" si="175"/>
        <v/>
      </c>
      <c r="GN779" s="2288" t="str">
        <f t="shared" si="176"/>
        <v/>
      </c>
      <c r="GO779" s="2288" t="str">
        <f t="shared" si="177"/>
        <v/>
      </c>
      <c r="GP779" s="2288" t="str">
        <f t="shared" si="178"/>
        <v/>
      </c>
      <c r="GQ779" s="2288" t="str">
        <f t="shared" si="179"/>
        <v/>
      </c>
      <c r="GR779" s="2288" t="str">
        <f t="shared" si="180"/>
        <v/>
      </c>
      <c r="GS779" s="2288" t="str">
        <f t="shared" si="181"/>
        <v/>
      </c>
      <c r="GT779" s="2288" t="str">
        <f t="shared" si="182"/>
        <v/>
      </c>
      <c r="GU779" s="2288" t="str">
        <f t="shared" si="183"/>
        <v/>
      </c>
      <c r="GV779" s="2288" t="str">
        <f t="shared" si="184"/>
        <v/>
      </c>
      <c r="GW779" s="2288" t="str">
        <f t="shared" si="185"/>
        <v/>
      </c>
      <c r="GX779" s="2288" t="str">
        <f t="shared" si="186"/>
        <v/>
      </c>
      <c r="GY779" s="2288" t="str">
        <f t="shared" si="187"/>
        <v/>
      </c>
      <c r="GZ779" s="2288" t="str">
        <f t="shared" si="188"/>
        <v/>
      </c>
      <c r="HA779" s="2288" t="str">
        <f t="shared" si="189"/>
        <v/>
      </c>
      <c r="HB779" s="2288" t="str">
        <f t="shared" si="190"/>
        <v/>
      </c>
      <c r="HC779" s="2288" t="str">
        <f t="shared" si="191"/>
        <v/>
      </c>
      <c r="HD779" s="2288" t="str">
        <f t="shared" si="192"/>
        <v/>
      </c>
      <c r="HE779" s="2288" t="str">
        <f t="shared" si="193"/>
        <v/>
      </c>
      <c r="HF779" s="2288" t="str">
        <f t="shared" si="194"/>
        <v/>
      </c>
      <c r="HG779" s="2288" t="str">
        <f t="shared" si="195"/>
        <v/>
      </c>
      <c r="HH779" s="2288" t="str">
        <f t="shared" si="196"/>
        <v/>
      </c>
      <c r="HI779" s="2288" t="str">
        <f t="shared" si="197"/>
        <v/>
      </c>
      <c r="HJ779" s="2288" t="str">
        <f t="shared" si="198"/>
        <v/>
      </c>
      <c r="HK779" s="2288" t="str">
        <f t="shared" si="199"/>
        <v/>
      </c>
      <c r="HL779" s="2288" t="str">
        <f t="shared" si="200"/>
        <v/>
      </c>
      <c r="HM779" s="2288" t="str">
        <f t="shared" si="201"/>
        <v/>
      </c>
      <c r="HN779" s="2288" t="str">
        <f t="shared" si="202"/>
        <v/>
      </c>
      <c r="HO779" s="2288" t="str">
        <f t="shared" si="203"/>
        <v/>
      </c>
      <c r="HP779" s="2288" t="str">
        <f t="shared" si="204"/>
        <v/>
      </c>
      <c r="HQ779" s="2288" t="str">
        <f t="shared" si="205"/>
        <v/>
      </c>
      <c r="HR779" s="2288" t="str">
        <f t="shared" si="206"/>
        <v/>
      </c>
      <c r="HS779" s="2288" t="str">
        <f t="shared" si="207"/>
        <v/>
      </c>
      <c r="HT779" s="2288" t="str">
        <f t="shared" si="208"/>
        <v/>
      </c>
      <c r="HU779" s="2288" t="str">
        <f t="shared" si="209"/>
        <v/>
      </c>
      <c r="HV779" s="2288" t="str">
        <f t="shared" si="210"/>
        <v/>
      </c>
      <c r="HW779" s="2288" t="str">
        <f t="shared" si="211"/>
        <v/>
      </c>
      <c r="HX779" s="2288" t="str">
        <f t="shared" si="212"/>
        <v/>
      </c>
      <c r="HY779" s="2288" t="str">
        <f t="shared" si="213"/>
        <v/>
      </c>
      <c r="HZ779" s="2288" t="str">
        <f t="shared" si="214"/>
        <v/>
      </c>
      <c r="IA779" s="2288" t="str">
        <f t="shared" si="215"/>
        <v/>
      </c>
      <c r="IB779" s="2288" t="str">
        <f t="shared" si="216"/>
        <v/>
      </c>
      <c r="IC779" s="2288" t="str">
        <f t="shared" si="217"/>
        <v/>
      </c>
      <c r="ID779" s="2255" t="str">
        <f t="shared" si="218"/>
        <v/>
      </c>
      <c r="IE779" s="2255" t="str">
        <f t="shared" si="219"/>
        <v/>
      </c>
      <c r="IF779" s="2255" t="str">
        <f t="shared" si="220"/>
        <v/>
      </c>
      <c r="IG779" s="2255" t="str">
        <f t="shared" si="221"/>
        <v/>
      </c>
      <c r="IH779" s="2255" t="str">
        <f t="shared" si="222"/>
        <v/>
      </c>
      <c r="II779" s="873" t="str">
        <f t="shared" si="223"/>
        <v/>
      </c>
      <c r="IJ779" s="873" t="str">
        <f t="shared" si="224"/>
        <v/>
      </c>
      <c r="IK779" s="873" t="str">
        <f t="shared" si="225"/>
        <v/>
      </c>
      <c r="IL779" s="873" t="str">
        <f t="shared" si="226"/>
        <v/>
      </c>
      <c r="IM779" s="873" t="str">
        <f t="shared" si="227"/>
        <v/>
      </c>
      <c r="IN779" s="873" t="str">
        <f t="shared" si="228"/>
        <v/>
      </c>
      <c r="IO779" s="873" t="str">
        <f t="shared" si="229"/>
        <v/>
      </c>
      <c r="IP779" s="873" t="str">
        <f t="shared" si="230"/>
        <v/>
      </c>
      <c r="IQ779" s="873" t="str">
        <f t="shared" si="231"/>
        <v/>
      </c>
      <c r="IR779" s="873" t="str">
        <f t="shared" si="232"/>
        <v/>
      </c>
      <c r="IS779" s="873" t="str">
        <f t="shared" si="233"/>
        <v/>
      </c>
      <c r="IT779" s="873" t="str">
        <f t="shared" si="234"/>
        <v/>
      </c>
      <c r="IU779" s="873" t="str">
        <f t="shared" si="235"/>
        <v/>
      </c>
      <c r="IV779" s="873" t="str">
        <f t="shared" si="236"/>
        <v/>
      </c>
      <c r="IW779" s="873" t="str">
        <f t="shared" si="237"/>
        <v/>
      </c>
      <c r="IX779" s="873" t="str">
        <f t="shared" si="238"/>
        <v/>
      </c>
      <c r="IY779" s="873" t="str">
        <f t="shared" si="239"/>
        <v/>
      </c>
      <c r="IZ779" s="873" t="str">
        <f t="shared" si="240"/>
        <v/>
      </c>
      <c r="JA779" s="873" t="str">
        <f t="shared" si="241"/>
        <v/>
      </c>
      <c r="JB779" s="873" t="str">
        <f t="shared" si="242"/>
        <v/>
      </c>
      <c r="JC779" s="2253">
        <f t="shared" si="243"/>
        <v>0</v>
      </c>
      <c r="JD779" s="2253">
        <f t="shared" si="244"/>
        <v>0</v>
      </c>
      <c r="JE779" s="2253">
        <f t="shared" si="245"/>
        <v>0</v>
      </c>
      <c r="JF779" s="2253">
        <f t="shared" si="246"/>
        <v>0</v>
      </c>
      <c r="JG779" s="2253">
        <f t="shared" si="247"/>
        <v>0</v>
      </c>
      <c r="JH779" s="2253">
        <f t="shared" si="248"/>
        <v>0</v>
      </c>
      <c r="JI779" s="2253">
        <f t="shared" si="249"/>
        <v>0</v>
      </c>
      <c r="JJ779" s="2253">
        <f t="shared" si="250"/>
        <v>0</v>
      </c>
      <c r="JK779" s="2253">
        <f t="shared" si="251"/>
        <v>0</v>
      </c>
      <c r="JL779" s="2253">
        <f t="shared" si="252"/>
        <v>0</v>
      </c>
      <c r="JM779" s="2253">
        <f t="shared" si="253"/>
        <v>0</v>
      </c>
      <c r="JN779" s="2253">
        <f t="shared" si="254"/>
        <v>0</v>
      </c>
      <c r="JO779" s="2253">
        <f t="shared" si="255"/>
        <v>0</v>
      </c>
      <c r="JP779" s="2253">
        <f t="shared" si="256"/>
        <v>0</v>
      </c>
      <c r="JQ779" s="2253">
        <f t="shared" si="257"/>
        <v>0</v>
      </c>
    </row>
    <row r="780" spans="1:277" ht="12" customHeight="1">
      <c r="A780" s="2258" t="str">
        <f t="shared" si="0"/>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1"/>
        <v>0</v>
      </c>
      <c r="L780" s="2284">
        <f t="shared" si="2"/>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3" t="str">
        <f t="shared" si="3"/>
        <v/>
      </c>
      <c r="X780" s="873" t="str">
        <f t="shared" si="4"/>
        <v/>
      </c>
      <c r="Y780" s="873" t="str">
        <f t="shared" si="5"/>
        <v/>
      </c>
      <c r="Z780" s="873" t="str">
        <f t="shared" si="6"/>
        <v/>
      </c>
      <c r="AA780" s="873" t="str">
        <f t="shared" si="7"/>
        <v/>
      </c>
      <c r="AB780" s="873" t="str">
        <f t="shared" si="8"/>
        <v/>
      </c>
      <c r="AC780" s="873" t="str">
        <f t="shared" si="9"/>
        <v/>
      </c>
      <c r="AD780" s="873" t="str">
        <f t="shared" si="10"/>
        <v/>
      </c>
      <c r="AE780" s="873" t="str">
        <f t="shared" si="11"/>
        <v/>
      </c>
      <c r="AF780" s="873" t="str">
        <f t="shared" si="12"/>
        <v/>
      </c>
      <c r="AG780" s="873" t="str">
        <f t="shared" si="13"/>
        <v/>
      </c>
      <c r="AH780" s="873" t="str">
        <f t="shared" si="14"/>
        <v/>
      </c>
      <c r="AI780" s="873" t="str">
        <f t="shared" si="15"/>
        <v/>
      </c>
      <c r="AJ780" s="873" t="str">
        <f t="shared" si="16"/>
        <v/>
      </c>
      <c r="AK780" s="873" t="str">
        <f t="shared" si="17"/>
        <v/>
      </c>
      <c r="AL780" s="873" t="str">
        <f t="shared" si="18"/>
        <v/>
      </c>
      <c r="AM780" s="873" t="str">
        <f t="shared" si="19"/>
        <v/>
      </c>
      <c r="AN780" s="873" t="str">
        <f t="shared" si="20"/>
        <v/>
      </c>
      <c r="AO780" s="873" t="str">
        <f t="shared" si="21"/>
        <v/>
      </c>
      <c r="AP780" s="873" t="str">
        <f t="shared" si="22"/>
        <v/>
      </c>
      <c r="AQ780" s="873" t="str">
        <f t="shared" si="23"/>
        <v/>
      </c>
      <c r="AR780" s="873" t="str">
        <f t="shared" si="24"/>
        <v/>
      </c>
      <c r="AS780" s="873" t="str">
        <f t="shared" si="25"/>
        <v/>
      </c>
      <c r="AT780" s="873" t="str">
        <f t="shared" si="26"/>
        <v/>
      </c>
      <c r="AU780" s="873" t="str">
        <f t="shared" si="27"/>
        <v/>
      </c>
      <c r="AV780" s="873" t="str">
        <f t="shared" si="28"/>
        <v/>
      </c>
      <c r="AW780" s="873" t="str">
        <f t="shared" si="29"/>
        <v/>
      </c>
      <c r="AX780" s="873" t="str">
        <f t="shared" si="30"/>
        <v/>
      </c>
      <c r="AY780" s="873" t="str">
        <f t="shared" si="31"/>
        <v/>
      </c>
      <c r="AZ780" s="873" t="str">
        <f t="shared" si="32"/>
        <v/>
      </c>
      <c r="BA780" s="873" t="str">
        <f t="shared" si="33"/>
        <v/>
      </c>
      <c r="BB780" s="873" t="str">
        <f t="shared" si="34"/>
        <v/>
      </c>
      <c r="BC780" s="873" t="str">
        <f t="shared" si="35"/>
        <v/>
      </c>
      <c r="BD780" s="873" t="str">
        <f t="shared" si="36"/>
        <v/>
      </c>
      <c r="BE780" s="873" t="str">
        <f t="shared" si="37"/>
        <v/>
      </c>
      <c r="BF780" s="873" t="str">
        <f t="shared" si="38"/>
        <v/>
      </c>
      <c r="BG780" s="873" t="str">
        <f t="shared" si="39"/>
        <v/>
      </c>
      <c r="BH780" s="873" t="str">
        <f t="shared" si="40"/>
        <v/>
      </c>
      <c r="BI780" s="873" t="str">
        <f t="shared" si="41"/>
        <v/>
      </c>
      <c r="BJ780" s="873" t="str">
        <f t="shared" si="42"/>
        <v/>
      </c>
      <c r="BK780" s="873" t="str">
        <f t="shared" si="43"/>
        <v/>
      </c>
      <c r="BL780" s="873" t="str">
        <f t="shared" si="44"/>
        <v/>
      </c>
      <c r="BM780" s="873" t="str">
        <f t="shared" si="45"/>
        <v/>
      </c>
      <c r="BN780" s="873" t="str">
        <f t="shared" si="46"/>
        <v/>
      </c>
      <c r="BO780" s="873" t="str">
        <f t="shared" si="47"/>
        <v/>
      </c>
      <c r="BP780" s="873" t="str">
        <f t="shared" si="48"/>
        <v/>
      </c>
      <c r="BQ780" s="873" t="str">
        <f t="shared" si="49"/>
        <v/>
      </c>
      <c r="BR780" s="873" t="str">
        <f t="shared" si="50"/>
        <v/>
      </c>
      <c r="BS780" s="873" t="str">
        <f t="shared" si="51"/>
        <v/>
      </c>
      <c r="BT780" s="873" t="str">
        <f t="shared" si="52"/>
        <v/>
      </c>
      <c r="BU780" s="873" t="str">
        <f t="shared" si="53"/>
        <v/>
      </c>
      <c r="BV780" s="873" t="str">
        <f t="shared" si="54"/>
        <v/>
      </c>
      <c r="BW780" s="873" t="str">
        <f t="shared" si="55"/>
        <v/>
      </c>
      <c r="BX780" s="873" t="str">
        <f t="shared" si="56"/>
        <v/>
      </c>
      <c r="BY780" s="873" t="str">
        <f t="shared" si="57"/>
        <v/>
      </c>
      <c r="BZ780" s="873" t="str">
        <f t="shared" si="58"/>
        <v/>
      </c>
      <c r="CA780" s="873" t="str">
        <f t="shared" si="59"/>
        <v/>
      </c>
      <c r="CB780" s="873" t="str">
        <f t="shared" si="60"/>
        <v/>
      </c>
      <c r="CC780" s="873" t="str">
        <f t="shared" si="61"/>
        <v/>
      </c>
      <c r="CD780" s="873" t="str">
        <f t="shared" si="62"/>
        <v/>
      </c>
      <c r="CE780" s="873" t="str">
        <f t="shared" si="63"/>
        <v/>
      </c>
      <c r="CF780" s="873" t="str">
        <f t="shared" si="64"/>
        <v/>
      </c>
      <c r="CG780" s="873" t="str">
        <f t="shared" si="65"/>
        <v/>
      </c>
      <c r="CH780" s="873" t="str">
        <f t="shared" si="66"/>
        <v/>
      </c>
      <c r="CI780" s="873" t="str">
        <f t="shared" si="67"/>
        <v/>
      </c>
      <c r="CJ780" s="873" t="str">
        <f t="shared" si="68"/>
        <v/>
      </c>
      <c r="CK780" s="873" t="str">
        <f t="shared" si="69"/>
        <v/>
      </c>
      <c r="CL780" s="873" t="str">
        <f t="shared" si="70"/>
        <v/>
      </c>
      <c r="CM780" s="873" t="str">
        <f t="shared" si="71"/>
        <v/>
      </c>
      <c r="CN780" s="873" t="str">
        <f t="shared" si="72"/>
        <v/>
      </c>
      <c r="CO780" s="873" t="str">
        <f t="shared" si="73"/>
        <v/>
      </c>
      <c r="CP780" s="873" t="str">
        <f t="shared" si="74"/>
        <v/>
      </c>
      <c r="CQ780" s="873" t="str">
        <f t="shared" si="75"/>
        <v/>
      </c>
      <c r="CR780" s="873" t="str">
        <f t="shared" si="76"/>
        <v/>
      </c>
      <c r="CS780" s="873" t="str">
        <f t="shared" si="77"/>
        <v/>
      </c>
      <c r="CT780" s="873" t="str">
        <f t="shared" si="78"/>
        <v/>
      </c>
      <c r="CU780" s="873" t="str">
        <f t="shared" si="79"/>
        <v/>
      </c>
      <c r="CV780" s="873" t="str">
        <f t="shared" si="80"/>
        <v/>
      </c>
      <c r="CW780" s="873" t="str">
        <f t="shared" si="81"/>
        <v/>
      </c>
      <c r="CX780" s="873" t="str">
        <f t="shared" si="82"/>
        <v/>
      </c>
      <c r="CY780" s="873" t="str">
        <f t="shared" si="83"/>
        <v/>
      </c>
      <c r="CZ780" s="873" t="str">
        <f t="shared" si="84"/>
        <v/>
      </c>
      <c r="DA780" s="873" t="str">
        <f t="shared" si="85"/>
        <v/>
      </c>
      <c r="DB780" s="873" t="str">
        <f t="shared" si="86"/>
        <v/>
      </c>
      <c r="DC780" s="873" t="str">
        <f t="shared" si="87"/>
        <v/>
      </c>
      <c r="DD780" s="873" t="str">
        <f t="shared" si="88"/>
        <v/>
      </c>
      <c r="DE780" s="873" t="str">
        <f t="shared" si="89"/>
        <v/>
      </c>
      <c r="DF780" s="873" t="str">
        <f t="shared" si="90"/>
        <v/>
      </c>
      <c r="DG780" s="873" t="str">
        <f t="shared" si="91"/>
        <v/>
      </c>
      <c r="DH780" s="873" t="str">
        <f t="shared" si="92"/>
        <v/>
      </c>
      <c r="DI780" s="873" t="str">
        <f t="shared" si="93"/>
        <v/>
      </c>
      <c r="DJ780" s="873" t="str">
        <f t="shared" si="94"/>
        <v/>
      </c>
      <c r="DK780" s="873" t="str">
        <f t="shared" si="95"/>
        <v/>
      </c>
      <c r="DL780" s="873" t="str">
        <f t="shared" si="96"/>
        <v/>
      </c>
      <c r="DM780" s="873" t="str">
        <f t="shared" si="97"/>
        <v/>
      </c>
      <c r="DN780" s="873" t="str">
        <f t="shared" si="98"/>
        <v/>
      </c>
      <c r="DO780" s="873" t="str">
        <f t="shared" si="99"/>
        <v/>
      </c>
      <c r="DP780" s="873" t="str">
        <f t="shared" si="100"/>
        <v/>
      </c>
      <c r="DQ780" s="873" t="str">
        <f t="shared" si="101"/>
        <v/>
      </c>
      <c r="DR780" s="873" t="str">
        <f t="shared" si="102"/>
        <v/>
      </c>
      <c r="DS780" s="873" t="str">
        <f t="shared" si="103"/>
        <v/>
      </c>
      <c r="DT780" s="873" t="str">
        <f t="shared" si="104"/>
        <v/>
      </c>
      <c r="DU780" s="873" t="str">
        <f t="shared" si="105"/>
        <v/>
      </c>
      <c r="DV780" s="873" t="str">
        <f t="shared" si="106"/>
        <v/>
      </c>
      <c r="DW780" s="873" t="str">
        <f t="shared" si="107"/>
        <v/>
      </c>
      <c r="DX780" s="873" t="str">
        <f t="shared" si="108"/>
        <v/>
      </c>
      <c r="DY780" s="873" t="str">
        <f t="shared" si="109"/>
        <v/>
      </c>
      <c r="DZ780" s="873" t="str">
        <f t="shared" si="110"/>
        <v/>
      </c>
      <c r="EA780" s="873" t="str">
        <f t="shared" si="111"/>
        <v/>
      </c>
      <c r="EB780" s="873" t="str">
        <f t="shared" si="112"/>
        <v/>
      </c>
      <c r="EC780" s="873" t="str">
        <f t="shared" si="113"/>
        <v/>
      </c>
      <c r="ED780" s="873" t="str">
        <f t="shared" si="114"/>
        <v/>
      </c>
      <c r="EE780" s="873" t="str">
        <f t="shared" si="115"/>
        <v/>
      </c>
      <c r="EF780" s="873" t="str">
        <f t="shared" si="116"/>
        <v/>
      </c>
      <c r="EG780" s="873" t="str">
        <f t="shared" si="117"/>
        <v/>
      </c>
      <c r="EH780" s="873" t="str">
        <f t="shared" si="118"/>
        <v/>
      </c>
      <c r="EI780" s="873" t="str">
        <f t="shared" si="119"/>
        <v/>
      </c>
      <c r="EJ780" s="873" t="str">
        <f t="shared" si="120"/>
        <v/>
      </c>
      <c r="EK780" s="873" t="str">
        <f t="shared" si="121"/>
        <v/>
      </c>
      <c r="EL780" s="873" t="str">
        <f t="shared" si="122"/>
        <v/>
      </c>
      <c r="EM780" s="873" t="str">
        <f t="shared" si="123"/>
        <v/>
      </c>
      <c r="EN780" s="873" t="str">
        <f t="shared" si="124"/>
        <v/>
      </c>
      <c r="EO780" s="873" t="str">
        <f t="shared" si="125"/>
        <v/>
      </c>
      <c r="EP780" s="873" t="str">
        <f t="shared" si="126"/>
        <v/>
      </c>
      <c r="EQ780" s="873" t="str">
        <f t="shared" si="127"/>
        <v/>
      </c>
      <c r="ER780" s="873" t="str">
        <f t="shared" si="128"/>
        <v/>
      </c>
      <c r="ES780" s="873" t="str">
        <f t="shared" si="129"/>
        <v/>
      </c>
      <c r="ET780" s="873" t="str">
        <f t="shared" si="130"/>
        <v/>
      </c>
      <c r="EU780" s="873" t="str">
        <f t="shared" si="131"/>
        <v/>
      </c>
      <c r="EV780" s="873" t="str">
        <f t="shared" si="132"/>
        <v/>
      </c>
      <c r="EW780" s="2288" t="str">
        <f t="shared" si="133"/>
        <v/>
      </c>
      <c r="EX780" s="2288" t="str">
        <f t="shared" si="134"/>
        <v/>
      </c>
      <c r="EY780" s="2288" t="str">
        <f t="shared" si="135"/>
        <v/>
      </c>
      <c r="EZ780" s="2288" t="str">
        <f t="shared" si="136"/>
        <v/>
      </c>
      <c r="FA780" s="2288" t="str">
        <f t="shared" si="137"/>
        <v/>
      </c>
      <c r="FB780" s="2288" t="str">
        <f t="shared" si="138"/>
        <v/>
      </c>
      <c r="FC780" s="2288" t="str">
        <f t="shared" si="139"/>
        <v/>
      </c>
      <c r="FD780" s="2288" t="str">
        <f t="shared" si="140"/>
        <v/>
      </c>
      <c r="FE780" s="2288" t="str">
        <f t="shared" si="141"/>
        <v/>
      </c>
      <c r="FF780" s="2288" t="str">
        <f t="shared" si="142"/>
        <v/>
      </c>
      <c r="FG780" s="2288" t="str">
        <f t="shared" si="143"/>
        <v/>
      </c>
      <c r="FH780" s="2288" t="str">
        <f t="shared" si="144"/>
        <v/>
      </c>
      <c r="FI780" s="2288" t="str">
        <f t="shared" si="145"/>
        <v/>
      </c>
      <c r="FJ780" s="2288" t="str">
        <f t="shared" si="146"/>
        <v/>
      </c>
      <c r="FK780" s="2288" t="str">
        <f t="shared" si="147"/>
        <v/>
      </c>
      <c r="FL780" s="2288" t="str">
        <f t="shared" si="148"/>
        <v/>
      </c>
      <c r="FM780" s="2288" t="str">
        <f t="shared" si="149"/>
        <v/>
      </c>
      <c r="FN780" s="2288" t="str">
        <f t="shared" si="150"/>
        <v/>
      </c>
      <c r="FO780" s="2288" t="str">
        <f t="shared" si="151"/>
        <v/>
      </c>
      <c r="FP780" s="2288" t="str">
        <f t="shared" si="152"/>
        <v/>
      </c>
      <c r="FQ780" s="2288" t="str">
        <f t="shared" si="153"/>
        <v/>
      </c>
      <c r="FR780" s="2288" t="str">
        <f t="shared" si="154"/>
        <v/>
      </c>
      <c r="FS780" s="2288" t="str">
        <f t="shared" si="155"/>
        <v/>
      </c>
      <c r="FT780" s="2288" t="str">
        <f t="shared" si="156"/>
        <v/>
      </c>
      <c r="FU780" s="2288" t="str">
        <f t="shared" si="157"/>
        <v/>
      </c>
      <c r="FV780" s="2288" t="str">
        <f t="shared" si="158"/>
        <v/>
      </c>
      <c r="FW780" s="2288" t="str">
        <f t="shared" si="159"/>
        <v/>
      </c>
      <c r="FX780" s="2288" t="str">
        <f t="shared" si="160"/>
        <v/>
      </c>
      <c r="FY780" s="2288" t="str">
        <f t="shared" si="161"/>
        <v/>
      </c>
      <c r="FZ780" s="2288" t="str">
        <f t="shared" si="162"/>
        <v/>
      </c>
      <c r="GA780" s="2288" t="str">
        <f t="shared" si="163"/>
        <v/>
      </c>
      <c r="GB780" s="2288" t="str">
        <f t="shared" si="164"/>
        <v/>
      </c>
      <c r="GC780" s="2288" t="str">
        <f t="shared" si="165"/>
        <v/>
      </c>
      <c r="GD780" s="2288" t="str">
        <f t="shared" si="166"/>
        <v/>
      </c>
      <c r="GE780" s="2288" t="str">
        <f t="shared" si="167"/>
        <v/>
      </c>
      <c r="GF780" s="2288" t="str">
        <f t="shared" si="168"/>
        <v/>
      </c>
      <c r="GG780" s="2288" t="str">
        <f t="shared" si="169"/>
        <v/>
      </c>
      <c r="GH780" s="2288" t="str">
        <f t="shared" si="170"/>
        <v/>
      </c>
      <c r="GI780" s="2288" t="str">
        <f t="shared" si="171"/>
        <v/>
      </c>
      <c r="GJ780" s="2288" t="str">
        <f t="shared" si="172"/>
        <v/>
      </c>
      <c r="GK780" s="2288" t="str">
        <f t="shared" si="173"/>
        <v/>
      </c>
      <c r="GL780" s="2288" t="str">
        <f t="shared" si="174"/>
        <v/>
      </c>
      <c r="GM780" s="2288" t="str">
        <f t="shared" si="175"/>
        <v/>
      </c>
      <c r="GN780" s="2288" t="str">
        <f t="shared" si="176"/>
        <v/>
      </c>
      <c r="GO780" s="2288" t="str">
        <f t="shared" si="177"/>
        <v/>
      </c>
      <c r="GP780" s="2288" t="str">
        <f t="shared" si="178"/>
        <v/>
      </c>
      <c r="GQ780" s="2288" t="str">
        <f t="shared" si="179"/>
        <v/>
      </c>
      <c r="GR780" s="2288" t="str">
        <f t="shared" si="180"/>
        <v/>
      </c>
      <c r="GS780" s="2288" t="str">
        <f t="shared" si="181"/>
        <v/>
      </c>
      <c r="GT780" s="2288" t="str">
        <f t="shared" si="182"/>
        <v/>
      </c>
      <c r="GU780" s="2288" t="str">
        <f t="shared" si="183"/>
        <v/>
      </c>
      <c r="GV780" s="2288" t="str">
        <f t="shared" si="184"/>
        <v/>
      </c>
      <c r="GW780" s="2288" t="str">
        <f t="shared" si="185"/>
        <v/>
      </c>
      <c r="GX780" s="2288" t="str">
        <f t="shared" si="186"/>
        <v/>
      </c>
      <c r="GY780" s="2288" t="str">
        <f t="shared" si="187"/>
        <v/>
      </c>
      <c r="GZ780" s="2288" t="str">
        <f t="shared" si="188"/>
        <v/>
      </c>
      <c r="HA780" s="2288" t="str">
        <f t="shared" si="189"/>
        <v/>
      </c>
      <c r="HB780" s="2288" t="str">
        <f t="shared" si="190"/>
        <v/>
      </c>
      <c r="HC780" s="2288" t="str">
        <f t="shared" si="191"/>
        <v/>
      </c>
      <c r="HD780" s="2288" t="str">
        <f t="shared" si="192"/>
        <v/>
      </c>
      <c r="HE780" s="2288" t="str">
        <f t="shared" si="193"/>
        <v/>
      </c>
      <c r="HF780" s="2288" t="str">
        <f t="shared" si="194"/>
        <v/>
      </c>
      <c r="HG780" s="2288" t="str">
        <f t="shared" si="195"/>
        <v/>
      </c>
      <c r="HH780" s="2288" t="str">
        <f t="shared" si="196"/>
        <v/>
      </c>
      <c r="HI780" s="2288" t="str">
        <f t="shared" si="197"/>
        <v/>
      </c>
      <c r="HJ780" s="2288" t="str">
        <f t="shared" si="198"/>
        <v/>
      </c>
      <c r="HK780" s="2288" t="str">
        <f t="shared" si="199"/>
        <v/>
      </c>
      <c r="HL780" s="2288" t="str">
        <f t="shared" si="200"/>
        <v/>
      </c>
      <c r="HM780" s="2288" t="str">
        <f t="shared" si="201"/>
        <v/>
      </c>
      <c r="HN780" s="2288" t="str">
        <f t="shared" si="202"/>
        <v/>
      </c>
      <c r="HO780" s="2288" t="str">
        <f t="shared" si="203"/>
        <v/>
      </c>
      <c r="HP780" s="2288" t="str">
        <f t="shared" si="204"/>
        <v/>
      </c>
      <c r="HQ780" s="2288" t="str">
        <f t="shared" si="205"/>
        <v/>
      </c>
      <c r="HR780" s="2288" t="str">
        <f t="shared" si="206"/>
        <v/>
      </c>
      <c r="HS780" s="2288" t="str">
        <f t="shared" si="207"/>
        <v/>
      </c>
      <c r="HT780" s="2288" t="str">
        <f t="shared" si="208"/>
        <v/>
      </c>
      <c r="HU780" s="2288" t="str">
        <f t="shared" si="209"/>
        <v/>
      </c>
      <c r="HV780" s="2288" t="str">
        <f t="shared" si="210"/>
        <v/>
      </c>
      <c r="HW780" s="2288" t="str">
        <f t="shared" si="211"/>
        <v/>
      </c>
      <c r="HX780" s="2288" t="str">
        <f t="shared" si="212"/>
        <v/>
      </c>
      <c r="HY780" s="2288" t="str">
        <f t="shared" si="213"/>
        <v/>
      </c>
      <c r="HZ780" s="2288" t="str">
        <f t="shared" si="214"/>
        <v/>
      </c>
      <c r="IA780" s="2288" t="str">
        <f t="shared" si="215"/>
        <v/>
      </c>
      <c r="IB780" s="2288" t="str">
        <f t="shared" si="216"/>
        <v/>
      </c>
      <c r="IC780" s="2288" t="str">
        <f t="shared" si="217"/>
        <v/>
      </c>
      <c r="ID780" s="2255" t="str">
        <f t="shared" si="218"/>
        <v/>
      </c>
      <c r="IE780" s="2255" t="str">
        <f t="shared" si="219"/>
        <v/>
      </c>
      <c r="IF780" s="2255" t="str">
        <f t="shared" si="220"/>
        <v/>
      </c>
      <c r="IG780" s="2255" t="str">
        <f t="shared" si="221"/>
        <v/>
      </c>
      <c r="IH780" s="2255" t="str">
        <f t="shared" si="222"/>
        <v/>
      </c>
      <c r="II780" s="873" t="str">
        <f t="shared" si="223"/>
        <v/>
      </c>
      <c r="IJ780" s="873" t="str">
        <f t="shared" si="224"/>
        <v/>
      </c>
      <c r="IK780" s="873" t="str">
        <f t="shared" si="225"/>
        <v/>
      </c>
      <c r="IL780" s="873" t="str">
        <f t="shared" si="226"/>
        <v/>
      </c>
      <c r="IM780" s="873" t="str">
        <f t="shared" si="227"/>
        <v/>
      </c>
      <c r="IN780" s="873" t="str">
        <f t="shared" si="228"/>
        <v/>
      </c>
      <c r="IO780" s="873" t="str">
        <f t="shared" si="229"/>
        <v/>
      </c>
      <c r="IP780" s="873" t="str">
        <f t="shared" si="230"/>
        <v/>
      </c>
      <c r="IQ780" s="873" t="str">
        <f t="shared" si="231"/>
        <v/>
      </c>
      <c r="IR780" s="873" t="str">
        <f t="shared" si="232"/>
        <v/>
      </c>
      <c r="IS780" s="873" t="str">
        <f t="shared" si="233"/>
        <v/>
      </c>
      <c r="IT780" s="873" t="str">
        <f t="shared" si="234"/>
        <v/>
      </c>
      <c r="IU780" s="873" t="str">
        <f t="shared" si="235"/>
        <v/>
      </c>
      <c r="IV780" s="873" t="str">
        <f t="shared" si="236"/>
        <v/>
      </c>
      <c r="IW780" s="873" t="str">
        <f t="shared" si="237"/>
        <v/>
      </c>
      <c r="IX780" s="873" t="str">
        <f t="shared" si="238"/>
        <v/>
      </c>
      <c r="IY780" s="873" t="str">
        <f t="shared" si="239"/>
        <v/>
      </c>
      <c r="IZ780" s="873" t="str">
        <f t="shared" si="240"/>
        <v/>
      </c>
      <c r="JA780" s="873" t="str">
        <f t="shared" si="241"/>
        <v/>
      </c>
      <c r="JB780" s="873" t="str">
        <f t="shared" si="242"/>
        <v/>
      </c>
      <c r="JC780" s="2253">
        <f t="shared" si="243"/>
        <v>0</v>
      </c>
      <c r="JD780" s="2253">
        <f t="shared" si="244"/>
        <v>0</v>
      </c>
      <c r="JE780" s="2253">
        <f t="shared" si="245"/>
        <v>0</v>
      </c>
      <c r="JF780" s="2253">
        <f t="shared" si="246"/>
        <v>0</v>
      </c>
      <c r="JG780" s="2253">
        <f t="shared" si="247"/>
        <v>0</v>
      </c>
      <c r="JH780" s="2253">
        <f t="shared" si="248"/>
        <v>0</v>
      </c>
      <c r="JI780" s="2253">
        <f t="shared" si="249"/>
        <v>0</v>
      </c>
      <c r="JJ780" s="2253">
        <f t="shared" si="250"/>
        <v>0</v>
      </c>
      <c r="JK780" s="2253">
        <f t="shared" si="251"/>
        <v>0</v>
      </c>
      <c r="JL780" s="2253">
        <f t="shared" si="252"/>
        <v>0</v>
      </c>
      <c r="JM780" s="2253">
        <f t="shared" si="253"/>
        <v>0</v>
      </c>
      <c r="JN780" s="2253">
        <f t="shared" si="254"/>
        <v>0</v>
      </c>
      <c r="JO780" s="2253">
        <f t="shared" si="255"/>
        <v>0</v>
      </c>
      <c r="JP780" s="2253">
        <f t="shared" si="256"/>
        <v>0</v>
      </c>
      <c r="JQ780" s="2253">
        <f t="shared" si="257"/>
        <v>0</v>
      </c>
    </row>
    <row r="781" spans="1:277" ht="12" customHeight="1">
      <c r="A781" s="2258" t="str">
        <f t="shared" si="0"/>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1"/>
        <v>0</v>
      </c>
      <c r="L781" s="2284">
        <f t="shared" si="2"/>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3" t="str">
        <f t="shared" si="3"/>
        <v/>
      </c>
      <c r="X781" s="873" t="str">
        <f t="shared" si="4"/>
        <v/>
      </c>
      <c r="Y781" s="873" t="str">
        <f t="shared" si="5"/>
        <v/>
      </c>
      <c r="Z781" s="873" t="str">
        <f t="shared" si="6"/>
        <v/>
      </c>
      <c r="AA781" s="873" t="str">
        <f t="shared" si="7"/>
        <v/>
      </c>
      <c r="AB781" s="873" t="str">
        <f t="shared" si="8"/>
        <v/>
      </c>
      <c r="AC781" s="873" t="str">
        <f t="shared" si="9"/>
        <v/>
      </c>
      <c r="AD781" s="873" t="str">
        <f t="shared" si="10"/>
        <v/>
      </c>
      <c r="AE781" s="873" t="str">
        <f t="shared" si="11"/>
        <v/>
      </c>
      <c r="AF781" s="873" t="str">
        <f t="shared" si="12"/>
        <v/>
      </c>
      <c r="AG781" s="873" t="str">
        <f t="shared" si="13"/>
        <v/>
      </c>
      <c r="AH781" s="873" t="str">
        <f t="shared" si="14"/>
        <v/>
      </c>
      <c r="AI781" s="873" t="str">
        <f t="shared" si="15"/>
        <v/>
      </c>
      <c r="AJ781" s="873" t="str">
        <f t="shared" si="16"/>
        <v/>
      </c>
      <c r="AK781" s="873" t="str">
        <f t="shared" si="17"/>
        <v/>
      </c>
      <c r="AL781" s="873" t="str">
        <f t="shared" si="18"/>
        <v/>
      </c>
      <c r="AM781" s="873" t="str">
        <f t="shared" si="19"/>
        <v/>
      </c>
      <c r="AN781" s="873" t="str">
        <f t="shared" si="20"/>
        <v/>
      </c>
      <c r="AO781" s="873" t="str">
        <f t="shared" si="21"/>
        <v/>
      </c>
      <c r="AP781" s="873" t="str">
        <f t="shared" si="22"/>
        <v/>
      </c>
      <c r="AQ781" s="873" t="str">
        <f t="shared" si="23"/>
        <v/>
      </c>
      <c r="AR781" s="873" t="str">
        <f t="shared" si="24"/>
        <v/>
      </c>
      <c r="AS781" s="873" t="str">
        <f t="shared" si="25"/>
        <v/>
      </c>
      <c r="AT781" s="873" t="str">
        <f t="shared" si="26"/>
        <v/>
      </c>
      <c r="AU781" s="873" t="str">
        <f t="shared" si="27"/>
        <v/>
      </c>
      <c r="AV781" s="873" t="str">
        <f t="shared" si="28"/>
        <v/>
      </c>
      <c r="AW781" s="873" t="str">
        <f t="shared" si="29"/>
        <v/>
      </c>
      <c r="AX781" s="873" t="str">
        <f t="shared" si="30"/>
        <v/>
      </c>
      <c r="AY781" s="873" t="str">
        <f t="shared" si="31"/>
        <v/>
      </c>
      <c r="AZ781" s="873" t="str">
        <f t="shared" si="32"/>
        <v/>
      </c>
      <c r="BA781" s="873" t="str">
        <f t="shared" si="33"/>
        <v/>
      </c>
      <c r="BB781" s="873" t="str">
        <f t="shared" si="34"/>
        <v/>
      </c>
      <c r="BC781" s="873" t="str">
        <f t="shared" si="35"/>
        <v/>
      </c>
      <c r="BD781" s="873" t="str">
        <f t="shared" si="36"/>
        <v/>
      </c>
      <c r="BE781" s="873" t="str">
        <f t="shared" si="37"/>
        <v/>
      </c>
      <c r="BF781" s="873" t="str">
        <f t="shared" si="38"/>
        <v/>
      </c>
      <c r="BG781" s="873" t="str">
        <f t="shared" si="39"/>
        <v/>
      </c>
      <c r="BH781" s="873" t="str">
        <f t="shared" si="40"/>
        <v/>
      </c>
      <c r="BI781" s="873" t="str">
        <f t="shared" si="41"/>
        <v/>
      </c>
      <c r="BJ781" s="873" t="str">
        <f t="shared" si="42"/>
        <v/>
      </c>
      <c r="BK781" s="873" t="str">
        <f t="shared" si="43"/>
        <v/>
      </c>
      <c r="BL781" s="873" t="str">
        <f t="shared" si="44"/>
        <v/>
      </c>
      <c r="BM781" s="873" t="str">
        <f t="shared" si="45"/>
        <v/>
      </c>
      <c r="BN781" s="873" t="str">
        <f t="shared" si="46"/>
        <v/>
      </c>
      <c r="BO781" s="873" t="str">
        <f t="shared" si="47"/>
        <v/>
      </c>
      <c r="BP781" s="873" t="str">
        <f t="shared" si="48"/>
        <v/>
      </c>
      <c r="BQ781" s="873" t="str">
        <f t="shared" si="49"/>
        <v/>
      </c>
      <c r="BR781" s="873" t="str">
        <f t="shared" si="50"/>
        <v/>
      </c>
      <c r="BS781" s="873" t="str">
        <f t="shared" si="51"/>
        <v/>
      </c>
      <c r="BT781" s="873" t="str">
        <f t="shared" si="52"/>
        <v/>
      </c>
      <c r="BU781" s="873" t="str">
        <f t="shared" si="53"/>
        <v/>
      </c>
      <c r="BV781" s="873" t="str">
        <f t="shared" si="54"/>
        <v/>
      </c>
      <c r="BW781" s="873" t="str">
        <f t="shared" si="55"/>
        <v/>
      </c>
      <c r="BX781" s="873" t="str">
        <f t="shared" si="56"/>
        <v/>
      </c>
      <c r="BY781" s="873" t="str">
        <f t="shared" si="57"/>
        <v/>
      </c>
      <c r="BZ781" s="873" t="str">
        <f t="shared" si="58"/>
        <v/>
      </c>
      <c r="CA781" s="873" t="str">
        <f t="shared" si="59"/>
        <v/>
      </c>
      <c r="CB781" s="873" t="str">
        <f t="shared" si="60"/>
        <v/>
      </c>
      <c r="CC781" s="873" t="str">
        <f t="shared" si="61"/>
        <v/>
      </c>
      <c r="CD781" s="873" t="str">
        <f t="shared" si="62"/>
        <v/>
      </c>
      <c r="CE781" s="873" t="str">
        <f t="shared" si="63"/>
        <v/>
      </c>
      <c r="CF781" s="873" t="str">
        <f t="shared" si="64"/>
        <v/>
      </c>
      <c r="CG781" s="873" t="str">
        <f t="shared" si="65"/>
        <v/>
      </c>
      <c r="CH781" s="873" t="str">
        <f t="shared" si="66"/>
        <v/>
      </c>
      <c r="CI781" s="873" t="str">
        <f t="shared" si="67"/>
        <v/>
      </c>
      <c r="CJ781" s="873" t="str">
        <f t="shared" si="68"/>
        <v/>
      </c>
      <c r="CK781" s="873" t="str">
        <f t="shared" si="69"/>
        <v/>
      </c>
      <c r="CL781" s="873" t="str">
        <f t="shared" si="70"/>
        <v/>
      </c>
      <c r="CM781" s="873" t="str">
        <f t="shared" si="71"/>
        <v/>
      </c>
      <c r="CN781" s="873" t="str">
        <f t="shared" si="72"/>
        <v/>
      </c>
      <c r="CO781" s="873" t="str">
        <f t="shared" si="73"/>
        <v/>
      </c>
      <c r="CP781" s="873" t="str">
        <f t="shared" si="74"/>
        <v/>
      </c>
      <c r="CQ781" s="873" t="str">
        <f t="shared" si="75"/>
        <v/>
      </c>
      <c r="CR781" s="873" t="str">
        <f t="shared" si="76"/>
        <v/>
      </c>
      <c r="CS781" s="873" t="str">
        <f t="shared" si="77"/>
        <v/>
      </c>
      <c r="CT781" s="873" t="str">
        <f t="shared" si="78"/>
        <v/>
      </c>
      <c r="CU781" s="873" t="str">
        <f t="shared" si="79"/>
        <v/>
      </c>
      <c r="CV781" s="873" t="str">
        <f t="shared" si="80"/>
        <v/>
      </c>
      <c r="CW781" s="873" t="str">
        <f t="shared" si="81"/>
        <v/>
      </c>
      <c r="CX781" s="873" t="str">
        <f t="shared" si="82"/>
        <v/>
      </c>
      <c r="CY781" s="873" t="str">
        <f t="shared" si="83"/>
        <v/>
      </c>
      <c r="CZ781" s="873" t="str">
        <f t="shared" si="84"/>
        <v/>
      </c>
      <c r="DA781" s="873" t="str">
        <f t="shared" si="85"/>
        <v/>
      </c>
      <c r="DB781" s="873" t="str">
        <f t="shared" si="86"/>
        <v/>
      </c>
      <c r="DC781" s="873" t="str">
        <f t="shared" si="87"/>
        <v/>
      </c>
      <c r="DD781" s="873" t="str">
        <f t="shared" si="88"/>
        <v/>
      </c>
      <c r="DE781" s="873" t="str">
        <f t="shared" si="89"/>
        <v/>
      </c>
      <c r="DF781" s="873" t="str">
        <f t="shared" si="90"/>
        <v/>
      </c>
      <c r="DG781" s="873" t="str">
        <f t="shared" si="91"/>
        <v/>
      </c>
      <c r="DH781" s="873" t="str">
        <f t="shared" si="92"/>
        <v/>
      </c>
      <c r="DI781" s="873" t="str">
        <f t="shared" si="93"/>
        <v/>
      </c>
      <c r="DJ781" s="873" t="str">
        <f t="shared" si="94"/>
        <v/>
      </c>
      <c r="DK781" s="873" t="str">
        <f t="shared" si="95"/>
        <v/>
      </c>
      <c r="DL781" s="873" t="str">
        <f t="shared" si="96"/>
        <v/>
      </c>
      <c r="DM781" s="873" t="str">
        <f t="shared" si="97"/>
        <v/>
      </c>
      <c r="DN781" s="873" t="str">
        <f t="shared" si="98"/>
        <v/>
      </c>
      <c r="DO781" s="873" t="str">
        <f t="shared" si="99"/>
        <v/>
      </c>
      <c r="DP781" s="873" t="str">
        <f t="shared" si="100"/>
        <v/>
      </c>
      <c r="DQ781" s="873" t="str">
        <f t="shared" si="101"/>
        <v/>
      </c>
      <c r="DR781" s="873" t="str">
        <f t="shared" si="102"/>
        <v/>
      </c>
      <c r="DS781" s="873" t="str">
        <f t="shared" si="103"/>
        <v/>
      </c>
      <c r="DT781" s="873" t="str">
        <f t="shared" si="104"/>
        <v/>
      </c>
      <c r="DU781" s="873" t="str">
        <f t="shared" si="105"/>
        <v/>
      </c>
      <c r="DV781" s="873" t="str">
        <f t="shared" si="106"/>
        <v/>
      </c>
      <c r="DW781" s="873" t="str">
        <f t="shared" si="107"/>
        <v/>
      </c>
      <c r="DX781" s="873" t="str">
        <f t="shared" si="108"/>
        <v/>
      </c>
      <c r="DY781" s="873" t="str">
        <f t="shared" si="109"/>
        <v/>
      </c>
      <c r="DZ781" s="873" t="str">
        <f t="shared" si="110"/>
        <v/>
      </c>
      <c r="EA781" s="873" t="str">
        <f t="shared" si="111"/>
        <v/>
      </c>
      <c r="EB781" s="873" t="str">
        <f t="shared" si="112"/>
        <v/>
      </c>
      <c r="EC781" s="873" t="str">
        <f t="shared" si="113"/>
        <v/>
      </c>
      <c r="ED781" s="873" t="str">
        <f t="shared" si="114"/>
        <v/>
      </c>
      <c r="EE781" s="873" t="str">
        <f t="shared" si="115"/>
        <v/>
      </c>
      <c r="EF781" s="873" t="str">
        <f t="shared" si="116"/>
        <v/>
      </c>
      <c r="EG781" s="873" t="str">
        <f t="shared" si="117"/>
        <v/>
      </c>
      <c r="EH781" s="873" t="str">
        <f t="shared" si="118"/>
        <v/>
      </c>
      <c r="EI781" s="873" t="str">
        <f t="shared" si="119"/>
        <v/>
      </c>
      <c r="EJ781" s="873" t="str">
        <f t="shared" si="120"/>
        <v/>
      </c>
      <c r="EK781" s="873" t="str">
        <f t="shared" si="121"/>
        <v/>
      </c>
      <c r="EL781" s="873" t="str">
        <f t="shared" si="122"/>
        <v/>
      </c>
      <c r="EM781" s="873" t="str">
        <f t="shared" si="123"/>
        <v/>
      </c>
      <c r="EN781" s="873" t="str">
        <f t="shared" si="124"/>
        <v/>
      </c>
      <c r="EO781" s="873" t="str">
        <f t="shared" si="125"/>
        <v/>
      </c>
      <c r="EP781" s="873" t="str">
        <f t="shared" si="126"/>
        <v/>
      </c>
      <c r="EQ781" s="873" t="str">
        <f t="shared" si="127"/>
        <v/>
      </c>
      <c r="ER781" s="873" t="str">
        <f t="shared" si="128"/>
        <v/>
      </c>
      <c r="ES781" s="873" t="str">
        <f t="shared" si="129"/>
        <v/>
      </c>
      <c r="ET781" s="873" t="str">
        <f t="shared" si="130"/>
        <v/>
      </c>
      <c r="EU781" s="873" t="str">
        <f t="shared" si="131"/>
        <v/>
      </c>
      <c r="EV781" s="873" t="str">
        <f t="shared" si="132"/>
        <v/>
      </c>
      <c r="EW781" s="2288" t="str">
        <f t="shared" si="133"/>
        <v/>
      </c>
      <c r="EX781" s="2288" t="str">
        <f t="shared" si="134"/>
        <v/>
      </c>
      <c r="EY781" s="2288" t="str">
        <f t="shared" si="135"/>
        <v/>
      </c>
      <c r="EZ781" s="2288" t="str">
        <f t="shared" si="136"/>
        <v/>
      </c>
      <c r="FA781" s="2288" t="str">
        <f t="shared" si="137"/>
        <v/>
      </c>
      <c r="FB781" s="2288" t="str">
        <f t="shared" si="138"/>
        <v/>
      </c>
      <c r="FC781" s="2288" t="str">
        <f t="shared" si="139"/>
        <v/>
      </c>
      <c r="FD781" s="2288" t="str">
        <f t="shared" si="140"/>
        <v/>
      </c>
      <c r="FE781" s="2288" t="str">
        <f t="shared" si="141"/>
        <v/>
      </c>
      <c r="FF781" s="2288" t="str">
        <f t="shared" si="142"/>
        <v/>
      </c>
      <c r="FG781" s="2288" t="str">
        <f t="shared" si="143"/>
        <v/>
      </c>
      <c r="FH781" s="2288" t="str">
        <f t="shared" si="144"/>
        <v/>
      </c>
      <c r="FI781" s="2288" t="str">
        <f t="shared" si="145"/>
        <v/>
      </c>
      <c r="FJ781" s="2288" t="str">
        <f t="shared" si="146"/>
        <v/>
      </c>
      <c r="FK781" s="2288" t="str">
        <f t="shared" si="147"/>
        <v/>
      </c>
      <c r="FL781" s="2288" t="str">
        <f t="shared" si="148"/>
        <v/>
      </c>
      <c r="FM781" s="2288" t="str">
        <f t="shared" si="149"/>
        <v/>
      </c>
      <c r="FN781" s="2288" t="str">
        <f t="shared" si="150"/>
        <v/>
      </c>
      <c r="FO781" s="2288" t="str">
        <f t="shared" si="151"/>
        <v/>
      </c>
      <c r="FP781" s="2288" t="str">
        <f t="shared" si="152"/>
        <v/>
      </c>
      <c r="FQ781" s="2288" t="str">
        <f t="shared" si="153"/>
        <v/>
      </c>
      <c r="FR781" s="2288" t="str">
        <f t="shared" si="154"/>
        <v/>
      </c>
      <c r="FS781" s="2288" t="str">
        <f t="shared" si="155"/>
        <v/>
      </c>
      <c r="FT781" s="2288" t="str">
        <f t="shared" si="156"/>
        <v/>
      </c>
      <c r="FU781" s="2288" t="str">
        <f t="shared" si="157"/>
        <v/>
      </c>
      <c r="FV781" s="2288" t="str">
        <f t="shared" si="158"/>
        <v/>
      </c>
      <c r="FW781" s="2288" t="str">
        <f t="shared" si="159"/>
        <v/>
      </c>
      <c r="FX781" s="2288" t="str">
        <f t="shared" si="160"/>
        <v/>
      </c>
      <c r="FY781" s="2288" t="str">
        <f t="shared" si="161"/>
        <v/>
      </c>
      <c r="FZ781" s="2288" t="str">
        <f t="shared" si="162"/>
        <v/>
      </c>
      <c r="GA781" s="2288" t="str">
        <f t="shared" si="163"/>
        <v/>
      </c>
      <c r="GB781" s="2288" t="str">
        <f t="shared" si="164"/>
        <v/>
      </c>
      <c r="GC781" s="2288" t="str">
        <f t="shared" si="165"/>
        <v/>
      </c>
      <c r="GD781" s="2288" t="str">
        <f t="shared" si="166"/>
        <v/>
      </c>
      <c r="GE781" s="2288" t="str">
        <f t="shared" si="167"/>
        <v/>
      </c>
      <c r="GF781" s="2288" t="str">
        <f t="shared" si="168"/>
        <v/>
      </c>
      <c r="GG781" s="2288" t="str">
        <f t="shared" si="169"/>
        <v/>
      </c>
      <c r="GH781" s="2288" t="str">
        <f t="shared" si="170"/>
        <v/>
      </c>
      <c r="GI781" s="2288" t="str">
        <f t="shared" si="171"/>
        <v/>
      </c>
      <c r="GJ781" s="2288" t="str">
        <f t="shared" si="172"/>
        <v/>
      </c>
      <c r="GK781" s="2288" t="str">
        <f t="shared" si="173"/>
        <v/>
      </c>
      <c r="GL781" s="2288" t="str">
        <f t="shared" si="174"/>
        <v/>
      </c>
      <c r="GM781" s="2288" t="str">
        <f t="shared" si="175"/>
        <v/>
      </c>
      <c r="GN781" s="2288" t="str">
        <f t="shared" si="176"/>
        <v/>
      </c>
      <c r="GO781" s="2288" t="str">
        <f t="shared" si="177"/>
        <v/>
      </c>
      <c r="GP781" s="2288" t="str">
        <f t="shared" si="178"/>
        <v/>
      </c>
      <c r="GQ781" s="2288" t="str">
        <f t="shared" si="179"/>
        <v/>
      </c>
      <c r="GR781" s="2288" t="str">
        <f t="shared" si="180"/>
        <v/>
      </c>
      <c r="GS781" s="2288" t="str">
        <f t="shared" si="181"/>
        <v/>
      </c>
      <c r="GT781" s="2288" t="str">
        <f t="shared" si="182"/>
        <v/>
      </c>
      <c r="GU781" s="2288" t="str">
        <f t="shared" si="183"/>
        <v/>
      </c>
      <c r="GV781" s="2288" t="str">
        <f t="shared" si="184"/>
        <v/>
      </c>
      <c r="GW781" s="2288" t="str">
        <f t="shared" si="185"/>
        <v/>
      </c>
      <c r="GX781" s="2288" t="str">
        <f t="shared" si="186"/>
        <v/>
      </c>
      <c r="GY781" s="2288" t="str">
        <f t="shared" si="187"/>
        <v/>
      </c>
      <c r="GZ781" s="2288" t="str">
        <f t="shared" si="188"/>
        <v/>
      </c>
      <c r="HA781" s="2288" t="str">
        <f t="shared" si="189"/>
        <v/>
      </c>
      <c r="HB781" s="2288" t="str">
        <f t="shared" si="190"/>
        <v/>
      </c>
      <c r="HC781" s="2288" t="str">
        <f t="shared" si="191"/>
        <v/>
      </c>
      <c r="HD781" s="2288" t="str">
        <f t="shared" si="192"/>
        <v/>
      </c>
      <c r="HE781" s="2288" t="str">
        <f t="shared" si="193"/>
        <v/>
      </c>
      <c r="HF781" s="2288" t="str">
        <f t="shared" si="194"/>
        <v/>
      </c>
      <c r="HG781" s="2288" t="str">
        <f t="shared" si="195"/>
        <v/>
      </c>
      <c r="HH781" s="2288" t="str">
        <f t="shared" si="196"/>
        <v/>
      </c>
      <c r="HI781" s="2288" t="str">
        <f t="shared" si="197"/>
        <v/>
      </c>
      <c r="HJ781" s="2288" t="str">
        <f t="shared" si="198"/>
        <v/>
      </c>
      <c r="HK781" s="2288" t="str">
        <f t="shared" si="199"/>
        <v/>
      </c>
      <c r="HL781" s="2288" t="str">
        <f t="shared" si="200"/>
        <v/>
      </c>
      <c r="HM781" s="2288" t="str">
        <f t="shared" si="201"/>
        <v/>
      </c>
      <c r="HN781" s="2288" t="str">
        <f t="shared" si="202"/>
        <v/>
      </c>
      <c r="HO781" s="2288" t="str">
        <f t="shared" si="203"/>
        <v/>
      </c>
      <c r="HP781" s="2288" t="str">
        <f t="shared" si="204"/>
        <v/>
      </c>
      <c r="HQ781" s="2288" t="str">
        <f t="shared" si="205"/>
        <v/>
      </c>
      <c r="HR781" s="2288" t="str">
        <f t="shared" si="206"/>
        <v/>
      </c>
      <c r="HS781" s="2288" t="str">
        <f t="shared" si="207"/>
        <v/>
      </c>
      <c r="HT781" s="2288" t="str">
        <f t="shared" si="208"/>
        <v/>
      </c>
      <c r="HU781" s="2288" t="str">
        <f t="shared" si="209"/>
        <v/>
      </c>
      <c r="HV781" s="2288" t="str">
        <f t="shared" si="210"/>
        <v/>
      </c>
      <c r="HW781" s="2288" t="str">
        <f t="shared" si="211"/>
        <v/>
      </c>
      <c r="HX781" s="2288" t="str">
        <f t="shared" si="212"/>
        <v/>
      </c>
      <c r="HY781" s="2288" t="str">
        <f t="shared" si="213"/>
        <v/>
      </c>
      <c r="HZ781" s="2288" t="str">
        <f t="shared" si="214"/>
        <v/>
      </c>
      <c r="IA781" s="2288" t="str">
        <f t="shared" si="215"/>
        <v/>
      </c>
      <c r="IB781" s="2288" t="str">
        <f t="shared" si="216"/>
        <v/>
      </c>
      <c r="IC781" s="2288" t="str">
        <f t="shared" si="217"/>
        <v/>
      </c>
      <c r="ID781" s="2255" t="str">
        <f t="shared" si="218"/>
        <v/>
      </c>
      <c r="IE781" s="2255" t="str">
        <f t="shared" si="219"/>
        <v/>
      </c>
      <c r="IF781" s="2255" t="str">
        <f t="shared" si="220"/>
        <v/>
      </c>
      <c r="IG781" s="2255" t="str">
        <f t="shared" si="221"/>
        <v/>
      </c>
      <c r="IH781" s="2255" t="str">
        <f t="shared" si="222"/>
        <v/>
      </c>
      <c r="II781" s="873" t="str">
        <f t="shared" si="223"/>
        <v/>
      </c>
      <c r="IJ781" s="873" t="str">
        <f t="shared" si="224"/>
        <v/>
      </c>
      <c r="IK781" s="873" t="str">
        <f t="shared" si="225"/>
        <v/>
      </c>
      <c r="IL781" s="873" t="str">
        <f t="shared" si="226"/>
        <v/>
      </c>
      <c r="IM781" s="873" t="str">
        <f t="shared" si="227"/>
        <v/>
      </c>
      <c r="IN781" s="873" t="str">
        <f t="shared" si="228"/>
        <v/>
      </c>
      <c r="IO781" s="873" t="str">
        <f t="shared" si="229"/>
        <v/>
      </c>
      <c r="IP781" s="873" t="str">
        <f t="shared" si="230"/>
        <v/>
      </c>
      <c r="IQ781" s="873" t="str">
        <f t="shared" si="231"/>
        <v/>
      </c>
      <c r="IR781" s="873" t="str">
        <f t="shared" si="232"/>
        <v/>
      </c>
      <c r="IS781" s="873" t="str">
        <f t="shared" si="233"/>
        <v/>
      </c>
      <c r="IT781" s="873" t="str">
        <f t="shared" si="234"/>
        <v/>
      </c>
      <c r="IU781" s="873" t="str">
        <f t="shared" si="235"/>
        <v/>
      </c>
      <c r="IV781" s="873" t="str">
        <f t="shared" si="236"/>
        <v/>
      </c>
      <c r="IW781" s="873" t="str">
        <f t="shared" si="237"/>
        <v/>
      </c>
      <c r="IX781" s="873" t="str">
        <f t="shared" si="238"/>
        <v/>
      </c>
      <c r="IY781" s="873" t="str">
        <f t="shared" si="239"/>
        <v/>
      </c>
      <c r="IZ781" s="873" t="str">
        <f t="shared" si="240"/>
        <v/>
      </c>
      <c r="JA781" s="873" t="str">
        <f t="shared" si="241"/>
        <v/>
      </c>
      <c r="JB781" s="873" t="str">
        <f t="shared" si="242"/>
        <v/>
      </c>
      <c r="JC781" s="2253">
        <f t="shared" si="243"/>
        <v>0</v>
      </c>
      <c r="JD781" s="2253">
        <f t="shared" si="244"/>
        <v>0</v>
      </c>
      <c r="JE781" s="2253">
        <f t="shared" si="245"/>
        <v>0</v>
      </c>
      <c r="JF781" s="2253">
        <f t="shared" si="246"/>
        <v>0</v>
      </c>
      <c r="JG781" s="2253">
        <f t="shared" si="247"/>
        <v>0</v>
      </c>
      <c r="JH781" s="2253">
        <f t="shared" si="248"/>
        <v>0</v>
      </c>
      <c r="JI781" s="2253">
        <f t="shared" si="249"/>
        <v>0</v>
      </c>
      <c r="JJ781" s="2253">
        <f t="shared" si="250"/>
        <v>0</v>
      </c>
      <c r="JK781" s="2253">
        <f t="shared" si="251"/>
        <v>0</v>
      </c>
      <c r="JL781" s="2253">
        <f t="shared" si="252"/>
        <v>0</v>
      </c>
      <c r="JM781" s="2253">
        <f t="shared" si="253"/>
        <v>0</v>
      </c>
      <c r="JN781" s="2253">
        <f t="shared" si="254"/>
        <v>0</v>
      </c>
      <c r="JO781" s="2253">
        <f t="shared" si="255"/>
        <v>0</v>
      </c>
      <c r="JP781" s="2253">
        <f t="shared" si="256"/>
        <v>0</v>
      </c>
      <c r="JQ781" s="2253">
        <f t="shared" si="257"/>
        <v>0</v>
      </c>
    </row>
    <row r="782" spans="1:277" ht="12" customHeight="1">
      <c r="A782" s="2258" t="str">
        <f t="shared" si="0"/>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1"/>
        <v>0</v>
      </c>
      <c r="L782" s="2284">
        <f t="shared" si="2"/>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3" t="str">
        <f t="shared" si="3"/>
        <v/>
      </c>
      <c r="X782" s="873" t="str">
        <f t="shared" si="4"/>
        <v/>
      </c>
      <c r="Y782" s="873" t="str">
        <f t="shared" si="5"/>
        <v/>
      </c>
      <c r="Z782" s="873" t="str">
        <f t="shared" si="6"/>
        <v/>
      </c>
      <c r="AA782" s="873" t="str">
        <f t="shared" si="7"/>
        <v/>
      </c>
      <c r="AB782" s="873" t="str">
        <f t="shared" si="8"/>
        <v/>
      </c>
      <c r="AC782" s="873" t="str">
        <f t="shared" si="9"/>
        <v/>
      </c>
      <c r="AD782" s="873" t="str">
        <f t="shared" si="10"/>
        <v/>
      </c>
      <c r="AE782" s="873" t="str">
        <f t="shared" si="11"/>
        <v/>
      </c>
      <c r="AF782" s="873" t="str">
        <f t="shared" si="12"/>
        <v/>
      </c>
      <c r="AG782" s="873" t="str">
        <f t="shared" si="13"/>
        <v/>
      </c>
      <c r="AH782" s="873" t="str">
        <f t="shared" si="14"/>
        <v/>
      </c>
      <c r="AI782" s="873" t="str">
        <f t="shared" si="15"/>
        <v/>
      </c>
      <c r="AJ782" s="873" t="str">
        <f t="shared" si="16"/>
        <v/>
      </c>
      <c r="AK782" s="873" t="str">
        <f t="shared" si="17"/>
        <v/>
      </c>
      <c r="AL782" s="873" t="str">
        <f t="shared" si="18"/>
        <v/>
      </c>
      <c r="AM782" s="873" t="str">
        <f t="shared" si="19"/>
        <v/>
      </c>
      <c r="AN782" s="873" t="str">
        <f t="shared" si="20"/>
        <v/>
      </c>
      <c r="AO782" s="873" t="str">
        <f t="shared" si="21"/>
        <v/>
      </c>
      <c r="AP782" s="873" t="str">
        <f t="shared" si="22"/>
        <v/>
      </c>
      <c r="AQ782" s="873" t="str">
        <f t="shared" si="23"/>
        <v/>
      </c>
      <c r="AR782" s="873" t="str">
        <f t="shared" si="24"/>
        <v/>
      </c>
      <c r="AS782" s="873" t="str">
        <f t="shared" si="25"/>
        <v/>
      </c>
      <c r="AT782" s="873" t="str">
        <f t="shared" si="26"/>
        <v/>
      </c>
      <c r="AU782" s="873" t="str">
        <f t="shared" si="27"/>
        <v/>
      </c>
      <c r="AV782" s="873" t="str">
        <f t="shared" si="28"/>
        <v/>
      </c>
      <c r="AW782" s="873" t="str">
        <f t="shared" si="29"/>
        <v/>
      </c>
      <c r="AX782" s="873" t="str">
        <f t="shared" si="30"/>
        <v/>
      </c>
      <c r="AY782" s="873" t="str">
        <f t="shared" si="31"/>
        <v/>
      </c>
      <c r="AZ782" s="873" t="str">
        <f t="shared" si="32"/>
        <v/>
      </c>
      <c r="BA782" s="873" t="str">
        <f t="shared" si="33"/>
        <v/>
      </c>
      <c r="BB782" s="873" t="str">
        <f t="shared" si="34"/>
        <v/>
      </c>
      <c r="BC782" s="873" t="str">
        <f t="shared" si="35"/>
        <v/>
      </c>
      <c r="BD782" s="873" t="str">
        <f t="shared" si="36"/>
        <v/>
      </c>
      <c r="BE782" s="873" t="str">
        <f t="shared" si="37"/>
        <v/>
      </c>
      <c r="BF782" s="873" t="str">
        <f t="shared" si="38"/>
        <v/>
      </c>
      <c r="BG782" s="873" t="str">
        <f t="shared" si="39"/>
        <v/>
      </c>
      <c r="BH782" s="873" t="str">
        <f t="shared" si="40"/>
        <v/>
      </c>
      <c r="BI782" s="873" t="str">
        <f t="shared" si="41"/>
        <v/>
      </c>
      <c r="BJ782" s="873" t="str">
        <f t="shared" si="42"/>
        <v/>
      </c>
      <c r="BK782" s="873" t="str">
        <f t="shared" si="43"/>
        <v/>
      </c>
      <c r="BL782" s="873" t="str">
        <f t="shared" si="44"/>
        <v/>
      </c>
      <c r="BM782" s="873" t="str">
        <f t="shared" si="45"/>
        <v/>
      </c>
      <c r="BN782" s="873" t="str">
        <f t="shared" si="46"/>
        <v/>
      </c>
      <c r="BO782" s="873" t="str">
        <f t="shared" si="47"/>
        <v/>
      </c>
      <c r="BP782" s="873" t="str">
        <f t="shared" si="48"/>
        <v/>
      </c>
      <c r="BQ782" s="873" t="str">
        <f t="shared" si="49"/>
        <v/>
      </c>
      <c r="BR782" s="873" t="str">
        <f t="shared" si="50"/>
        <v/>
      </c>
      <c r="BS782" s="873" t="str">
        <f t="shared" si="51"/>
        <v/>
      </c>
      <c r="BT782" s="873" t="str">
        <f t="shared" si="52"/>
        <v/>
      </c>
      <c r="BU782" s="873" t="str">
        <f t="shared" si="53"/>
        <v/>
      </c>
      <c r="BV782" s="873" t="str">
        <f t="shared" si="54"/>
        <v/>
      </c>
      <c r="BW782" s="873" t="str">
        <f t="shared" si="55"/>
        <v/>
      </c>
      <c r="BX782" s="873" t="str">
        <f t="shared" si="56"/>
        <v/>
      </c>
      <c r="BY782" s="873" t="str">
        <f t="shared" si="57"/>
        <v/>
      </c>
      <c r="BZ782" s="873" t="str">
        <f t="shared" si="58"/>
        <v/>
      </c>
      <c r="CA782" s="873" t="str">
        <f t="shared" si="59"/>
        <v/>
      </c>
      <c r="CB782" s="873" t="str">
        <f t="shared" si="60"/>
        <v/>
      </c>
      <c r="CC782" s="873" t="str">
        <f t="shared" si="61"/>
        <v/>
      </c>
      <c r="CD782" s="873" t="str">
        <f t="shared" si="62"/>
        <v/>
      </c>
      <c r="CE782" s="873" t="str">
        <f t="shared" si="63"/>
        <v/>
      </c>
      <c r="CF782" s="873" t="str">
        <f t="shared" si="64"/>
        <v/>
      </c>
      <c r="CG782" s="873" t="str">
        <f t="shared" si="65"/>
        <v/>
      </c>
      <c r="CH782" s="873" t="str">
        <f t="shared" si="66"/>
        <v/>
      </c>
      <c r="CI782" s="873" t="str">
        <f t="shared" si="67"/>
        <v/>
      </c>
      <c r="CJ782" s="873" t="str">
        <f t="shared" si="68"/>
        <v/>
      </c>
      <c r="CK782" s="873" t="str">
        <f t="shared" si="69"/>
        <v/>
      </c>
      <c r="CL782" s="873" t="str">
        <f t="shared" si="70"/>
        <v/>
      </c>
      <c r="CM782" s="873" t="str">
        <f t="shared" si="71"/>
        <v/>
      </c>
      <c r="CN782" s="873" t="str">
        <f t="shared" si="72"/>
        <v/>
      </c>
      <c r="CO782" s="873" t="str">
        <f t="shared" si="73"/>
        <v/>
      </c>
      <c r="CP782" s="873" t="str">
        <f t="shared" si="74"/>
        <v/>
      </c>
      <c r="CQ782" s="873" t="str">
        <f t="shared" si="75"/>
        <v/>
      </c>
      <c r="CR782" s="873" t="str">
        <f t="shared" si="76"/>
        <v/>
      </c>
      <c r="CS782" s="873" t="str">
        <f t="shared" si="77"/>
        <v/>
      </c>
      <c r="CT782" s="873" t="str">
        <f t="shared" si="78"/>
        <v/>
      </c>
      <c r="CU782" s="873" t="str">
        <f t="shared" si="79"/>
        <v/>
      </c>
      <c r="CV782" s="873" t="str">
        <f t="shared" si="80"/>
        <v/>
      </c>
      <c r="CW782" s="873" t="str">
        <f t="shared" si="81"/>
        <v/>
      </c>
      <c r="CX782" s="873" t="str">
        <f t="shared" si="82"/>
        <v/>
      </c>
      <c r="CY782" s="873" t="str">
        <f t="shared" si="83"/>
        <v/>
      </c>
      <c r="CZ782" s="873" t="str">
        <f t="shared" si="84"/>
        <v/>
      </c>
      <c r="DA782" s="873" t="str">
        <f t="shared" si="85"/>
        <v/>
      </c>
      <c r="DB782" s="873" t="str">
        <f t="shared" si="86"/>
        <v/>
      </c>
      <c r="DC782" s="873" t="str">
        <f t="shared" si="87"/>
        <v/>
      </c>
      <c r="DD782" s="873" t="str">
        <f t="shared" si="88"/>
        <v/>
      </c>
      <c r="DE782" s="873" t="str">
        <f t="shared" si="89"/>
        <v/>
      </c>
      <c r="DF782" s="873" t="str">
        <f t="shared" si="90"/>
        <v/>
      </c>
      <c r="DG782" s="873" t="str">
        <f t="shared" si="91"/>
        <v/>
      </c>
      <c r="DH782" s="873" t="str">
        <f t="shared" si="92"/>
        <v/>
      </c>
      <c r="DI782" s="873" t="str">
        <f t="shared" si="93"/>
        <v/>
      </c>
      <c r="DJ782" s="873" t="str">
        <f t="shared" si="94"/>
        <v/>
      </c>
      <c r="DK782" s="873" t="str">
        <f t="shared" si="95"/>
        <v/>
      </c>
      <c r="DL782" s="873" t="str">
        <f t="shared" si="96"/>
        <v/>
      </c>
      <c r="DM782" s="873" t="str">
        <f t="shared" si="97"/>
        <v/>
      </c>
      <c r="DN782" s="873" t="str">
        <f t="shared" si="98"/>
        <v/>
      </c>
      <c r="DO782" s="873" t="str">
        <f t="shared" si="99"/>
        <v/>
      </c>
      <c r="DP782" s="873" t="str">
        <f t="shared" si="100"/>
        <v/>
      </c>
      <c r="DQ782" s="873" t="str">
        <f t="shared" si="101"/>
        <v/>
      </c>
      <c r="DR782" s="873" t="str">
        <f t="shared" si="102"/>
        <v/>
      </c>
      <c r="DS782" s="873" t="str">
        <f t="shared" si="103"/>
        <v/>
      </c>
      <c r="DT782" s="873" t="str">
        <f t="shared" si="104"/>
        <v/>
      </c>
      <c r="DU782" s="873" t="str">
        <f t="shared" si="105"/>
        <v/>
      </c>
      <c r="DV782" s="873" t="str">
        <f t="shared" si="106"/>
        <v/>
      </c>
      <c r="DW782" s="873" t="str">
        <f t="shared" si="107"/>
        <v/>
      </c>
      <c r="DX782" s="873" t="str">
        <f t="shared" si="108"/>
        <v/>
      </c>
      <c r="DY782" s="873" t="str">
        <f t="shared" si="109"/>
        <v/>
      </c>
      <c r="DZ782" s="873" t="str">
        <f t="shared" si="110"/>
        <v/>
      </c>
      <c r="EA782" s="873" t="str">
        <f t="shared" si="111"/>
        <v/>
      </c>
      <c r="EB782" s="873" t="str">
        <f t="shared" si="112"/>
        <v/>
      </c>
      <c r="EC782" s="873" t="str">
        <f t="shared" si="113"/>
        <v/>
      </c>
      <c r="ED782" s="873" t="str">
        <f t="shared" si="114"/>
        <v/>
      </c>
      <c r="EE782" s="873" t="str">
        <f t="shared" si="115"/>
        <v/>
      </c>
      <c r="EF782" s="873" t="str">
        <f t="shared" si="116"/>
        <v/>
      </c>
      <c r="EG782" s="873" t="str">
        <f t="shared" si="117"/>
        <v/>
      </c>
      <c r="EH782" s="873" t="str">
        <f t="shared" si="118"/>
        <v/>
      </c>
      <c r="EI782" s="873" t="str">
        <f t="shared" si="119"/>
        <v/>
      </c>
      <c r="EJ782" s="873" t="str">
        <f t="shared" si="120"/>
        <v/>
      </c>
      <c r="EK782" s="873" t="str">
        <f t="shared" si="121"/>
        <v/>
      </c>
      <c r="EL782" s="873" t="str">
        <f t="shared" si="122"/>
        <v/>
      </c>
      <c r="EM782" s="873" t="str">
        <f t="shared" si="123"/>
        <v/>
      </c>
      <c r="EN782" s="873" t="str">
        <f t="shared" si="124"/>
        <v/>
      </c>
      <c r="EO782" s="873" t="str">
        <f t="shared" si="125"/>
        <v/>
      </c>
      <c r="EP782" s="873" t="str">
        <f t="shared" si="126"/>
        <v/>
      </c>
      <c r="EQ782" s="873" t="str">
        <f t="shared" si="127"/>
        <v/>
      </c>
      <c r="ER782" s="873" t="str">
        <f t="shared" si="128"/>
        <v/>
      </c>
      <c r="ES782" s="873" t="str">
        <f t="shared" si="129"/>
        <v/>
      </c>
      <c r="ET782" s="873" t="str">
        <f t="shared" si="130"/>
        <v/>
      </c>
      <c r="EU782" s="873" t="str">
        <f t="shared" si="131"/>
        <v/>
      </c>
      <c r="EV782" s="873" t="str">
        <f t="shared" si="132"/>
        <v/>
      </c>
      <c r="EW782" s="2288" t="str">
        <f t="shared" si="133"/>
        <v/>
      </c>
      <c r="EX782" s="2288" t="str">
        <f t="shared" si="134"/>
        <v/>
      </c>
      <c r="EY782" s="2288" t="str">
        <f t="shared" si="135"/>
        <v/>
      </c>
      <c r="EZ782" s="2288" t="str">
        <f t="shared" si="136"/>
        <v/>
      </c>
      <c r="FA782" s="2288" t="str">
        <f t="shared" si="137"/>
        <v/>
      </c>
      <c r="FB782" s="2288" t="str">
        <f t="shared" si="138"/>
        <v/>
      </c>
      <c r="FC782" s="2288" t="str">
        <f t="shared" si="139"/>
        <v/>
      </c>
      <c r="FD782" s="2288" t="str">
        <f t="shared" si="140"/>
        <v/>
      </c>
      <c r="FE782" s="2288" t="str">
        <f t="shared" si="141"/>
        <v/>
      </c>
      <c r="FF782" s="2288" t="str">
        <f t="shared" si="142"/>
        <v/>
      </c>
      <c r="FG782" s="2288" t="str">
        <f t="shared" si="143"/>
        <v/>
      </c>
      <c r="FH782" s="2288" t="str">
        <f t="shared" si="144"/>
        <v/>
      </c>
      <c r="FI782" s="2288" t="str">
        <f t="shared" si="145"/>
        <v/>
      </c>
      <c r="FJ782" s="2288" t="str">
        <f t="shared" si="146"/>
        <v/>
      </c>
      <c r="FK782" s="2288" t="str">
        <f t="shared" si="147"/>
        <v/>
      </c>
      <c r="FL782" s="2288" t="str">
        <f t="shared" si="148"/>
        <v/>
      </c>
      <c r="FM782" s="2288" t="str">
        <f t="shared" si="149"/>
        <v/>
      </c>
      <c r="FN782" s="2288" t="str">
        <f t="shared" si="150"/>
        <v/>
      </c>
      <c r="FO782" s="2288" t="str">
        <f t="shared" si="151"/>
        <v/>
      </c>
      <c r="FP782" s="2288" t="str">
        <f t="shared" si="152"/>
        <v/>
      </c>
      <c r="FQ782" s="2288" t="str">
        <f t="shared" si="153"/>
        <v/>
      </c>
      <c r="FR782" s="2288" t="str">
        <f t="shared" si="154"/>
        <v/>
      </c>
      <c r="FS782" s="2288" t="str">
        <f t="shared" si="155"/>
        <v/>
      </c>
      <c r="FT782" s="2288" t="str">
        <f t="shared" si="156"/>
        <v/>
      </c>
      <c r="FU782" s="2288" t="str">
        <f t="shared" si="157"/>
        <v/>
      </c>
      <c r="FV782" s="2288" t="str">
        <f t="shared" si="158"/>
        <v/>
      </c>
      <c r="FW782" s="2288" t="str">
        <f t="shared" si="159"/>
        <v/>
      </c>
      <c r="FX782" s="2288" t="str">
        <f t="shared" si="160"/>
        <v/>
      </c>
      <c r="FY782" s="2288" t="str">
        <f t="shared" si="161"/>
        <v/>
      </c>
      <c r="FZ782" s="2288" t="str">
        <f t="shared" si="162"/>
        <v/>
      </c>
      <c r="GA782" s="2288" t="str">
        <f t="shared" si="163"/>
        <v/>
      </c>
      <c r="GB782" s="2288" t="str">
        <f t="shared" si="164"/>
        <v/>
      </c>
      <c r="GC782" s="2288" t="str">
        <f t="shared" si="165"/>
        <v/>
      </c>
      <c r="GD782" s="2288" t="str">
        <f t="shared" si="166"/>
        <v/>
      </c>
      <c r="GE782" s="2288" t="str">
        <f t="shared" si="167"/>
        <v/>
      </c>
      <c r="GF782" s="2288" t="str">
        <f t="shared" si="168"/>
        <v/>
      </c>
      <c r="GG782" s="2288" t="str">
        <f t="shared" si="169"/>
        <v/>
      </c>
      <c r="GH782" s="2288" t="str">
        <f t="shared" si="170"/>
        <v/>
      </c>
      <c r="GI782" s="2288" t="str">
        <f t="shared" si="171"/>
        <v/>
      </c>
      <c r="GJ782" s="2288" t="str">
        <f t="shared" si="172"/>
        <v/>
      </c>
      <c r="GK782" s="2288" t="str">
        <f t="shared" si="173"/>
        <v/>
      </c>
      <c r="GL782" s="2288" t="str">
        <f t="shared" si="174"/>
        <v/>
      </c>
      <c r="GM782" s="2288" t="str">
        <f t="shared" si="175"/>
        <v/>
      </c>
      <c r="GN782" s="2288" t="str">
        <f t="shared" si="176"/>
        <v/>
      </c>
      <c r="GO782" s="2288" t="str">
        <f t="shared" si="177"/>
        <v/>
      </c>
      <c r="GP782" s="2288" t="str">
        <f t="shared" si="178"/>
        <v/>
      </c>
      <c r="GQ782" s="2288" t="str">
        <f t="shared" si="179"/>
        <v/>
      </c>
      <c r="GR782" s="2288" t="str">
        <f t="shared" si="180"/>
        <v/>
      </c>
      <c r="GS782" s="2288" t="str">
        <f t="shared" si="181"/>
        <v/>
      </c>
      <c r="GT782" s="2288" t="str">
        <f t="shared" si="182"/>
        <v/>
      </c>
      <c r="GU782" s="2288" t="str">
        <f t="shared" si="183"/>
        <v/>
      </c>
      <c r="GV782" s="2288" t="str">
        <f t="shared" si="184"/>
        <v/>
      </c>
      <c r="GW782" s="2288" t="str">
        <f t="shared" si="185"/>
        <v/>
      </c>
      <c r="GX782" s="2288" t="str">
        <f t="shared" si="186"/>
        <v/>
      </c>
      <c r="GY782" s="2288" t="str">
        <f t="shared" si="187"/>
        <v/>
      </c>
      <c r="GZ782" s="2288" t="str">
        <f t="shared" si="188"/>
        <v/>
      </c>
      <c r="HA782" s="2288" t="str">
        <f t="shared" si="189"/>
        <v/>
      </c>
      <c r="HB782" s="2288" t="str">
        <f t="shared" si="190"/>
        <v/>
      </c>
      <c r="HC782" s="2288" t="str">
        <f t="shared" si="191"/>
        <v/>
      </c>
      <c r="HD782" s="2288" t="str">
        <f t="shared" si="192"/>
        <v/>
      </c>
      <c r="HE782" s="2288" t="str">
        <f t="shared" si="193"/>
        <v/>
      </c>
      <c r="HF782" s="2288" t="str">
        <f t="shared" si="194"/>
        <v/>
      </c>
      <c r="HG782" s="2288" t="str">
        <f t="shared" si="195"/>
        <v/>
      </c>
      <c r="HH782" s="2288" t="str">
        <f t="shared" si="196"/>
        <v/>
      </c>
      <c r="HI782" s="2288" t="str">
        <f t="shared" si="197"/>
        <v/>
      </c>
      <c r="HJ782" s="2288" t="str">
        <f t="shared" si="198"/>
        <v/>
      </c>
      <c r="HK782" s="2288" t="str">
        <f t="shared" si="199"/>
        <v/>
      </c>
      <c r="HL782" s="2288" t="str">
        <f t="shared" si="200"/>
        <v/>
      </c>
      <c r="HM782" s="2288" t="str">
        <f t="shared" si="201"/>
        <v/>
      </c>
      <c r="HN782" s="2288" t="str">
        <f t="shared" si="202"/>
        <v/>
      </c>
      <c r="HO782" s="2288" t="str">
        <f t="shared" si="203"/>
        <v/>
      </c>
      <c r="HP782" s="2288" t="str">
        <f t="shared" si="204"/>
        <v/>
      </c>
      <c r="HQ782" s="2288" t="str">
        <f t="shared" si="205"/>
        <v/>
      </c>
      <c r="HR782" s="2288" t="str">
        <f t="shared" si="206"/>
        <v/>
      </c>
      <c r="HS782" s="2288" t="str">
        <f t="shared" si="207"/>
        <v/>
      </c>
      <c r="HT782" s="2288" t="str">
        <f t="shared" si="208"/>
        <v/>
      </c>
      <c r="HU782" s="2288" t="str">
        <f t="shared" si="209"/>
        <v/>
      </c>
      <c r="HV782" s="2288" t="str">
        <f t="shared" si="210"/>
        <v/>
      </c>
      <c r="HW782" s="2288" t="str">
        <f t="shared" si="211"/>
        <v/>
      </c>
      <c r="HX782" s="2288" t="str">
        <f t="shared" si="212"/>
        <v/>
      </c>
      <c r="HY782" s="2288" t="str">
        <f t="shared" si="213"/>
        <v/>
      </c>
      <c r="HZ782" s="2288" t="str">
        <f t="shared" si="214"/>
        <v/>
      </c>
      <c r="IA782" s="2288" t="str">
        <f t="shared" si="215"/>
        <v/>
      </c>
      <c r="IB782" s="2288" t="str">
        <f t="shared" si="216"/>
        <v/>
      </c>
      <c r="IC782" s="2288" t="str">
        <f t="shared" si="217"/>
        <v/>
      </c>
      <c r="ID782" s="2255" t="str">
        <f t="shared" si="218"/>
        <v/>
      </c>
      <c r="IE782" s="2255" t="str">
        <f t="shared" si="219"/>
        <v/>
      </c>
      <c r="IF782" s="2255" t="str">
        <f t="shared" si="220"/>
        <v/>
      </c>
      <c r="IG782" s="2255" t="str">
        <f t="shared" si="221"/>
        <v/>
      </c>
      <c r="IH782" s="2255" t="str">
        <f t="shared" si="222"/>
        <v/>
      </c>
      <c r="II782" s="873" t="str">
        <f t="shared" si="223"/>
        <v/>
      </c>
      <c r="IJ782" s="873" t="str">
        <f t="shared" si="224"/>
        <v/>
      </c>
      <c r="IK782" s="873" t="str">
        <f t="shared" si="225"/>
        <v/>
      </c>
      <c r="IL782" s="873" t="str">
        <f t="shared" si="226"/>
        <v/>
      </c>
      <c r="IM782" s="873" t="str">
        <f t="shared" si="227"/>
        <v/>
      </c>
      <c r="IN782" s="873" t="str">
        <f t="shared" si="228"/>
        <v/>
      </c>
      <c r="IO782" s="873" t="str">
        <f t="shared" si="229"/>
        <v/>
      </c>
      <c r="IP782" s="873" t="str">
        <f t="shared" si="230"/>
        <v/>
      </c>
      <c r="IQ782" s="873" t="str">
        <f t="shared" si="231"/>
        <v/>
      </c>
      <c r="IR782" s="873" t="str">
        <f t="shared" si="232"/>
        <v/>
      </c>
      <c r="IS782" s="873" t="str">
        <f t="shared" si="233"/>
        <v/>
      </c>
      <c r="IT782" s="873" t="str">
        <f t="shared" si="234"/>
        <v/>
      </c>
      <c r="IU782" s="873" t="str">
        <f t="shared" si="235"/>
        <v/>
      </c>
      <c r="IV782" s="873" t="str">
        <f t="shared" si="236"/>
        <v/>
      </c>
      <c r="IW782" s="873" t="str">
        <f t="shared" si="237"/>
        <v/>
      </c>
      <c r="IX782" s="873" t="str">
        <f t="shared" si="238"/>
        <v/>
      </c>
      <c r="IY782" s="873" t="str">
        <f t="shared" si="239"/>
        <v/>
      </c>
      <c r="IZ782" s="873" t="str">
        <f t="shared" si="240"/>
        <v/>
      </c>
      <c r="JA782" s="873" t="str">
        <f t="shared" si="241"/>
        <v/>
      </c>
      <c r="JB782" s="873" t="str">
        <f t="shared" si="242"/>
        <v/>
      </c>
      <c r="JC782" s="2253">
        <f t="shared" si="243"/>
        <v>0</v>
      </c>
      <c r="JD782" s="2253">
        <f t="shared" si="244"/>
        <v>0</v>
      </c>
      <c r="JE782" s="2253">
        <f t="shared" si="245"/>
        <v>0</v>
      </c>
      <c r="JF782" s="2253">
        <f t="shared" si="246"/>
        <v>0</v>
      </c>
      <c r="JG782" s="2253">
        <f t="shared" si="247"/>
        <v>0</v>
      </c>
      <c r="JH782" s="2253">
        <f t="shared" si="248"/>
        <v>0</v>
      </c>
      <c r="JI782" s="2253">
        <f t="shared" si="249"/>
        <v>0</v>
      </c>
      <c r="JJ782" s="2253">
        <f t="shared" si="250"/>
        <v>0</v>
      </c>
      <c r="JK782" s="2253">
        <f t="shared" si="251"/>
        <v>0</v>
      </c>
      <c r="JL782" s="2253">
        <f t="shared" si="252"/>
        <v>0</v>
      </c>
      <c r="JM782" s="2253">
        <f t="shared" si="253"/>
        <v>0</v>
      </c>
      <c r="JN782" s="2253">
        <f t="shared" si="254"/>
        <v>0</v>
      </c>
      <c r="JO782" s="2253">
        <f t="shared" si="255"/>
        <v>0</v>
      </c>
      <c r="JP782" s="2253">
        <f t="shared" si="256"/>
        <v>0</v>
      </c>
      <c r="JQ782" s="2253">
        <f t="shared" si="257"/>
        <v>0</v>
      </c>
    </row>
    <row r="783" spans="1:277" ht="12" customHeight="1">
      <c r="A783" s="2258" t="str">
        <f t="shared" si="0"/>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1"/>
        <v>0</v>
      </c>
      <c r="L783" s="2284">
        <f t="shared" si="2"/>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3" t="str">
        <f t="shared" si="3"/>
        <v/>
      </c>
      <c r="X783" s="873" t="str">
        <f t="shared" si="4"/>
        <v/>
      </c>
      <c r="Y783" s="873" t="str">
        <f t="shared" si="5"/>
        <v/>
      </c>
      <c r="Z783" s="873" t="str">
        <f t="shared" si="6"/>
        <v/>
      </c>
      <c r="AA783" s="873" t="str">
        <f t="shared" si="7"/>
        <v/>
      </c>
      <c r="AB783" s="873" t="str">
        <f t="shared" si="8"/>
        <v/>
      </c>
      <c r="AC783" s="873" t="str">
        <f t="shared" si="9"/>
        <v/>
      </c>
      <c r="AD783" s="873" t="str">
        <f t="shared" si="10"/>
        <v/>
      </c>
      <c r="AE783" s="873" t="str">
        <f t="shared" si="11"/>
        <v/>
      </c>
      <c r="AF783" s="873" t="str">
        <f t="shared" si="12"/>
        <v/>
      </c>
      <c r="AG783" s="873" t="str">
        <f t="shared" si="13"/>
        <v/>
      </c>
      <c r="AH783" s="873" t="str">
        <f t="shared" si="14"/>
        <v/>
      </c>
      <c r="AI783" s="873" t="str">
        <f t="shared" si="15"/>
        <v/>
      </c>
      <c r="AJ783" s="873" t="str">
        <f t="shared" si="16"/>
        <v/>
      </c>
      <c r="AK783" s="873" t="str">
        <f t="shared" si="17"/>
        <v/>
      </c>
      <c r="AL783" s="873" t="str">
        <f t="shared" si="18"/>
        <v/>
      </c>
      <c r="AM783" s="873" t="str">
        <f t="shared" si="19"/>
        <v/>
      </c>
      <c r="AN783" s="873" t="str">
        <f t="shared" si="20"/>
        <v/>
      </c>
      <c r="AO783" s="873" t="str">
        <f t="shared" si="21"/>
        <v/>
      </c>
      <c r="AP783" s="873" t="str">
        <f t="shared" si="22"/>
        <v/>
      </c>
      <c r="AQ783" s="873" t="str">
        <f t="shared" si="23"/>
        <v/>
      </c>
      <c r="AR783" s="873" t="str">
        <f t="shared" si="24"/>
        <v/>
      </c>
      <c r="AS783" s="873" t="str">
        <f t="shared" si="25"/>
        <v/>
      </c>
      <c r="AT783" s="873" t="str">
        <f t="shared" si="26"/>
        <v/>
      </c>
      <c r="AU783" s="873" t="str">
        <f t="shared" si="27"/>
        <v/>
      </c>
      <c r="AV783" s="873" t="str">
        <f t="shared" si="28"/>
        <v/>
      </c>
      <c r="AW783" s="873" t="str">
        <f t="shared" si="29"/>
        <v/>
      </c>
      <c r="AX783" s="873" t="str">
        <f t="shared" si="30"/>
        <v/>
      </c>
      <c r="AY783" s="873" t="str">
        <f t="shared" si="31"/>
        <v/>
      </c>
      <c r="AZ783" s="873" t="str">
        <f t="shared" si="32"/>
        <v/>
      </c>
      <c r="BA783" s="873" t="str">
        <f t="shared" si="33"/>
        <v/>
      </c>
      <c r="BB783" s="873" t="str">
        <f t="shared" si="34"/>
        <v/>
      </c>
      <c r="BC783" s="873" t="str">
        <f t="shared" si="35"/>
        <v/>
      </c>
      <c r="BD783" s="873" t="str">
        <f t="shared" si="36"/>
        <v/>
      </c>
      <c r="BE783" s="873" t="str">
        <f t="shared" si="37"/>
        <v/>
      </c>
      <c r="BF783" s="873" t="str">
        <f t="shared" si="38"/>
        <v/>
      </c>
      <c r="BG783" s="873" t="str">
        <f t="shared" si="39"/>
        <v/>
      </c>
      <c r="BH783" s="873" t="str">
        <f t="shared" si="40"/>
        <v/>
      </c>
      <c r="BI783" s="873" t="str">
        <f t="shared" si="41"/>
        <v/>
      </c>
      <c r="BJ783" s="873" t="str">
        <f t="shared" si="42"/>
        <v/>
      </c>
      <c r="BK783" s="873" t="str">
        <f t="shared" si="43"/>
        <v/>
      </c>
      <c r="BL783" s="873" t="str">
        <f t="shared" si="44"/>
        <v/>
      </c>
      <c r="BM783" s="873" t="str">
        <f t="shared" si="45"/>
        <v/>
      </c>
      <c r="BN783" s="873" t="str">
        <f t="shared" si="46"/>
        <v/>
      </c>
      <c r="BO783" s="873" t="str">
        <f t="shared" si="47"/>
        <v/>
      </c>
      <c r="BP783" s="873" t="str">
        <f t="shared" si="48"/>
        <v/>
      </c>
      <c r="BQ783" s="873" t="str">
        <f t="shared" si="49"/>
        <v/>
      </c>
      <c r="BR783" s="873" t="str">
        <f t="shared" si="50"/>
        <v/>
      </c>
      <c r="BS783" s="873" t="str">
        <f t="shared" si="51"/>
        <v/>
      </c>
      <c r="BT783" s="873" t="str">
        <f t="shared" si="52"/>
        <v/>
      </c>
      <c r="BU783" s="873" t="str">
        <f t="shared" si="53"/>
        <v/>
      </c>
      <c r="BV783" s="873" t="str">
        <f t="shared" si="54"/>
        <v/>
      </c>
      <c r="BW783" s="873" t="str">
        <f t="shared" si="55"/>
        <v/>
      </c>
      <c r="BX783" s="873" t="str">
        <f t="shared" si="56"/>
        <v/>
      </c>
      <c r="BY783" s="873" t="str">
        <f t="shared" si="57"/>
        <v/>
      </c>
      <c r="BZ783" s="873" t="str">
        <f t="shared" si="58"/>
        <v/>
      </c>
      <c r="CA783" s="873" t="str">
        <f t="shared" si="59"/>
        <v/>
      </c>
      <c r="CB783" s="873" t="str">
        <f t="shared" si="60"/>
        <v/>
      </c>
      <c r="CC783" s="873" t="str">
        <f t="shared" si="61"/>
        <v/>
      </c>
      <c r="CD783" s="873" t="str">
        <f t="shared" si="62"/>
        <v/>
      </c>
      <c r="CE783" s="873" t="str">
        <f t="shared" si="63"/>
        <v/>
      </c>
      <c r="CF783" s="873" t="str">
        <f t="shared" si="64"/>
        <v/>
      </c>
      <c r="CG783" s="873" t="str">
        <f t="shared" si="65"/>
        <v/>
      </c>
      <c r="CH783" s="873" t="str">
        <f t="shared" si="66"/>
        <v/>
      </c>
      <c r="CI783" s="873" t="str">
        <f t="shared" si="67"/>
        <v/>
      </c>
      <c r="CJ783" s="873" t="str">
        <f t="shared" si="68"/>
        <v/>
      </c>
      <c r="CK783" s="873" t="str">
        <f t="shared" si="69"/>
        <v/>
      </c>
      <c r="CL783" s="873" t="str">
        <f t="shared" si="70"/>
        <v/>
      </c>
      <c r="CM783" s="873" t="str">
        <f t="shared" si="71"/>
        <v/>
      </c>
      <c r="CN783" s="873" t="str">
        <f t="shared" si="72"/>
        <v/>
      </c>
      <c r="CO783" s="873" t="str">
        <f t="shared" si="73"/>
        <v/>
      </c>
      <c r="CP783" s="873" t="str">
        <f t="shared" si="74"/>
        <v/>
      </c>
      <c r="CQ783" s="873" t="str">
        <f t="shared" si="75"/>
        <v/>
      </c>
      <c r="CR783" s="873" t="str">
        <f t="shared" si="76"/>
        <v/>
      </c>
      <c r="CS783" s="873" t="str">
        <f t="shared" si="77"/>
        <v/>
      </c>
      <c r="CT783" s="873" t="str">
        <f t="shared" si="78"/>
        <v/>
      </c>
      <c r="CU783" s="873" t="str">
        <f t="shared" si="79"/>
        <v/>
      </c>
      <c r="CV783" s="873" t="str">
        <f t="shared" si="80"/>
        <v/>
      </c>
      <c r="CW783" s="873" t="str">
        <f t="shared" si="81"/>
        <v/>
      </c>
      <c r="CX783" s="873" t="str">
        <f t="shared" si="82"/>
        <v/>
      </c>
      <c r="CY783" s="873" t="str">
        <f t="shared" si="83"/>
        <v/>
      </c>
      <c r="CZ783" s="873" t="str">
        <f t="shared" si="84"/>
        <v/>
      </c>
      <c r="DA783" s="873" t="str">
        <f t="shared" si="85"/>
        <v/>
      </c>
      <c r="DB783" s="873" t="str">
        <f t="shared" si="86"/>
        <v/>
      </c>
      <c r="DC783" s="873" t="str">
        <f t="shared" si="87"/>
        <v/>
      </c>
      <c r="DD783" s="873" t="str">
        <f t="shared" si="88"/>
        <v/>
      </c>
      <c r="DE783" s="873" t="str">
        <f t="shared" si="89"/>
        <v/>
      </c>
      <c r="DF783" s="873" t="str">
        <f t="shared" si="90"/>
        <v/>
      </c>
      <c r="DG783" s="873" t="str">
        <f t="shared" si="91"/>
        <v/>
      </c>
      <c r="DH783" s="873" t="str">
        <f t="shared" si="92"/>
        <v/>
      </c>
      <c r="DI783" s="873" t="str">
        <f t="shared" si="93"/>
        <v/>
      </c>
      <c r="DJ783" s="873" t="str">
        <f t="shared" si="94"/>
        <v/>
      </c>
      <c r="DK783" s="873" t="str">
        <f t="shared" si="95"/>
        <v/>
      </c>
      <c r="DL783" s="873" t="str">
        <f t="shared" si="96"/>
        <v/>
      </c>
      <c r="DM783" s="873" t="str">
        <f t="shared" si="97"/>
        <v/>
      </c>
      <c r="DN783" s="873" t="str">
        <f t="shared" si="98"/>
        <v/>
      </c>
      <c r="DO783" s="873" t="str">
        <f t="shared" si="99"/>
        <v/>
      </c>
      <c r="DP783" s="873" t="str">
        <f t="shared" si="100"/>
        <v/>
      </c>
      <c r="DQ783" s="873" t="str">
        <f t="shared" si="101"/>
        <v/>
      </c>
      <c r="DR783" s="873" t="str">
        <f t="shared" si="102"/>
        <v/>
      </c>
      <c r="DS783" s="873" t="str">
        <f t="shared" si="103"/>
        <v/>
      </c>
      <c r="DT783" s="873" t="str">
        <f t="shared" si="104"/>
        <v/>
      </c>
      <c r="DU783" s="873" t="str">
        <f t="shared" si="105"/>
        <v/>
      </c>
      <c r="DV783" s="873" t="str">
        <f t="shared" si="106"/>
        <v/>
      </c>
      <c r="DW783" s="873" t="str">
        <f t="shared" si="107"/>
        <v/>
      </c>
      <c r="DX783" s="873" t="str">
        <f t="shared" si="108"/>
        <v/>
      </c>
      <c r="DY783" s="873" t="str">
        <f t="shared" si="109"/>
        <v/>
      </c>
      <c r="DZ783" s="873" t="str">
        <f t="shared" si="110"/>
        <v/>
      </c>
      <c r="EA783" s="873" t="str">
        <f t="shared" si="111"/>
        <v/>
      </c>
      <c r="EB783" s="873" t="str">
        <f t="shared" si="112"/>
        <v/>
      </c>
      <c r="EC783" s="873" t="str">
        <f t="shared" si="113"/>
        <v/>
      </c>
      <c r="ED783" s="873" t="str">
        <f t="shared" si="114"/>
        <v/>
      </c>
      <c r="EE783" s="873" t="str">
        <f t="shared" si="115"/>
        <v/>
      </c>
      <c r="EF783" s="873" t="str">
        <f t="shared" si="116"/>
        <v/>
      </c>
      <c r="EG783" s="873" t="str">
        <f t="shared" si="117"/>
        <v/>
      </c>
      <c r="EH783" s="873" t="str">
        <f t="shared" si="118"/>
        <v/>
      </c>
      <c r="EI783" s="873" t="str">
        <f t="shared" si="119"/>
        <v/>
      </c>
      <c r="EJ783" s="873" t="str">
        <f t="shared" si="120"/>
        <v/>
      </c>
      <c r="EK783" s="873" t="str">
        <f t="shared" si="121"/>
        <v/>
      </c>
      <c r="EL783" s="873" t="str">
        <f t="shared" si="122"/>
        <v/>
      </c>
      <c r="EM783" s="873" t="str">
        <f t="shared" si="123"/>
        <v/>
      </c>
      <c r="EN783" s="873" t="str">
        <f t="shared" si="124"/>
        <v/>
      </c>
      <c r="EO783" s="873" t="str">
        <f t="shared" si="125"/>
        <v/>
      </c>
      <c r="EP783" s="873" t="str">
        <f t="shared" si="126"/>
        <v/>
      </c>
      <c r="EQ783" s="873" t="str">
        <f t="shared" si="127"/>
        <v/>
      </c>
      <c r="ER783" s="873" t="str">
        <f t="shared" si="128"/>
        <v/>
      </c>
      <c r="ES783" s="873" t="str">
        <f t="shared" si="129"/>
        <v/>
      </c>
      <c r="ET783" s="873" t="str">
        <f t="shared" si="130"/>
        <v/>
      </c>
      <c r="EU783" s="873" t="str">
        <f t="shared" si="131"/>
        <v/>
      </c>
      <c r="EV783" s="873" t="str">
        <f t="shared" si="132"/>
        <v/>
      </c>
      <c r="EW783" s="2288" t="str">
        <f t="shared" si="133"/>
        <v/>
      </c>
      <c r="EX783" s="2288" t="str">
        <f t="shared" si="134"/>
        <v/>
      </c>
      <c r="EY783" s="2288" t="str">
        <f t="shared" si="135"/>
        <v/>
      </c>
      <c r="EZ783" s="2288" t="str">
        <f t="shared" si="136"/>
        <v/>
      </c>
      <c r="FA783" s="2288" t="str">
        <f t="shared" si="137"/>
        <v/>
      </c>
      <c r="FB783" s="2288" t="str">
        <f t="shared" si="138"/>
        <v/>
      </c>
      <c r="FC783" s="2288" t="str">
        <f t="shared" si="139"/>
        <v/>
      </c>
      <c r="FD783" s="2288" t="str">
        <f t="shared" si="140"/>
        <v/>
      </c>
      <c r="FE783" s="2288" t="str">
        <f t="shared" si="141"/>
        <v/>
      </c>
      <c r="FF783" s="2288" t="str">
        <f t="shared" si="142"/>
        <v/>
      </c>
      <c r="FG783" s="2288" t="str">
        <f t="shared" si="143"/>
        <v/>
      </c>
      <c r="FH783" s="2288" t="str">
        <f t="shared" si="144"/>
        <v/>
      </c>
      <c r="FI783" s="2288" t="str">
        <f t="shared" si="145"/>
        <v/>
      </c>
      <c r="FJ783" s="2288" t="str">
        <f t="shared" si="146"/>
        <v/>
      </c>
      <c r="FK783" s="2288" t="str">
        <f t="shared" si="147"/>
        <v/>
      </c>
      <c r="FL783" s="2288" t="str">
        <f t="shared" si="148"/>
        <v/>
      </c>
      <c r="FM783" s="2288" t="str">
        <f t="shared" si="149"/>
        <v/>
      </c>
      <c r="FN783" s="2288" t="str">
        <f t="shared" si="150"/>
        <v/>
      </c>
      <c r="FO783" s="2288" t="str">
        <f t="shared" si="151"/>
        <v/>
      </c>
      <c r="FP783" s="2288" t="str">
        <f t="shared" si="152"/>
        <v/>
      </c>
      <c r="FQ783" s="2288" t="str">
        <f t="shared" si="153"/>
        <v/>
      </c>
      <c r="FR783" s="2288" t="str">
        <f t="shared" si="154"/>
        <v/>
      </c>
      <c r="FS783" s="2288" t="str">
        <f t="shared" si="155"/>
        <v/>
      </c>
      <c r="FT783" s="2288" t="str">
        <f t="shared" si="156"/>
        <v/>
      </c>
      <c r="FU783" s="2288" t="str">
        <f t="shared" si="157"/>
        <v/>
      </c>
      <c r="FV783" s="2288" t="str">
        <f t="shared" si="158"/>
        <v/>
      </c>
      <c r="FW783" s="2288" t="str">
        <f t="shared" si="159"/>
        <v/>
      </c>
      <c r="FX783" s="2288" t="str">
        <f t="shared" si="160"/>
        <v/>
      </c>
      <c r="FY783" s="2288" t="str">
        <f t="shared" si="161"/>
        <v/>
      </c>
      <c r="FZ783" s="2288" t="str">
        <f t="shared" si="162"/>
        <v/>
      </c>
      <c r="GA783" s="2288" t="str">
        <f t="shared" si="163"/>
        <v/>
      </c>
      <c r="GB783" s="2288" t="str">
        <f t="shared" si="164"/>
        <v/>
      </c>
      <c r="GC783" s="2288" t="str">
        <f t="shared" si="165"/>
        <v/>
      </c>
      <c r="GD783" s="2288" t="str">
        <f t="shared" si="166"/>
        <v/>
      </c>
      <c r="GE783" s="2288" t="str">
        <f t="shared" si="167"/>
        <v/>
      </c>
      <c r="GF783" s="2288" t="str">
        <f t="shared" si="168"/>
        <v/>
      </c>
      <c r="GG783" s="2288" t="str">
        <f t="shared" si="169"/>
        <v/>
      </c>
      <c r="GH783" s="2288" t="str">
        <f t="shared" si="170"/>
        <v/>
      </c>
      <c r="GI783" s="2288" t="str">
        <f t="shared" si="171"/>
        <v/>
      </c>
      <c r="GJ783" s="2288" t="str">
        <f t="shared" si="172"/>
        <v/>
      </c>
      <c r="GK783" s="2288" t="str">
        <f t="shared" si="173"/>
        <v/>
      </c>
      <c r="GL783" s="2288" t="str">
        <f t="shared" si="174"/>
        <v/>
      </c>
      <c r="GM783" s="2288" t="str">
        <f t="shared" si="175"/>
        <v/>
      </c>
      <c r="GN783" s="2288" t="str">
        <f t="shared" si="176"/>
        <v/>
      </c>
      <c r="GO783" s="2288" t="str">
        <f t="shared" si="177"/>
        <v/>
      </c>
      <c r="GP783" s="2288" t="str">
        <f t="shared" si="178"/>
        <v/>
      </c>
      <c r="GQ783" s="2288" t="str">
        <f t="shared" si="179"/>
        <v/>
      </c>
      <c r="GR783" s="2288" t="str">
        <f t="shared" si="180"/>
        <v/>
      </c>
      <c r="GS783" s="2288" t="str">
        <f t="shared" si="181"/>
        <v/>
      </c>
      <c r="GT783" s="2288" t="str">
        <f t="shared" si="182"/>
        <v/>
      </c>
      <c r="GU783" s="2288" t="str">
        <f t="shared" si="183"/>
        <v/>
      </c>
      <c r="GV783" s="2288" t="str">
        <f t="shared" si="184"/>
        <v/>
      </c>
      <c r="GW783" s="2288" t="str">
        <f t="shared" si="185"/>
        <v/>
      </c>
      <c r="GX783" s="2288" t="str">
        <f t="shared" si="186"/>
        <v/>
      </c>
      <c r="GY783" s="2288" t="str">
        <f t="shared" si="187"/>
        <v/>
      </c>
      <c r="GZ783" s="2288" t="str">
        <f t="shared" si="188"/>
        <v/>
      </c>
      <c r="HA783" s="2288" t="str">
        <f t="shared" si="189"/>
        <v/>
      </c>
      <c r="HB783" s="2288" t="str">
        <f t="shared" si="190"/>
        <v/>
      </c>
      <c r="HC783" s="2288" t="str">
        <f t="shared" si="191"/>
        <v/>
      </c>
      <c r="HD783" s="2288" t="str">
        <f t="shared" si="192"/>
        <v/>
      </c>
      <c r="HE783" s="2288" t="str">
        <f t="shared" si="193"/>
        <v/>
      </c>
      <c r="HF783" s="2288" t="str">
        <f t="shared" si="194"/>
        <v/>
      </c>
      <c r="HG783" s="2288" t="str">
        <f t="shared" si="195"/>
        <v/>
      </c>
      <c r="HH783" s="2288" t="str">
        <f t="shared" si="196"/>
        <v/>
      </c>
      <c r="HI783" s="2288" t="str">
        <f t="shared" si="197"/>
        <v/>
      </c>
      <c r="HJ783" s="2288" t="str">
        <f t="shared" si="198"/>
        <v/>
      </c>
      <c r="HK783" s="2288" t="str">
        <f t="shared" si="199"/>
        <v/>
      </c>
      <c r="HL783" s="2288" t="str">
        <f t="shared" si="200"/>
        <v/>
      </c>
      <c r="HM783" s="2288" t="str">
        <f t="shared" si="201"/>
        <v/>
      </c>
      <c r="HN783" s="2288" t="str">
        <f t="shared" si="202"/>
        <v/>
      </c>
      <c r="HO783" s="2288" t="str">
        <f t="shared" si="203"/>
        <v/>
      </c>
      <c r="HP783" s="2288" t="str">
        <f t="shared" si="204"/>
        <v/>
      </c>
      <c r="HQ783" s="2288" t="str">
        <f t="shared" si="205"/>
        <v/>
      </c>
      <c r="HR783" s="2288" t="str">
        <f t="shared" si="206"/>
        <v/>
      </c>
      <c r="HS783" s="2288" t="str">
        <f t="shared" si="207"/>
        <v/>
      </c>
      <c r="HT783" s="2288" t="str">
        <f t="shared" si="208"/>
        <v/>
      </c>
      <c r="HU783" s="2288" t="str">
        <f t="shared" si="209"/>
        <v/>
      </c>
      <c r="HV783" s="2288" t="str">
        <f t="shared" si="210"/>
        <v/>
      </c>
      <c r="HW783" s="2288" t="str">
        <f t="shared" si="211"/>
        <v/>
      </c>
      <c r="HX783" s="2288" t="str">
        <f t="shared" si="212"/>
        <v/>
      </c>
      <c r="HY783" s="2288" t="str">
        <f t="shared" si="213"/>
        <v/>
      </c>
      <c r="HZ783" s="2288" t="str">
        <f t="shared" si="214"/>
        <v/>
      </c>
      <c r="IA783" s="2288" t="str">
        <f t="shared" si="215"/>
        <v/>
      </c>
      <c r="IB783" s="2288" t="str">
        <f t="shared" si="216"/>
        <v/>
      </c>
      <c r="IC783" s="2288" t="str">
        <f t="shared" si="217"/>
        <v/>
      </c>
      <c r="ID783" s="2255" t="str">
        <f t="shared" si="218"/>
        <v/>
      </c>
      <c r="IE783" s="2255" t="str">
        <f t="shared" si="219"/>
        <v/>
      </c>
      <c r="IF783" s="2255" t="str">
        <f t="shared" si="220"/>
        <v/>
      </c>
      <c r="IG783" s="2255" t="str">
        <f t="shared" si="221"/>
        <v/>
      </c>
      <c r="IH783" s="2255" t="str">
        <f t="shared" si="222"/>
        <v/>
      </c>
      <c r="II783" s="873" t="str">
        <f t="shared" si="223"/>
        <v/>
      </c>
      <c r="IJ783" s="873" t="str">
        <f t="shared" si="224"/>
        <v/>
      </c>
      <c r="IK783" s="873" t="str">
        <f t="shared" si="225"/>
        <v/>
      </c>
      <c r="IL783" s="873" t="str">
        <f t="shared" si="226"/>
        <v/>
      </c>
      <c r="IM783" s="873" t="str">
        <f t="shared" si="227"/>
        <v/>
      </c>
      <c r="IN783" s="873" t="str">
        <f t="shared" si="228"/>
        <v/>
      </c>
      <c r="IO783" s="873" t="str">
        <f t="shared" si="229"/>
        <v/>
      </c>
      <c r="IP783" s="873" t="str">
        <f t="shared" si="230"/>
        <v/>
      </c>
      <c r="IQ783" s="873" t="str">
        <f t="shared" si="231"/>
        <v/>
      </c>
      <c r="IR783" s="873" t="str">
        <f t="shared" si="232"/>
        <v/>
      </c>
      <c r="IS783" s="873" t="str">
        <f t="shared" si="233"/>
        <v/>
      </c>
      <c r="IT783" s="873" t="str">
        <f t="shared" si="234"/>
        <v/>
      </c>
      <c r="IU783" s="873" t="str">
        <f t="shared" si="235"/>
        <v/>
      </c>
      <c r="IV783" s="873" t="str">
        <f t="shared" si="236"/>
        <v/>
      </c>
      <c r="IW783" s="873" t="str">
        <f t="shared" si="237"/>
        <v/>
      </c>
      <c r="IX783" s="873" t="str">
        <f t="shared" si="238"/>
        <v/>
      </c>
      <c r="IY783" s="873" t="str">
        <f t="shared" si="239"/>
        <v/>
      </c>
      <c r="IZ783" s="873" t="str">
        <f t="shared" si="240"/>
        <v/>
      </c>
      <c r="JA783" s="873" t="str">
        <f t="shared" si="241"/>
        <v/>
      </c>
      <c r="JB783" s="873" t="str">
        <f t="shared" si="242"/>
        <v/>
      </c>
      <c r="JC783" s="2253">
        <f t="shared" si="243"/>
        <v>0</v>
      </c>
      <c r="JD783" s="2253">
        <f t="shared" si="244"/>
        <v>0</v>
      </c>
      <c r="JE783" s="2253">
        <f t="shared" si="245"/>
        <v>0</v>
      </c>
      <c r="JF783" s="2253">
        <f t="shared" si="246"/>
        <v>0</v>
      </c>
      <c r="JG783" s="2253">
        <f t="shared" si="247"/>
        <v>0</v>
      </c>
      <c r="JH783" s="2253">
        <f t="shared" si="248"/>
        <v>0</v>
      </c>
      <c r="JI783" s="2253">
        <f t="shared" si="249"/>
        <v>0</v>
      </c>
      <c r="JJ783" s="2253">
        <f t="shared" si="250"/>
        <v>0</v>
      </c>
      <c r="JK783" s="2253">
        <f t="shared" si="251"/>
        <v>0</v>
      </c>
      <c r="JL783" s="2253">
        <f t="shared" si="252"/>
        <v>0</v>
      </c>
      <c r="JM783" s="2253">
        <f t="shared" si="253"/>
        <v>0</v>
      </c>
      <c r="JN783" s="2253">
        <f t="shared" si="254"/>
        <v>0</v>
      </c>
      <c r="JO783" s="2253">
        <f t="shared" si="255"/>
        <v>0</v>
      </c>
      <c r="JP783" s="2253">
        <f t="shared" si="256"/>
        <v>0</v>
      </c>
      <c r="JQ783" s="2253">
        <f t="shared" si="257"/>
        <v>0</v>
      </c>
    </row>
    <row r="784" spans="1:277" ht="12" customHeight="1">
      <c r="A784" s="2258" t="str">
        <f t="shared" si="0"/>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1"/>
        <v>0</v>
      </c>
      <c r="L784" s="2284">
        <f t="shared" si="2"/>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3" t="str">
        <f t="shared" si="3"/>
        <v/>
      </c>
      <c r="X784" s="873" t="str">
        <f t="shared" si="4"/>
        <v/>
      </c>
      <c r="Y784" s="873" t="str">
        <f t="shared" si="5"/>
        <v/>
      </c>
      <c r="Z784" s="873" t="str">
        <f t="shared" si="6"/>
        <v/>
      </c>
      <c r="AA784" s="873" t="str">
        <f t="shared" si="7"/>
        <v/>
      </c>
      <c r="AB784" s="873" t="str">
        <f t="shared" si="8"/>
        <v/>
      </c>
      <c r="AC784" s="873" t="str">
        <f t="shared" si="9"/>
        <v/>
      </c>
      <c r="AD784" s="873" t="str">
        <f t="shared" si="10"/>
        <v/>
      </c>
      <c r="AE784" s="873" t="str">
        <f t="shared" si="11"/>
        <v/>
      </c>
      <c r="AF784" s="873" t="str">
        <f t="shared" si="12"/>
        <v/>
      </c>
      <c r="AG784" s="873" t="str">
        <f t="shared" si="13"/>
        <v/>
      </c>
      <c r="AH784" s="873" t="str">
        <f t="shared" si="14"/>
        <v/>
      </c>
      <c r="AI784" s="873" t="str">
        <f t="shared" si="15"/>
        <v/>
      </c>
      <c r="AJ784" s="873" t="str">
        <f t="shared" si="16"/>
        <v/>
      </c>
      <c r="AK784" s="873" t="str">
        <f t="shared" si="17"/>
        <v/>
      </c>
      <c r="AL784" s="873" t="str">
        <f t="shared" si="18"/>
        <v/>
      </c>
      <c r="AM784" s="873" t="str">
        <f t="shared" si="19"/>
        <v/>
      </c>
      <c r="AN784" s="873" t="str">
        <f t="shared" si="20"/>
        <v/>
      </c>
      <c r="AO784" s="873" t="str">
        <f t="shared" si="21"/>
        <v/>
      </c>
      <c r="AP784" s="873" t="str">
        <f t="shared" si="22"/>
        <v/>
      </c>
      <c r="AQ784" s="873" t="str">
        <f t="shared" si="23"/>
        <v/>
      </c>
      <c r="AR784" s="873" t="str">
        <f t="shared" si="24"/>
        <v/>
      </c>
      <c r="AS784" s="873" t="str">
        <f t="shared" si="25"/>
        <v/>
      </c>
      <c r="AT784" s="873" t="str">
        <f t="shared" si="26"/>
        <v/>
      </c>
      <c r="AU784" s="873" t="str">
        <f t="shared" si="27"/>
        <v/>
      </c>
      <c r="AV784" s="873" t="str">
        <f t="shared" si="28"/>
        <v/>
      </c>
      <c r="AW784" s="873" t="str">
        <f t="shared" si="29"/>
        <v/>
      </c>
      <c r="AX784" s="873" t="str">
        <f t="shared" si="30"/>
        <v/>
      </c>
      <c r="AY784" s="873" t="str">
        <f t="shared" si="31"/>
        <v/>
      </c>
      <c r="AZ784" s="873" t="str">
        <f t="shared" si="32"/>
        <v/>
      </c>
      <c r="BA784" s="873" t="str">
        <f t="shared" si="33"/>
        <v/>
      </c>
      <c r="BB784" s="873" t="str">
        <f t="shared" si="34"/>
        <v/>
      </c>
      <c r="BC784" s="873" t="str">
        <f t="shared" si="35"/>
        <v/>
      </c>
      <c r="BD784" s="873" t="str">
        <f t="shared" si="36"/>
        <v/>
      </c>
      <c r="BE784" s="873" t="str">
        <f t="shared" si="37"/>
        <v/>
      </c>
      <c r="BF784" s="873" t="str">
        <f t="shared" si="38"/>
        <v/>
      </c>
      <c r="BG784" s="873" t="str">
        <f t="shared" si="39"/>
        <v/>
      </c>
      <c r="BH784" s="873" t="str">
        <f t="shared" si="40"/>
        <v/>
      </c>
      <c r="BI784" s="873" t="str">
        <f t="shared" si="41"/>
        <v/>
      </c>
      <c r="BJ784" s="873" t="str">
        <f t="shared" si="42"/>
        <v/>
      </c>
      <c r="BK784" s="873" t="str">
        <f t="shared" si="43"/>
        <v/>
      </c>
      <c r="BL784" s="873" t="str">
        <f t="shared" si="44"/>
        <v/>
      </c>
      <c r="BM784" s="873" t="str">
        <f t="shared" si="45"/>
        <v/>
      </c>
      <c r="BN784" s="873" t="str">
        <f t="shared" si="46"/>
        <v/>
      </c>
      <c r="BO784" s="873" t="str">
        <f t="shared" si="47"/>
        <v/>
      </c>
      <c r="BP784" s="873" t="str">
        <f t="shared" si="48"/>
        <v/>
      </c>
      <c r="BQ784" s="873" t="str">
        <f t="shared" si="49"/>
        <v/>
      </c>
      <c r="BR784" s="873" t="str">
        <f t="shared" si="50"/>
        <v/>
      </c>
      <c r="BS784" s="873" t="str">
        <f t="shared" si="51"/>
        <v/>
      </c>
      <c r="BT784" s="873" t="str">
        <f t="shared" si="52"/>
        <v/>
      </c>
      <c r="BU784" s="873" t="str">
        <f t="shared" si="53"/>
        <v/>
      </c>
      <c r="BV784" s="873" t="str">
        <f t="shared" si="54"/>
        <v/>
      </c>
      <c r="BW784" s="873" t="str">
        <f t="shared" si="55"/>
        <v/>
      </c>
      <c r="BX784" s="873" t="str">
        <f t="shared" si="56"/>
        <v/>
      </c>
      <c r="BY784" s="873" t="str">
        <f t="shared" si="57"/>
        <v/>
      </c>
      <c r="BZ784" s="873" t="str">
        <f t="shared" si="58"/>
        <v/>
      </c>
      <c r="CA784" s="873" t="str">
        <f t="shared" si="59"/>
        <v/>
      </c>
      <c r="CB784" s="873" t="str">
        <f t="shared" si="60"/>
        <v/>
      </c>
      <c r="CC784" s="873" t="str">
        <f t="shared" si="61"/>
        <v/>
      </c>
      <c r="CD784" s="873" t="str">
        <f t="shared" si="62"/>
        <v/>
      </c>
      <c r="CE784" s="873" t="str">
        <f t="shared" si="63"/>
        <v/>
      </c>
      <c r="CF784" s="873" t="str">
        <f t="shared" si="64"/>
        <v/>
      </c>
      <c r="CG784" s="873" t="str">
        <f t="shared" si="65"/>
        <v/>
      </c>
      <c r="CH784" s="873" t="str">
        <f t="shared" si="66"/>
        <v/>
      </c>
      <c r="CI784" s="873" t="str">
        <f t="shared" si="67"/>
        <v/>
      </c>
      <c r="CJ784" s="873" t="str">
        <f t="shared" si="68"/>
        <v/>
      </c>
      <c r="CK784" s="873" t="str">
        <f t="shared" si="69"/>
        <v/>
      </c>
      <c r="CL784" s="873" t="str">
        <f t="shared" si="70"/>
        <v/>
      </c>
      <c r="CM784" s="873" t="str">
        <f t="shared" si="71"/>
        <v/>
      </c>
      <c r="CN784" s="873" t="str">
        <f t="shared" si="72"/>
        <v/>
      </c>
      <c r="CO784" s="873" t="str">
        <f t="shared" si="73"/>
        <v/>
      </c>
      <c r="CP784" s="873" t="str">
        <f t="shared" si="74"/>
        <v/>
      </c>
      <c r="CQ784" s="873" t="str">
        <f t="shared" si="75"/>
        <v/>
      </c>
      <c r="CR784" s="873" t="str">
        <f t="shared" si="76"/>
        <v/>
      </c>
      <c r="CS784" s="873" t="str">
        <f t="shared" si="77"/>
        <v/>
      </c>
      <c r="CT784" s="873" t="str">
        <f t="shared" si="78"/>
        <v/>
      </c>
      <c r="CU784" s="873" t="str">
        <f t="shared" si="79"/>
        <v/>
      </c>
      <c r="CV784" s="873" t="str">
        <f t="shared" si="80"/>
        <v/>
      </c>
      <c r="CW784" s="873" t="str">
        <f t="shared" si="81"/>
        <v/>
      </c>
      <c r="CX784" s="873" t="str">
        <f t="shared" si="82"/>
        <v/>
      </c>
      <c r="CY784" s="873" t="str">
        <f t="shared" si="83"/>
        <v/>
      </c>
      <c r="CZ784" s="873" t="str">
        <f t="shared" si="84"/>
        <v/>
      </c>
      <c r="DA784" s="873" t="str">
        <f t="shared" si="85"/>
        <v/>
      </c>
      <c r="DB784" s="873" t="str">
        <f t="shared" si="86"/>
        <v/>
      </c>
      <c r="DC784" s="873" t="str">
        <f t="shared" si="87"/>
        <v/>
      </c>
      <c r="DD784" s="873" t="str">
        <f t="shared" si="88"/>
        <v/>
      </c>
      <c r="DE784" s="873" t="str">
        <f t="shared" si="89"/>
        <v/>
      </c>
      <c r="DF784" s="873" t="str">
        <f t="shared" si="90"/>
        <v/>
      </c>
      <c r="DG784" s="873" t="str">
        <f t="shared" si="91"/>
        <v/>
      </c>
      <c r="DH784" s="873" t="str">
        <f t="shared" si="92"/>
        <v/>
      </c>
      <c r="DI784" s="873" t="str">
        <f t="shared" si="93"/>
        <v/>
      </c>
      <c r="DJ784" s="873" t="str">
        <f t="shared" si="94"/>
        <v/>
      </c>
      <c r="DK784" s="873" t="str">
        <f t="shared" si="95"/>
        <v/>
      </c>
      <c r="DL784" s="873" t="str">
        <f t="shared" si="96"/>
        <v/>
      </c>
      <c r="DM784" s="873" t="str">
        <f t="shared" si="97"/>
        <v/>
      </c>
      <c r="DN784" s="873" t="str">
        <f t="shared" si="98"/>
        <v/>
      </c>
      <c r="DO784" s="873" t="str">
        <f t="shared" si="99"/>
        <v/>
      </c>
      <c r="DP784" s="873" t="str">
        <f t="shared" si="100"/>
        <v/>
      </c>
      <c r="DQ784" s="873" t="str">
        <f t="shared" si="101"/>
        <v/>
      </c>
      <c r="DR784" s="873" t="str">
        <f t="shared" si="102"/>
        <v/>
      </c>
      <c r="DS784" s="873" t="str">
        <f t="shared" si="103"/>
        <v/>
      </c>
      <c r="DT784" s="873" t="str">
        <f t="shared" si="104"/>
        <v/>
      </c>
      <c r="DU784" s="873" t="str">
        <f t="shared" si="105"/>
        <v/>
      </c>
      <c r="DV784" s="873" t="str">
        <f t="shared" si="106"/>
        <v/>
      </c>
      <c r="DW784" s="873" t="str">
        <f t="shared" si="107"/>
        <v/>
      </c>
      <c r="DX784" s="873" t="str">
        <f t="shared" si="108"/>
        <v/>
      </c>
      <c r="DY784" s="873" t="str">
        <f t="shared" si="109"/>
        <v/>
      </c>
      <c r="DZ784" s="873" t="str">
        <f t="shared" si="110"/>
        <v/>
      </c>
      <c r="EA784" s="873" t="str">
        <f t="shared" si="111"/>
        <v/>
      </c>
      <c r="EB784" s="873" t="str">
        <f t="shared" si="112"/>
        <v/>
      </c>
      <c r="EC784" s="873" t="str">
        <f t="shared" si="113"/>
        <v/>
      </c>
      <c r="ED784" s="873" t="str">
        <f t="shared" si="114"/>
        <v/>
      </c>
      <c r="EE784" s="873" t="str">
        <f t="shared" si="115"/>
        <v/>
      </c>
      <c r="EF784" s="873" t="str">
        <f t="shared" si="116"/>
        <v/>
      </c>
      <c r="EG784" s="873" t="str">
        <f t="shared" si="117"/>
        <v/>
      </c>
      <c r="EH784" s="873" t="str">
        <f t="shared" si="118"/>
        <v/>
      </c>
      <c r="EI784" s="873" t="str">
        <f t="shared" si="119"/>
        <v/>
      </c>
      <c r="EJ784" s="873" t="str">
        <f t="shared" si="120"/>
        <v/>
      </c>
      <c r="EK784" s="873" t="str">
        <f t="shared" si="121"/>
        <v/>
      </c>
      <c r="EL784" s="873" t="str">
        <f t="shared" si="122"/>
        <v/>
      </c>
      <c r="EM784" s="873" t="str">
        <f t="shared" si="123"/>
        <v/>
      </c>
      <c r="EN784" s="873" t="str">
        <f t="shared" si="124"/>
        <v/>
      </c>
      <c r="EO784" s="873" t="str">
        <f t="shared" si="125"/>
        <v/>
      </c>
      <c r="EP784" s="873" t="str">
        <f t="shared" si="126"/>
        <v/>
      </c>
      <c r="EQ784" s="873" t="str">
        <f t="shared" si="127"/>
        <v/>
      </c>
      <c r="ER784" s="873" t="str">
        <f t="shared" si="128"/>
        <v/>
      </c>
      <c r="ES784" s="873" t="str">
        <f t="shared" si="129"/>
        <v/>
      </c>
      <c r="ET784" s="873" t="str">
        <f t="shared" si="130"/>
        <v/>
      </c>
      <c r="EU784" s="873" t="str">
        <f t="shared" si="131"/>
        <v/>
      </c>
      <c r="EV784" s="873" t="str">
        <f t="shared" si="132"/>
        <v/>
      </c>
      <c r="EW784" s="2288" t="str">
        <f t="shared" si="133"/>
        <v/>
      </c>
      <c r="EX784" s="2288" t="str">
        <f t="shared" si="134"/>
        <v/>
      </c>
      <c r="EY784" s="2288" t="str">
        <f t="shared" si="135"/>
        <v/>
      </c>
      <c r="EZ784" s="2288" t="str">
        <f t="shared" si="136"/>
        <v/>
      </c>
      <c r="FA784" s="2288" t="str">
        <f t="shared" si="137"/>
        <v/>
      </c>
      <c r="FB784" s="2288" t="str">
        <f t="shared" si="138"/>
        <v/>
      </c>
      <c r="FC784" s="2288" t="str">
        <f t="shared" si="139"/>
        <v/>
      </c>
      <c r="FD784" s="2288" t="str">
        <f t="shared" si="140"/>
        <v/>
      </c>
      <c r="FE784" s="2288" t="str">
        <f t="shared" si="141"/>
        <v/>
      </c>
      <c r="FF784" s="2288" t="str">
        <f t="shared" si="142"/>
        <v/>
      </c>
      <c r="FG784" s="2288" t="str">
        <f t="shared" si="143"/>
        <v/>
      </c>
      <c r="FH784" s="2288" t="str">
        <f t="shared" si="144"/>
        <v/>
      </c>
      <c r="FI784" s="2288" t="str">
        <f t="shared" si="145"/>
        <v/>
      </c>
      <c r="FJ784" s="2288" t="str">
        <f t="shared" si="146"/>
        <v/>
      </c>
      <c r="FK784" s="2288" t="str">
        <f t="shared" si="147"/>
        <v/>
      </c>
      <c r="FL784" s="2288" t="str">
        <f t="shared" si="148"/>
        <v/>
      </c>
      <c r="FM784" s="2288" t="str">
        <f t="shared" si="149"/>
        <v/>
      </c>
      <c r="FN784" s="2288" t="str">
        <f t="shared" si="150"/>
        <v/>
      </c>
      <c r="FO784" s="2288" t="str">
        <f t="shared" si="151"/>
        <v/>
      </c>
      <c r="FP784" s="2288" t="str">
        <f t="shared" si="152"/>
        <v/>
      </c>
      <c r="FQ784" s="2288" t="str">
        <f t="shared" si="153"/>
        <v/>
      </c>
      <c r="FR784" s="2288" t="str">
        <f t="shared" si="154"/>
        <v/>
      </c>
      <c r="FS784" s="2288" t="str">
        <f t="shared" si="155"/>
        <v/>
      </c>
      <c r="FT784" s="2288" t="str">
        <f t="shared" si="156"/>
        <v/>
      </c>
      <c r="FU784" s="2288" t="str">
        <f t="shared" si="157"/>
        <v/>
      </c>
      <c r="FV784" s="2288" t="str">
        <f t="shared" si="158"/>
        <v/>
      </c>
      <c r="FW784" s="2288" t="str">
        <f t="shared" si="159"/>
        <v/>
      </c>
      <c r="FX784" s="2288" t="str">
        <f t="shared" si="160"/>
        <v/>
      </c>
      <c r="FY784" s="2288" t="str">
        <f t="shared" si="161"/>
        <v/>
      </c>
      <c r="FZ784" s="2288" t="str">
        <f t="shared" si="162"/>
        <v/>
      </c>
      <c r="GA784" s="2288" t="str">
        <f t="shared" si="163"/>
        <v/>
      </c>
      <c r="GB784" s="2288" t="str">
        <f t="shared" si="164"/>
        <v/>
      </c>
      <c r="GC784" s="2288" t="str">
        <f t="shared" si="165"/>
        <v/>
      </c>
      <c r="GD784" s="2288" t="str">
        <f t="shared" si="166"/>
        <v/>
      </c>
      <c r="GE784" s="2288" t="str">
        <f t="shared" si="167"/>
        <v/>
      </c>
      <c r="GF784" s="2288" t="str">
        <f t="shared" si="168"/>
        <v/>
      </c>
      <c r="GG784" s="2288" t="str">
        <f t="shared" si="169"/>
        <v/>
      </c>
      <c r="GH784" s="2288" t="str">
        <f t="shared" si="170"/>
        <v/>
      </c>
      <c r="GI784" s="2288" t="str">
        <f t="shared" si="171"/>
        <v/>
      </c>
      <c r="GJ784" s="2288" t="str">
        <f t="shared" si="172"/>
        <v/>
      </c>
      <c r="GK784" s="2288" t="str">
        <f t="shared" si="173"/>
        <v/>
      </c>
      <c r="GL784" s="2288" t="str">
        <f t="shared" si="174"/>
        <v/>
      </c>
      <c r="GM784" s="2288" t="str">
        <f t="shared" si="175"/>
        <v/>
      </c>
      <c r="GN784" s="2288" t="str">
        <f t="shared" si="176"/>
        <v/>
      </c>
      <c r="GO784" s="2288" t="str">
        <f t="shared" si="177"/>
        <v/>
      </c>
      <c r="GP784" s="2288" t="str">
        <f t="shared" si="178"/>
        <v/>
      </c>
      <c r="GQ784" s="2288" t="str">
        <f t="shared" si="179"/>
        <v/>
      </c>
      <c r="GR784" s="2288" t="str">
        <f t="shared" si="180"/>
        <v/>
      </c>
      <c r="GS784" s="2288" t="str">
        <f t="shared" si="181"/>
        <v/>
      </c>
      <c r="GT784" s="2288" t="str">
        <f t="shared" si="182"/>
        <v/>
      </c>
      <c r="GU784" s="2288" t="str">
        <f t="shared" si="183"/>
        <v/>
      </c>
      <c r="GV784" s="2288" t="str">
        <f t="shared" si="184"/>
        <v/>
      </c>
      <c r="GW784" s="2288" t="str">
        <f t="shared" si="185"/>
        <v/>
      </c>
      <c r="GX784" s="2288" t="str">
        <f t="shared" si="186"/>
        <v/>
      </c>
      <c r="GY784" s="2288" t="str">
        <f t="shared" si="187"/>
        <v/>
      </c>
      <c r="GZ784" s="2288" t="str">
        <f t="shared" si="188"/>
        <v/>
      </c>
      <c r="HA784" s="2288" t="str">
        <f t="shared" si="189"/>
        <v/>
      </c>
      <c r="HB784" s="2288" t="str">
        <f t="shared" si="190"/>
        <v/>
      </c>
      <c r="HC784" s="2288" t="str">
        <f t="shared" si="191"/>
        <v/>
      </c>
      <c r="HD784" s="2288" t="str">
        <f t="shared" si="192"/>
        <v/>
      </c>
      <c r="HE784" s="2288" t="str">
        <f t="shared" si="193"/>
        <v/>
      </c>
      <c r="HF784" s="2288" t="str">
        <f t="shared" si="194"/>
        <v/>
      </c>
      <c r="HG784" s="2288" t="str">
        <f t="shared" si="195"/>
        <v/>
      </c>
      <c r="HH784" s="2288" t="str">
        <f t="shared" si="196"/>
        <v/>
      </c>
      <c r="HI784" s="2288" t="str">
        <f t="shared" si="197"/>
        <v/>
      </c>
      <c r="HJ784" s="2288" t="str">
        <f t="shared" si="198"/>
        <v/>
      </c>
      <c r="HK784" s="2288" t="str">
        <f t="shared" si="199"/>
        <v/>
      </c>
      <c r="HL784" s="2288" t="str">
        <f t="shared" si="200"/>
        <v/>
      </c>
      <c r="HM784" s="2288" t="str">
        <f t="shared" si="201"/>
        <v/>
      </c>
      <c r="HN784" s="2288" t="str">
        <f t="shared" si="202"/>
        <v/>
      </c>
      <c r="HO784" s="2288" t="str">
        <f t="shared" si="203"/>
        <v/>
      </c>
      <c r="HP784" s="2288" t="str">
        <f t="shared" si="204"/>
        <v/>
      </c>
      <c r="HQ784" s="2288" t="str">
        <f t="shared" si="205"/>
        <v/>
      </c>
      <c r="HR784" s="2288" t="str">
        <f t="shared" si="206"/>
        <v/>
      </c>
      <c r="HS784" s="2288" t="str">
        <f t="shared" si="207"/>
        <v/>
      </c>
      <c r="HT784" s="2288" t="str">
        <f t="shared" si="208"/>
        <v/>
      </c>
      <c r="HU784" s="2288" t="str">
        <f t="shared" si="209"/>
        <v/>
      </c>
      <c r="HV784" s="2288" t="str">
        <f t="shared" si="210"/>
        <v/>
      </c>
      <c r="HW784" s="2288" t="str">
        <f t="shared" si="211"/>
        <v/>
      </c>
      <c r="HX784" s="2288" t="str">
        <f t="shared" si="212"/>
        <v/>
      </c>
      <c r="HY784" s="2288" t="str">
        <f t="shared" si="213"/>
        <v/>
      </c>
      <c r="HZ784" s="2288" t="str">
        <f t="shared" si="214"/>
        <v/>
      </c>
      <c r="IA784" s="2288" t="str">
        <f t="shared" si="215"/>
        <v/>
      </c>
      <c r="IB784" s="2288" t="str">
        <f t="shared" si="216"/>
        <v/>
      </c>
      <c r="IC784" s="2288" t="str">
        <f t="shared" si="217"/>
        <v/>
      </c>
      <c r="ID784" s="2255" t="str">
        <f t="shared" si="218"/>
        <v/>
      </c>
      <c r="IE784" s="2255" t="str">
        <f t="shared" si="219"/>
        <v/>
      </c>
      <c r="IF784" s="2255" t="str">
        <f t="shared" si="220"/>
        <v/>
      </c>
      <c r="IG784" s="2255" t="str">
        <f t="shared" si="221"/>
        <v/>
      </c>
      <c r="IH784" s="2255" t="str">
        <f t="shared" si="222"/>
        <v/>
      </c>
      <c r="II784" s="873" t="str">
        <f t="shared" si="223"/>
        <v/>
      </c>
      <c r="IJ784" s="873" t="str">
        <f t="shared" si="224"/>
        <v/>
      </c>
      <c r="IK784" s="873" t="str">
        <f t="shared" si="225"/>
        <v/>
      </c>
      <c r="IL784" s="873" t="str">
        <f t="shared" si="226"/>
        <v/>
      </c>
      <c r="IM784" s="873" t="str">
        <f t="shared" si="227"/>
        <v/>
      </c>
      <c r="IN784" s="873" t="str">
        <f t="shared" si="228"/>
        <v/>
      </c>
      <c r="IO784" s="873" t="str">
        <f t="shared" si="229"/>
        <v/>
      </c>
      <c r="IP784" s="873" t="str">
        <f t="shared" si="230"/>
        <v/>
      </c>
      <c r="IQ784" s="873" t="str">
        <f t="shared" si="231"/>
        <v/>
      </c>
      <c r="IR784" s="873" t="str">
        <f t="shared" si="232"/>
        <v/>
      </c>
      <c r="IS784" s="873" t="str">
        <f t="shared" si="233"/>
        <v/>
      </c>
      <c r="IT784" s="873" t="str">
        <f t="shared" si="234"/>
        <v/>
      </c>
      <c r="IU784" s="873" t="str">
        <f t="shared" si="235"/>
        <v/>
      </c>
      <c r="IV784" s="873" t="str">
        <f t="shared" si="236"/>
        <v/>
      </c>
      <c r="IW784" s="873" t="str">
        <f t="shared" si="237"/>
        <v/>
      </c>
      <c r="IX784" s="873" t="str">
        <f t="shared" si="238"/>
        <v/>
      </c>
      <c r="IY784" s="873" t="str">
        <f t="shared" si="239"/>
        <v/>
      </c>
      <c r="IZ784" s="873" t="str">
        <f t="shared" si="240"/>
        <v/>
      </c>
      <c r="JA784" s="873" t="str">
        <f t="shared" si="241"/>
        <v/>
      </c>
      <c r="JB784" s="873" t="str">
        <f t="shared" si="242"/>
        <v/>
      </c>
      <c r="JC784" s="2253">
        <f t="shared" si="243"/>
        <v>0</v>
      </c>
      <c r="JD784" s="2253">
        <f t="shared" si="244"/>
        <v>0</v>
      </c>
      <c r="JE784" s="2253">
        <f t="shared" si="245"/>
        <v>0</v>
      </c>
      <c r="JF784" s="2253">
        <f t="shared" si="246"/>
        <v>0</v>
      </c>
      <c r="JG784" s="2253">
        <f t="shared" si="247"/>
        <v>0</v>
      </c>
      <c r="JH784" s="2253">
        <f t="shared" si="248"/>
        <v>0</v>
      </c>
      <c r="JI784" s="2253">
        <f t="shared" si="249"/>
        <v>0</v>
      </c>
      <c r="JJ784" s="2253">
        <f t="shared" si="250"/>
        <v>0</v>
      </c>
      <c r="JK784" s="2253">
        <f t="shared" si="251"/>
        <v>0</v>
      </c>
      <c r="JL784" s="2253">
        <f t="shared" si="252"/>
        <v>0</v>
      </c>
      <c r="JM784" s="2253">
        <f t="shared" si="253"/>
        <v>0</v>
      </c>
      <c r="JN784" s="2253">
        <f t="shared" si="254"/>
        <v>0</v>
      </c>
      <c r="JO784" s="2253">
        <f t="shared" si="255"/>
        <v>0</v>
      </c>
      <c r="JP784" s="2253">
        <f t="shared" si="256"/>
        <v>0</v>
      </c>
      <c r="JQ784" s="2253">
        <f t="shared" si="257"/>
        <v>0</v>
      </c>
    </row>
    <row r="785" spans="1:278" ht="12" customHeight="1">
      <c r="A785" s="2258" t="str">
        <f t="shared" si="0"/>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1"/>
        <v>0</v>
      </c>
      <c r="L785" s="2284">
        <f t="shared" si="2"/>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3" t="str">
        <f t="shared" si="3"/>
        <v/>
      </c>
      <c r="X785" s="873" t="str">
        <f t="shared" si="4"/>
        <v/>
      </c>
      <c r="Y785" s="873" t="str">
        <f t="shared" si="5"/>
        <v/>
      </c>
      <c r="Z785" s="873" t="str">
        <f t="shared" si="6"/>
        <v/>
      </c>
      <c r="AA785" s="873" t="str">
        <f t="shared" si="7"/>
        <v/>
      </c>
      <c r="AB785" s="873" t="str">
        <f t="shared" si="8"/>
        <v/>
      </c>
      <c r="AC785" s="873" t="str">
        <f t="shared" si="9"/>
        <v/>
      </c>
      <c r="AD785" s="873" t="str">
        <f t="shared" si="10"/>
        <v/>
      </c>
      <c r="AE785" s="873" t="str">
        <f t="shared" si="11"/>
        <v/>
      </c>
      <c r="AF785" s="873" t="str">
        <f t="shared" si="12"/>
        <v/>
      </c>
      <c r="AG785" s="873" t="str">
        <f t="shared" si="13"/>
        <v/>
      </c>
      <c r="AH785" s="873" t="str">
        <f t="shared" si="14"/>
        <v/>
      </c>
      <c r="AI785" s="873" t="str">
        <f t="shared" si="15"/>
        <v/>
      </c>
      <c r="AJ785" s="873" t="str">
        <f t="shared" si="16"/>
        <v/>
      </c>
      <c r="AK785" s="873" t="str">
        <f t="shared" si="17"/>
        <v/>
      </c>
      <c r="AL785" s="873" t="str">
        <f t="shared" si="18"/>
        <v/>
      </c>
      <c r="AM785" s="873" t="str">
        <f t="shared" si="19"/>
        <v/>
      </c>
      <c r="AN785" s="873" t="str">
        <f t="shared" si="20"/>
        <v/>
      </c>
      <c r="AO785" s="873" t="str">
        <f t="shared" si="21"/>
        <v/>
      </c>
      <c r="AP785" s="873" t="str">
        <f t="shared" si="22"/>
        <v/>
      </c>
      <c r="AQ785" s="873" t="str">
        <f t="shared" si="23"/>
        <v/>
      </c>
      <c r="AR785" s="873" t="str">
        <f t="shared" si="24"/>
        <v/>
      </c>
      <c r="AS785" s="873" t="str">
        <f t="shared" si="25"/>
        <v/>
      </c>
      <c r="AT785" s="873" t="str">
        <f t="shared" si="26"/>
        <v/>
      </c>
      <c r="AU785" s="873" t="str">
        <f t="shared" si="27"/>
        <v/>
      </c>
      <c r="AV785" s="873" t="str">
        <f t="shared" si="28"/>
        <v/>
      </c>
      <c r="AW785" s="873" t="str">
        <f t="shared" si="29"/>
        <v/>
      </c>
      <c r="AX785" s="873" t="str">
        <f t="shared" si="30"/>
        <v/>
      </c>
      <c r="AY785" s="873" t="str">
        <f t="shared" si="31"/>
        <v/>
      </c>
      <c r="AZ785" s="873" t="str">
        <f t="shared" si="32"/>
        <v/>
      </c>
      <c r="BA785" s="873" t="str">
        <f t="shared" si="33"/>
        <v/>
      </c>
      <c r="BB785" s="873" t="str">
        <f t="shared" si="34"/>
        <v/>
      </c>
      <c r="BC785" s="873" t="str">
        <f t="shared" si="35"/>
        <v/>
      </c>
      <c r="BD785" s="873" t="str">
        <f t="shared" si="36"/>
        <v/>
      </c>
      <c r="BE785" s="873" t="str">
        <f t="shared" si="37"/>
        <v/>
      </c>
      <c r="BF785" s="873" t="str">
        <f t="shared" si="38"/>
        <v/>
      </c>
      <c r="BG785" s="873" t="str">
        <f t="shared" si="39"/>
        <v/>
      </c>
      <c r="BH785" s="873" t="str">
        <f t="shared" si="40"/>
        <v/>
      </c>
      <c r="BI785" s="873" t="str">
        <f t="shared" si="41"/>
        <v/>
      </c>
      <c r="BJ785" s="873" t="str">
        <f t="shared" si="42"/>
        <v/>
      </c>
      <c r="BK785" s="873" t="str">
        <f t="shared" si="43"/>
        <v/>
      </c>
      <c r="BL785" s="873" t="str">
        <f t="shared" si="44"/>
        <v/>
      </c>
      <c r="BM785" s="873" t="str">
        <f t="shared" si="45"/>
        <v/>
      </c>
      <c r="BN785" s="873" t="str">
        <f t="shared" si="46"/>
        <v/>
      </c>
      <c r="BO785" s="873" t="str">
        <f t="shared" si="47"/>
        <v/>
      </c>
      <c r="BP785" s="873" t="str">
        <f t="shared" si="48"/>
        <v/>
      </c>
      <c r="BQ785" s="873" t="str">
        <f t="shared" si="49"/>
        <v/>
      </c>
      <c r="BR785" s="873" t="str">
        <f t="shared" si="50"/>
        <v/>
      </c>
      <c r="BS785" s="873" t="str">
        <f t="shared" si="51"/>
        <v/>
      </c>
      <c r="BT785" s="873" t="str">
        <f t="shared" si="52"/>
        <v/>
      </c>
      <c r="BU785" s="873" t="str">
        <f t="shared" si="53"/>
        <v/>
      </c>
      <c r="BV785" s="873" t="str">
        <f t="shared" si="54"/>
        <v/>
      </c>
      <c r="BW785" s="873" t="str">
        <f t="shared" si="55"/>
        <v/>
      </c>
      <c r="BX785" s="873" t="str">
        <f t="shared" si="56"/>
        <v/>
      </c>
      <c r="BY785" s="873" t="str">
        <f t="shared" si="57"/>
        <v/>
      </c>
      <c r="BZ785" s="873" t="str">
        <f t="shared" si="58"/>
        <v/>
      </c>
      <c r="CA785" s="873" t="str">
        <f t="shared" si="59"/>
        <v/>
      </c>
      <c r="CB785" s="873" t="str">
        <f t="shared" si="60"/>
        <v/>
      </c>
      <c r="CC785" s="873" t="str">
        <f t="shared" si="61"/>
        <v/>
      </c>
      <c r="CD785" s="873" t="str">
        <f t="shared" si="62"/>
        <v/>
      </c>
      <c r="CE785" s="873" t="str">
        <f t="shared" si="63"/>
        <v/>
      </c>
      <c r="CF785" s="873" t="str">
        <f t="shared" si="64"/>
        <v/>
      </c>
      <c r="CG785" s="873" t="str">
        <f t="shared" si="65"/>
        <v/>
      </c>
      <c r="CH785" s="873" t="str">
        <f t="shared" si="66"/>
        <v/>
      </c>
      <c r="CI785" s="873" t="str">
        <f t="shared" si="67"/>
        <v/>
      </c>
      <c r="CJ785" s="873" t="str">
        <f t="shared" si="68"/>
        <v/>
      </c>
      <c r="CK785" s="873" t="str">
        <f t="shared" si="69"/>
        <v/>
      </c>
      <c r="CL785" s="873" t="str">
        <f t="shared" si="70"/>
        <v/>
      </c>
      <c r="CM785" s="873" t="str">
        <f t="shared" si="71"/>
        <v/>
      </c>
      <c r="CN785" s="873" t="str">
        <f t="shared" si="72"/>
        <v/>
      </c>
      <c r="CO785" s="873" t="str">
        <f t="shared" si="73"/>
        <v/>
      </c>
      <c r="CP785" s="873" t="str">
        <f t="shared" si="74"/>
        <v/>
      </c>
      <c r="CQ785" s="873" t="str">
        <f t="shared" si="75"/>
        <v/>
      </c>
      <c r="CR785" s="873" t="str">
        <f t="shared" si="76"/>
        <v/>
      </c>
      <c r="CS785" s="873" t="str">
        <f t="shared" si="77"/>
        <v/>
      </c>
      <c r="CT785" s="873" t="str">
        <f t="shared" si="78"/>
        <v/>
      </c>
      <c r="CU785" s="873" t="str">
        <f t="shared" si="79"/>
        <v/>
      </c>
      <c r="CV785" s="873" t="str">
        <f t="shared" si="80"/>
        <v/>
      </c>
      <c r="CW785" s="873" t="str">
        <f t="shared" si="81"/>
        <v/>
      </c>
      <c r="CX785" s="873" t="str">
        <f t="shared" si="82"/>
        <v/>
      </c>
      <c r="CY785" s="873" t="str">
        <f t="shared" si="83"/>
        <v/>
      </c>
      <c r="CZ785" s="873" t="str">
        <f t="shared" si="84"/>
        <v/>
      </c>
      <c r="DA785" s="873" t="str">
        <f t="shared" si="85"/>
        <v/>
      </c>
      <c r="DB785" s="873" t="str">
        <f t="shared" si="86"/>
        <v/>
      </c>
      <c r="DC785" s="873" t="str">
        <f t="shared" si="87"/>
        <v/>
      </c>
      <c r="DD785" s="873" t="str">
        <f t="shared" si="88"/>
        <v/>
      </c>
      <c r="DE785" s="873" t="str">
        <f t="shared" si="89"/>
        <v/>
      </c>
      <c r="DF785" s="873" t="str">
        <f t="shared" si="90"/>
        <v/>
      </c>
      <c r="DG785" s="873" t="str">
        <f t="shared" si="91"/>
        <v/>
      </c>
      <c r="DH785" s="873" t="str">
        <f t="shared" si="92"/>
        <v/>
      </c>
      <c r="DI785" s="873" t="str">
        <f t="shared" si="93"/>
        <v/>
      </c>
      <c r="DJ785" s="873" t="str">
        <f t="shared" si="94"/>
        <v/>
      </c>
      <c r="DK785" s="873" t="str">
        <f t="shared" si="95"/>
        <v/>
      </c>
      <c r="DL785" s="873" t="str">
        <f t="shared" si="96"/>
        <v/>
      </c>
      <c r="DM785" s="873" t="str">
        <f t="shared" si="97"/>
        <v/>
      </c>
      <c r="DN785" s="873" t="str">
        <f t="shared" si="98"/>
        <v/>
      </c>
      <c r="DO785" s="873" t="str">
        <f t="shared" si="99"/>
        <v/>
      </c>
      <c r="DP785" s="873" t="str">
        <f t="shared" si="100"/>
        <v/>
      </c>
      <c r="DQ785" s="873" t="str">
        <f t="shared" si="101"/>
        <v/>
      </c>
      <c r="DR785" s="873" t="str">
        <f t="shared" si="102"/>
        <v/>
      </c>
      <c r="DS785" s="873" t="str">
        <f t="shared" si="103"/>
        <v/>
      </c>
      <c r="DT785" s="873" t="str">
        <f t="shared" si="104"/>
        <v/>
      </c>
      <c r="DU785" s="873" t="str">
        <f t="shared" si="105"/>
        <v/>
      </c>
      <c r="DV785" s="873" t="str">
        <f t="shared" si="106"/>
        <v/>
      </c>
      <c r="DW785" s="873" t="str">
        <f t="shared" si="107"/>
        <v/>
      </c>
      <c r="DX785" s="873" t="str">
        <f t="shared" si="108"/>
        <v/>
      </c>
      <c r="DY785" s="873" t="str">
        <f t="shared" si="109"/>
        <v/>
      </c>
      <c r="DZ785" s="873" t="str">
        <f t="shared" si="110"/>
        <v/>
      </c>
      <c r="EA785" s="873" t="str">
        <f t="shared" si="111"/>
        <v/>
      </c>
      <c r="EB785" s="873" t="str">
        <f t="shared" si="112"/>
        <v/>
      </c>
      <c r="EC785" s="873" t="str">
        <f t="shared" si="113"/>
        <v/>
      </c>
      <c r="ED785" s="873" t="str">
        <f t="shared" si="114"/>
        <v/>
      </c>
      <c r="EE785" s="873" t="str">
        <f t="shared" si="115"/>
        <v/>
      </c>
      <c r="EF785" s="873" t="str">
        <f t="shared" si="116"/>
        <v/>
      </c>
      <c r="EG785" s="873" t="str">
        <f t="shared" si="117"/>
        <v/>
      </c>
      <c r="EH785" s="873" t="str">
        <f t="shared" si="118"/>
        <v/>
      </c>
      <c r="EI785" s="873" t="str">
        <f t="shared" si="119"/>
        <v/>
      </c>
      <c r="EJ785" s="873" t="str">
        <f t="shared" si="120"/>
        <v/>
      </c>
      <c r="EK785" s="873" t="str">
        <f t="shared" si="121"/>
        <v/>
      </c>
      <c r="EL785" s="873" t="str">
        <f t="shared" si="122"/>
        <v/>
      </c>
      <c r="EM785" s="873" t="str">
        <f t="shared" si="123"/>
        <v/>
      </c>
      <c r="EN785" s="873" t="str">
        <f t="shared" si="124"/>
        <v/>
      </c>
      <c r="EO785" s="873" t="str">
        <f t="shared" si="125"/>
        <v/>
      </c>
      <c r="EP785" s="873" t="str">
        <f t="shared" si="126"/>
        <v/>
      </c>
      <c r="EQ785" s="873" t="str">
        <f t="shared" si="127"/>
        <v/>
      </c>
      <c r="ER785" s="873" t="str">
        <f t="shared" si="128"/>
        <v/>
      </c>
      <c r="ES785" s="873" t="str">
        <f t="shared" si="129"/>
        <v/>
      </c>
      <c r="ET785" s="873" t="str">
        <f t="shared" si="130"/>
        <v/>
      </c>
      <c r="EU785" s="873" t="str">
        <f t="shared" si="131"/>
        <v/>
      </c>
      <c r="EV785" s="873" t="str">
        <f t="shared" si="132"/>
        <v/>
      </c>
      <c r="EW785" s="2288" t="str">
        <f t="shared" si="133"/>
        <v/>
      </c>
      <c r="EX785" s="2288" t="str">
        <f t="shared" si="134"/>
        <v/>
      </c>
      <c r="EY785" s="2288" t="str">
        <f t="shared" si="135"/>
        <v/>
      </c>
      <c r="EZ785" s="2288" t="str">
        <f t="shared" si="136"/>
        <v/>
      </c>
      <c r="FA785" s="2288" t="str">
        <f t="shared" si="137"/>
        <v/>
      </c>
      <c r="FB785" s="2288" t="str">
        <f t="shared" si="138"/>
        <v/>
      </c>
      <c r="FC785" s="2288" t="str">
        <f t="shared" si="139"/>
        <v/>
      </c>
      <c r="FD785" s="2288" t="str">
        <f t="shared" si="140"/>
        <v/>
      </c>
      <c r="FE785" s="2288" t="str">
        <f t="shared" si="141"/>
        <v/>
      </c>
      <c r="FF785" s="2288" t="str">
        <f t="shared" si="142"/>
        <v/>
      </c>
      <c r="FG785" s="2288" t="str">
        <f t="shared" si="143"/>
        <v/>
      </c>
      <c r="FH785" s="2288" t="str">
        <f t="shared" si="144"/>
        <v/>
      </c>
      <c r="FI785" s="2288" t="str">
        <f t="shared" si="145"/>
        <v/>
      </c>
      <c r="FJ785" s="2288" t="str">
        <f t="shared" si="146"/>
        <v/>
      </c>
      <c r="FK785" s="2288" t="str">
        <f t="shared" si="147"/>
        <v/>
      </c>
      <c r="FL785" s="2288" t="str">
        <f t="shared" si="148"/>
        <v/>
      </c>
      <c r="FM785" s="2288" t="str">
        <f t="shared" si="149"/>
        <v/>
      </c>
      <c r="FN785" s="2288" t="str">
        <f t="shared" si="150"/>
        <v/>
      </c>
      <c r="FO785" s="2288" t="str">
        <f t="shared" si="151"/>
        <v/>
      </c>
      <c r="FP785" s="2288" t="str">
        <f t="shared" si="152"/>
        <v/>
      </c>
      <c r="FQ785" s="2288" t="str">
        <f t="shared" si="153"/>
        <v/>
      </c>
      <c r="FR785" s="2288" t="str">
        <f t="shared" si="154"/>
        <v/>
      </c>
      <c r="FS785" s="2288" t="str">
        <f t="shared" si="155"/>
        <v/>
      </c>
      <c r="FT785" s="2288" t="str">
        <f t="shared" si="156"/>
        <v/>
      </c>
      <c r="FU785" s="2288" t="str">
        <f t="shared" si="157"/>
        <v/>
      </c>
      <c r="FV785" s="2288" t="str">
        <f t="shared" si="158"/>
        <v/>
      </c>
      <c r="FW785" s="2288" t="str">
        <f t="shared" si="159"/>
        <v/>
      </c>
      <c r="FX785" s="2288" t="str">
        <f t="shared" si="160"/>
        <v/>
      </c>
      <c r="FY785" s="2288" t="str">
        <f t="shared" si="161"/>
        <v/>
      </c>
      <c r="FZ785" s="2288" t="str">
        <f t="shared" si="162"/>
        <v/>
      </c>
      <c r="GA785" s="2288" t="str">
        <f t="shared" si="163"/>
        <v/>
      </c>
      <c r="GB785" s="2288" t="str">
        <f t="shared" si="164"/>
        <v/>
      </c>
      <c r="GC785" s="2288" t="str">
        <f t="shared" si="165"/>
        <v/>
      </c>
      <c r="GD785" s="2288" t="str">
        <f t="shared" si="166"/>
        <v/>
      </c>
      <c r="GE785" s="2288" t="str">
        <f t="shared" si="167"/>
        <v/>
      </c>
      <c r="GF785" s="2288" t="str">
        <f t="shared" si="168"/>
        <v/>
      </c>
      <c r="GG785" s="2288" t="str">
        <f t="shared" si="169"/>
        <v/>
      </c>
      <c r="GH785" s="2288" t="str">
        <f t="shared" si="170"/>
        <v/>
      </c>
      <c r="GI785" s="2288" t="str">
        <f t="shared" si="171"/>
        <v/>
      </c>
      <c r="GJ785" s="2288" t="str">
        <f t="shared" si="172"/>
        <v/>
      </c>
      <c r="GK785" s="2288" t="str">
        <f t="shared" si="173"/>
        <v/>
      </c>
      <c r="GL785" s="2288" t="str">
        <f t="shared" si="174"/>
        <v/>
      </c>
      <c r="GM785" s="2288" t="str">
        <f t="shared" si="175"/>
        <v/>
      </c>
      <c r="GN785" s="2288" t="str">
        <f t="shared" si="176"/>
        <v/>
      </c>
      <c r="GO785" s="2288" t="str">
        <f t="shared" si="177"/>
        <v/>
      </c>
      <c r="GP785" s="2288" t="str">
        <f t="shared" si="178"/>
        <v/>
      </c>
      <c r="GQ785" s="2288" t="str">
        <f t="shared" si="179"/>
        <v/>
      </c>
      <c r="GR785" s="2288" t="str">
        <f t="shared" si="180"/>
        <v/>
      </c>
      <c r="GS785" s="2288" t="str">
        <f t="shared" si="181"/>
        <v/>
      </c>
      <c r="GT785" s="2288" t="str">
        <f t="shared" si="182"/>
        <v/>
      </c>
      <c r="GU785" s="2288" t="str">
        <f t="shared" si="183"/>
        <v/>
      </c>
      <c r="GV785" s="2288" t="str">
        <f t="shared" si="184"/>
        <v/>
      </c>
      <c r="GW785" s="2288" t="str">
        <f t="shared" si="185"/>
        <v/>
      </c>
      <c r="GX785" s="2288" t="str">
        <f t="shared" si="186"/>
        <v/>
      </c>
      <c r="GY785" s="2288" t="str">
        <f t="shared" si="187"/>
        <v/>
      </c>
      <c r="GZ785" s="2288" t="str">
        <f t="shared" si="188"/>
        <v/>
      </c>
      <c r="HA785" s="2288" t="str">
        <f t="shared" si="189"/>
        <v/>
      </c>
      <c r="HB785" s="2288" t="str">
        <f t="shared" si="190"/>
        <v/>
      </c>
      <c r="HC785" s="2288" t="str">
        <f t="shared" si="191"/>
        <v/>
      </c>
      <c r="HD785" s="2288" t="str">
        <f t="shared" si="192"/>
        <v/>
      </c>
      <c r="HE785" s="2288" t="str">
        <f t="shared" si="193"/>
        <v/>
      </c>
      <c r="HF785" s="2288" t="str">
        <f t="shared" si="194"/>
        <v/>
      </c>
      <c r="HG785" s="2288" t="str">
        <f t="shared" si="195"/>
        <v/>
      </c>
      <c r="HH785" s="2288" t="str">
        <f t="shared" si="196"/>
        <v/>
      </c>
      <c r="HI785" s="2288" t="str">
        <f t="shared" si="197"/>
        <v/>
      </c>
      <c r="HJ785" s="2288" t="str">
        <f t="shared" si="198"/>
        <v/>
      </c>
      <c r="HK785" s="2288" t="str">
        <f t="shared" si="199"/>
        <v/>
      </c>
      <c r="HL785" s="2288" t="str">
        <f t="shared" si="200"/>
        <v/>
      </c>
      <c r="HM785" s="2288" t="str">
        <f t="shared" si="201"/>
        <v/>
      </c>
      <c r="HN785" s="2288" t="str">
        <f t="shared" si="202"/>
        <v/>
      </c>
      <c r="HO785" s="2288" t="str">
        <f t="shared" si="203"/>
        <v/>
      </c>
      <c r="HP785" s="2288" t="str">
        <f t="shared" si="204"/>
        <v/>
      </c>
      <c r="HQ785" s="2288" t="str">
        <f t="shared" si="205"/>
        <v/>
      </c>
      <c r="HR785" s="2288" t="str">
        <f t="shared" si="206"/>
        <v/>
      </c>
      <c r="HS785" s="2288" t="str">
        <f t="shared" si="207"/>
        <v/>
      </c>
      <c r="HT785" s="2288" t="str">
        <f t="shared" si="208"/>
        <v/>
      </c>
      <c r="HU785" s="2288" t="str">
        <f t="shared" si="209"/>
        <v/>
      </c>
      <c r="HV785" s="2288" t="str">
        <f t="shared" si="210"/>
        <v/>
      </c>
      <c r="HW785" s="2288" t="str">
        <f t="shared" si="211"/>
        <v/>
      </c>
      <c r="HX785" s="2288" t="str">
        <f t="shared" si="212"/>
        <v/>
      </c>
      <c r="HY785" s="2288" t="str">
        <f t="shared" si="213"/>
        <v/>
      </c>
      <c r="HZ785" s="2288" t="str">
        <f t="shared" si="214"/>
        <v/>
      </c>
      <c r="IA785" s="2288" t="str">
        <f t="shared" si="215"/>
        <v/>
      </c>
      <c r="IB785" s="2288" t="str">
        <f t="shared" si="216"/>
        <v/>
      </c>
      <c r="IC785" s="2288" t="str">
        <f t="shared" si="217"/>
        <v/>
      </c>
      <c r="ID785" s="2255" t="str">
        <f t="shared" si="218"/>
        <v/>
      </c>
      <c r="IE785" s="2255" t="str">
        <f t="shared" si="219"/>
        <v/>
      </c>
      <c r="IF785" s="2255" t="str">
        <f t="shared" si="220"/>
        <v/>
      </c>
      <c r="IG785" s="2255" t="str">
        <f t="shared" si="221"/>
        <v/>
      </c>
      <c r="IH785" s="2255" t="str">
        <f t="shared" si="222"/>
        <v/>
      </c>
      <c r="II785" s="873" t="str">
        <f t="shared" si="223"/>
        <v/>
      </c>
      <c r="IJ785" s="873" t="str">
        <f t="shared" si="224"/>
        <v/>
      </c>
      <c r="IK785" s="873" t="str">
        <f t="shared" si="225"/>
        <v/>
      </c>
      <c r="IL785" s="873" t="str">
        <f t="shared" si="226"/>
        <v/>
      </c>
      <c r="IM785" s="873" t="str">
        <f t="shared" si="227"/>
        <v/>
      </c>
      <c r="IN785" s="873" t="str">
        <f t="shared" si="228"/>
        <v/>
      </c>
      <c r="IO785" s="873" t="str">
        <f t="shared" si="229"/>
        <v/>
      </c>
      <c r="IP785" s="873" t="str">
        <f t="shared" si="230"/>
        <v/>
      </c>
      <c r="IQ785" s="873" t="str">
        <f t="shared" si="231"/>
        <v/>
      </c>
      <c r="IR785" s="873" t="str">
        <f t="shared" si="232"/>
        <v/>
      </c>
      <c r="IS785" s="873" t="str">
        <f t="shared" si="233"/>
        <v/>
      </c>
      <c r="IT785" s="873" t="str">
        <f t="shared" si="234"/>
        <v/>
      </c>
      <c r="IU785" s="873" t="str">
        <f t="shared" si="235"/>
        <v/>
      </c>
      <c r="IV785" s="873" t="str">
        <f t="shared" si="236"/>
        <v/>
      </c>
      <c r="IW785" s="873" t="str">
        <f t="shared" si="237"/>
        <v/>
      </c>
      <c r="IX785" s="873" t="str">
        <f t="shared" si="238"/>
        <v/>
      </c>
      <c r="IY785" s="873" t="str">
        <f t="shared" si="239"/>
        <v/>
      </c>
      <c r="IZ785" s="873" t="str">
        <f t="shared" si="240"/>
        <v/>
      </c>
      <c r="JA785" s="873" t="str">
        <f t="shared" si="241"/>
        <v/>
      </c>
      <c r="JB785" s="873" t="str">
        <f t="shared" si="242"/>
        <v/>
      </c>
      <c r="JC785" s="2253">
        <f t="shared" si="243"/>
        <v>0</v>
      </c>
      <c r="JD785" s="2253">
        <f t="shared" si="244"/>
        <v>0</v>
      </c>
      <c r="JE785" s="2253">
        <f t="shared" si="245"/>
        <v>0</v>
      </c>
      <c r="JF785" s="2253">
        <f t="shared" si="246"/>
        <v>0</v>
      </c>
      <c r="JG785" s="2253">
        <f t="shared" si="247"/>
        <v>0</v>
      </c>
      <c r="JH785" s="2253">
        <f t="shared" si="248"/>
        <v>0</v>
      </c>
      <c r="JI785" s="2253">
        <f t="shared" si="249"/>
        <v>0</v>
      </c>
      <c r="JJ785" s="2253">
        <f t="shared" si="250"/>
        <v>0</v>
      </c>
      <c r="JK785" s="2253">
        <f t="shared" si="251"/>
        <v>0</v>
      </c>
      <c r="JL785" s="2253">
        <f t="shared" si="252"/>
        <v>0</v>
      </c>
      <c r="JM785" s="2253">
        <f t="shared" si="253"/>
        <v>0</v>
      </c>
      <c r="JN785" s="2253">
        <f t="shared" si="254"/>
        <v>0</v>
      </c>
      <c r="JO785" s="2253">
        <f t="shared" si="255"/>
        <v>0</v>
      </c>
      <c r="JP785" s="2253">
        <f t="shared" si="256"/>
        <v>0</v>
      </c>
      <c r="JQ785" s="2253">
        <f t="shared" si="257"/>
        <v>0</v>
      </c>
    </row>
    <row r="786" spans="1:278" ht="12" customHeight="1">
      <c r="A786" s="2258" t="str">
        <f t="shared" si="0"/>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1"/>
        <v>0</v>
      </c>
      <c r="L786" s="2284">
        <f t="shared" si="2"/>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3" t="str">
        <f t="shared" si="3"/>
        <v/>
      </c>
      <c r="X786" s="873" t="str">
        <f t="shared" si="4"/>
        <v/>
      </c>
      <c r="Y786" s="873" t="str">
        <f t="shared" si="5"/>
        <v/>
      </c>
      <c r="Z786" s="873" t="str">
        <f t="shared" si="6"/>
        <v/>
      </c>
      <c r="AA786" s="873" t="str">
        <f t="shared" si="7"/>
        <v/>
      </c>
      <c r="AB786" s="873" t="str">
        <f t="shared" si="8"/>
        <v/>
      </c>
      <c r="AC786" s="873" t="str">
        <f t="shared" si="9"/>
        <v/>
      </c>
      <c r="AD786" s="873" t="str">
        <f t="shared" si="10"/>
        <v/>
      </c>
      <c r="AE786" s="873" t="str">
        <f t="shared" si="11"/>
        <v/>
      </c>
      <c r="AF786" s="873" t="str">
        <f t="shared" si="12"/>
        <v/>
      </c>
      <c r="AG786" s="873" t="str">
        <f t="shared" si="13"/>
        <v/>
      </c>
      <c r="AH786" s="873" t="str">
        <f t="shared" si="14"/>
        <v/>
      </c>
      <c r="AI786" s="873" t="str">
        <f t="shared" si="15"/>
        <v/>
      </c>
      <c r="AJ786" s="873" t="str">
        <f t="shared" si="16"/>
        <v/>
      </c>
      <c r="AK786" s="873" t="str">
        <f t="shared" si="17"/>
        <v/>
      </c>
      <c r="AL786" s="873" t="str">
        <f t="shared" si="18"/>
        <v/>
      </c>
      <c r="AM786" s="873" t="str">
        <f t="shared" si="19"/>
        <v/>
      </c>
      <c r="AN786" s="873" t="str">
        <f t="shared" si="20"/>
        <v/>
      </c>
      <c r="AO786" s="873" t="str">
        <f t="shared" si="21"/>
        <v/>
      </c>
      <c r="AP786" s="873" t="str">
        <f t="shared" si="22"/>
        <v/>
      </c>
      <c r="AQ786" s="873" t="str">
        <f t="shared" si="23"/>
        <v/>
      </c>
      <c r="AR786" s="873" t="str">
        <f t="shared" si="24"/>
        <v/>
      </c>
      <c r="AS786" s="873" t="str">
        <f t="shared" si="25"/>
        <v/>
      </c>
      <c r="AT786" s="873" t="str">
        <f t="shared" si="26"/>
        <v/>
      </c>
      <c r="AU786" s="873" t="str">
        <f t="shared" si="27"/>
        <v/>
      </c>
      <c r="AV786" s="873" t="str">
        <f t="shared" si="28"/>
        <v/>
      </c>
      <c r="AW786" s="873" t="str">
        <f t="shared" si="29"/>
        <v/>
      </c>
      <c r="AX786" s="873" t="str">
        <f t="shared" si="30"/>
        <v/>
      </c>
      <c r="AY786" s="873" t="str">
        <f t="shared" si="31"/>
        <v/>
      </c>
      <c r="AZ786" s="873" t="str">
        <f t="shared" si="32"/>
        <v/>
      </c>
      <c r="BA786" s="873" t="str">
        <f t="shared" si="33"/>
        <v/>
      </c>
      <c r="BB786" s="873" t="str">
        <f t="shared" si="34"/>
        <v/>
      </c>
      <c r="BC786" s="873" t="str">
        <f t="shared" si="35"/>
        <v/>
      </c>
      <c r="BD786" s="873" t="str">
        <f t="shared" si="36"/>
        <v/>
      </c>
      <c r="BE786" s="873" t="str">
        <f t="shared" si="37"/>
        <v/>
      </c>
      <c r="BF786" s="873" t="str">
        <f t="shared" si="38"/>
        <v/>
      </c>
      <c r="BG786" s="873" t="str">
        <f t="shared" si="39"/>
        <v/>
      </c>
      <c r="BH786" s="873" t="str">
        <f t="shared" si="40"/>
        <v/>
      </c>
      <c r="BI786" s="873" t="str">
        <f t="shared" si="41"/>
        <v/>
      </c>
      <c r="BJ786" s="873" t="str">
        <f t="shared" si="42"/>
        <v/>
      </c>
      <c r="BK786" s="873" t="str">
        <f t="shared" si="43"/>
        <v/>
      </c>
      <c r="BL786" s="873" t="str">
        <f t="shared" si="44"/>
        <v/>
      </c>
      <c r="BM786" s="873" t="str">
        <f t="shared" si="45"/>
        <v/>
      </c>
      <c r="BN786" s="873" t="str">
        <f t="shared" si="46"/>
        <v/>
      </c>
      <c r="BO786" s="873" t="str">
        <f t="shared" si="47"/>
        <v/>
      </c>
      <c r="BP786" s="873" t="str">
        <f t="shared" si="48"/>
        <v/>
      </c>
      <c r="BQ786" s="873" t="str">
        <f t="shared" si="49"/>
        <v/>
      </c>
      <c r="BR786" s="873" t="str">
        <f t="shared" si="50"/>
        <v/>
      </c>
      <c r="BS786" s="873" t="str">
        <f t="shared" si="51"/>
        <v/>
      </c>
      <c r="BT786" s="873" t="str">
        <f t="shared" si="52"/>
        <v/>
      </c>
      <c r="BU786" s="873" t="str">
        <f t="shared" si="53"/>
        <v/>
      </c>
      <c r="BV786" s="873" t="str">
        <f t="shared" si="54"/>
        <v/>
      </c>
      <c r="BW786" s="873" t="str">
        <f t="shared" si="55"/>
        <v/>
      </c>
      <c r="BX786" s="873" t="str">
        <f t="shared" si="56"/>
        <v/>
      </c>
      <c r="BY786" s="873" t="str">
        <f t="shared" si="57"/>
        <v/>
      </c>
      <c r="BZ786" s="873" t="str">
        <f t="shared" si="58"/>
        <v/>
      </c>
      <c r="CA786" s="873" t="str">
        <f t="shared" si="59"/>
        <v/>
      </c>
      <c r="CB786" s="873" t="str">
        <f t="shared" si="60"/>
        <v/>
      </c>
      <c r="CC786" s="873" t="str">
        <f t="shared" si="61"/>
        <v/>
      </c>
      <c r="CD786" s="873" t="str">
        <f t="shared" si="62"/>
        <v/>
      </c>
      <c r="CE786" s="873" t="str">
        <f t="shared" si="63"/>
        <v/>
      </c>
      <c r="CF786" s="873" t="str">
        <f t="shared" si="64"/>
        <v/>
      </c>
      <c r="CG786" s="873" t="str">
        <f t="shared" si="65"/>
        <v/>
      </c>
      <c r="CH786" s="873" t="str">
        <f t="shared" si="66"/>
        <v/>
      </c>
      <c r="CI786" s="873" t="str">
        <f t="shared" si="67"/>
        <v/>
      </c>
      <c r="CJ786" s="873" t="str">
        <f t="shared" si="68"/>
        <v/>
      </c>
      <c r="CK786" s="873" t="str">
        <f t="shared" si="69"/>
        <v/>
      </c>
      <c r="CL786" s="873" t="str">
        <f t="shared" si="70"/>
        <v/>
      </c>
      <c r="CM786" s="873" t="str">
        <f t="shared" si="71"/>
        <v/>
      </c>
      <c r="CN786" s="873" t="str">
        <f t="shared" si="72"/>
        <v/>
      </c>
      <c r="CO786" s="873" t="str">
        <f t="shared" si="73"/>
        <v/>
      </c>
      <c r="CP786" s="873" t="str">
        <f t="shared" si="74"/>
        <v/>
      </c>
      <c r="CQ786" s="873" t="str">
        <f t="shared" si="75"/>
        <v/>
      </c>
      <c r="CR786" s="873" t="str">
        <f t="shared" si="76"/>
        <v/>
      </c>
      <c r="CS786" s="873" t="str">
        <f t="shared" si="77"/>
        <v/>
      </c>
      <c r="CT786" s="873" t="str">
        <f t="shared" si="78"/>
        <v/>
      </c>
      <c r="CU786" s="873" t="str">
        <f t="shared" si="79"/>
        <v/>
      </c>
      <c r="CV786" s="873" t="str">
        <f t="shared" si="80"/>
        <v/>
      </c>
      <c r="CW786" s="873" t="str">
        <f t="shared" si="81"/>
        <v/>
      </c>
      <c r="CX786" s="873" t="str">
        <f t="shared" si="82"/>
        <v/>
      </c>
      <c r="CY786" s="873" t="str">
        <f t="shared" si="83"/>
        <v/>
      </c>
      <c r="CZ786" s="873" t="str">
        <f t="shared" si="84"/>
        <v/>
      </c>
      <c r="DA786" s="873" t="str">
        <f t="shared" si="85"/>
        <v/>
      </c>
      <c r="DB786" s="873" t="str">
        <f t="shared" si="86"/>
        <v/>
      </c>
      <c r="DC786" s="873" t="str">
        <f t="shared" si="87"/>
        <v/>
      </c>
      <c r="DD786" s="873" t="str">
        <f t="shared" si="88"/>
        <v/>
      </c>
      <c r="DE786" s="873" t="str">
        <f t="shared" si="89"/>
        <v/>
      </c>
      <c r="DF786" s="873" t="str">
        <f t="shared" si="90"/>
        <v/>
      </c>
      <c r="DG786" s="873" t="str">
        <f t="shared" si="91"/>
        <v/>
      </c>
      <c r="DH786" s="873" t="str">
        <f t="shared" si="92"/>
        <v/>
      </c>
      <c r="DI786" s="873" t="str">
        <f t="shared" si="93"/>
        <v/>
      </c>
      <c r="DJ786" s="873" t="str">
        <f t="shared" si="94"/>
        <v/>
      </c>
      <c r="DK786" s="873" t="str">
        <f t="shared" si="95"/>
        <v/>
      </c>
      <c r="DL786" s="873" t="str">
        <f t="shared" si="96"/>
        <v/>
      </c>
      <c r="DM786" s="873" t="str">
        <f t="shared" si="97"/>
        <v/>
      </c>
      <c r="DN786" s="873" t="str">
        <f t="shared" si="98"/>
        <v/>
      </c>
      <c r="DO786" s="873" t="str">
        <f t="shared" si="99"/>
        <v/>
      </c>
      <c r="DP786" s="873" t="str">
        <f t="shared" si="100"/>
        <v/>
      </c>
      <c r="DQ786" s="873" t="str">
        <f t="shared" si="101"/>
        <v/>
      </c>
      <c r="DR786" s="873" t="str">
        <f t="shared" si="102"/>
        <v/>
      </c>
      <c r="DS786" s="873" t="str">
        <f t="shared" si="103"/>
        <v/>
      </c>
      <c r="DT786" s="873" t="str">
        <f t="shared" si="104"/>
        <v/>
      </c>
      <c r="DU786" s="873" t="str">
        <f t="shared" si="105"/>
        <v/>
      </c>
      <c r="DV786" s="873" t="str">
        <f t="shared" si="106"/>
        <v/>
      </c>
      <c r="DW786" s="873" t="str">
        <f t="shared" si="107"/>
        <v/>
      </c>
      <c r="DX786" s="873" t="str">
        <f t="shared" si="108"/>
        <v/>
      </c>
      <c r="DY786" s="873" t="str">
        <f t="shared" si="109"/>
        <v/>
      </c>
      <c r="DZ786" s="873" t="str">
        <f t="shared" si="110"/>
        <v/>
      </c>
      <c r="EA786" s="873" t="str">
        <f t="shared" si="111"/>
        <v/>
      </c>
      <c r="EB786" s="873" t="str">
        <f t="shared" si="112"/>
        <v/>
      </c>
      <c r="EC786" s="873" t="str">
        <f t="shared" si="113"/>
        <v/>
      </c>
      <c r="ED786" s="873" t="str">
        <f t="shared" si="114"/>
        <v/>
      </c>
      <c r="EE786" s="873" t="str">
        <f t="shared" si="115"/>
        <v/>
      </c>
      <c r="EF786" s="873" t="str">
        <f t="shared" si="116"/>
        <v/>
      </c>
      <c r="EG786" s="873" t="str">
        <f t="shared" si="117"/>
        <v/>
      </c>
      <c r="EH786" s="873" t="str">
        <f t="shared" si="118"/>
        <v/>
      </c>
      <c r="EI786" s="873" t="str">
        <f t="shared" si="119"/>
        <v/>
      </c>
      <c r="EJ786" s="873" t="str">
        <f t="shared" si="120"/>
        <v/>
      </c>
      <c r="EK786" s="873" t="str">
        <f t="shared" si="121"/>
        <v/>
      </c>
      <c r="EL786" s="873" t="str">
        <f t="shared" si="122"/>
        <v/>
      </c>
      <c r="EM786" s="873" t="str">
        <f t="shared" si="123"/>
        <v/>
      </c>
      <c r="EN786" s="873" t="str">
        <f t="shared" si="124"/>
        <v/>
      </c>
      <c r="EO786" s="873" t="str">
        <f t="shared" si="125"/>
        <v/>
      </c>
      <c r="EP786" s="873" t="str">
        <f t="shared" si="126"/>
        <v/>
      </c>
      <c r="EQ786" s="873" t="str">
        <f t="shared" si="127"/>
        <v/>
      </c>
      <c r="ER786" s="873" t="str">
        <f t="shared" si="128"/>
        <v/>
      </c>
      <c r="ES786" s="873" t="str">
        <f t="shared" si="129"/>
        <v/>
      </c>
      <c r="ET786" s="873" t="str">
        <f t="shared" si="130"/>
        <v/>
      </c>
      <c r="EU786" s="873" t="str">
        <f t="shared" si="131"/>
        <v/>
      </c>
      <c r="EV786" s="873" t="str">
        <f t="shared" si="132"/>
        <v/>
      </c>
      <c r="EW786" s="2288" t="str">
        <f t="shared" si="133"/>
        <v/>
      </c>
      <c r="EX786" s="2288" t="str">
        <f t="shared" si="134"/>
        <v/>
      </c>
      <c r="EY786" s="2288" t="str">
        <f t="shared" si="135"/>
        <v/>
      </c>
      <c r="EZ786" s="2288" t="str">
        <f t="shared" si="136"/>
        <v/>
      </c>
      <c r="FA786" s="2288" t="str">
        <f t="shared" si="137"/>
        <v/>
      </c>
      <c r="FB786" s="2288" t="str">
        <f t="shared" si="138"/>
        <v/>
      </c>
      <c r="FC786" s="2288" t="str">
        <f t="shared" si="139"/>
        <v/>
      </c>
      <c r="FD786" s="2288" t="str">
        <f t="shared" si="140"/>
        <v/>
      </c>
      <c r="FE786" s="2288" t="str">
        <f t="shared" si="141"/>
        <v/>
      </c>
      <c r="FF786" s="2288" t="str">
        <f t="shared" si="142"/>
        <v/>
      </c>
      <c r="FG786" s="2288" t="str">
        <f t="shared" si="143"/>
        <v/>
      </c>
      <c r="FH786" s="2288" t="str">
        <f t="shared" si="144"/>
        <v/>
      </c>
      <c r="FI786" s="2288" t="str">
        <f t="shared" si="145"/>
        <v/>
      </c>
      <c r="FJ786" s="2288" t="str">
        <f t="shared" si="146"/>
        <v/>
      </c>
      <c r="FK786" s="2288" t="str">
        <f t="shared" si="147"/>
        <v/>
      </c>
      <c r="FL786" s="2288" t="str">
        <f t="shared" si="148"/>
        <v/>
      </c>
      <c r="FM786" s="2288" t="str">
        <f t="shared" si="149"/>
        <v/>
      </c>
      <c r="FN786" s="2288" t="str">
        <f t="shared" si="150"/>
        <v/>
      </c>
      <c r="FO786" s="2288" t="str">
        <f t="shared" si="151"/>
        <v/>
      </c>
      <c r="FP786" s="2288" t="str">
        <f t="shared" si="152"/>
        <v/>
      </c>
      <c r="FQ786" s="2288" t="str">
        <f t="shared" si="153"/>
        <v/>
      </c>
      <c r="FR786" s="2288" t="str">
        <f t="shared" si="154"/>
        <v/>
      </c>
      <c r="FS786" s="2288" t="str">
        <f t="shared" si="155"/>
        <v/>
      </c>
      <c r="FT786" s="2288" t="str">
        <f t="shared" si="156"/>
        <v/>
      </c>
      <c r="FU786" s="2288" t="str">
        <f t="shared" si="157"/>
        <v/>
      </c>
      <c r="FV786" s="2288" t="str">
        <f t="shared" si="158"/>
        <v/>
      </c>
      <c r="FW786" s="2288" t="str">
        <f t="shared" si="159"/>
        <v/>
      </c>
      <c r="FX786" s="2288" t="str">
        <f t="shared" si="160"/>
        <v/>
      </c>
      <c r="FY786" s="2288" t="str">
        <f t="shared" si="161"/>
        <v/>
      </c>
      <c r="FZ786" s="2288" t="str">
        <f t="shared" si="162"/>
        <v/>
      </c>
      <c r="GA786" s="2288" t="str">
        <f t="shared" si="163"/>
        <v/>
      </c>
      <c r="GB786" s="2288" t="str">
        <f t="shared" si="164"/>
        <v/>
      </c>
      <c r="GC786" s="2288" t="str">
        <f t="shared" si="165"/>
        <v/>
      </c>
      <c r="GD786" s="2288" t="str">
        <f t="shared" si="166"/>
        <v/>
      </c>
      <c r="GE786" s="2288" t="str">
        <f t="shared" si="167"/>
        <v/>
      </c>
      <c r="GF786" s="2288" t="str">
        <f t="shared" si="168"/>
        <v/>
      </c>
      <c r="GG786" s="2288" t="str">
        <f t="shared" si="169"/>
        <v/>
      </c>
      <c r="GH786" s="2288" t="str">
        <f t="shared" si="170"/>
        <v/>
      </c>
      <c r="GI786" s="2288" t="str">
        <f t="shared" si="171"/>
        <v/>
      </c>
      <c r="GJ786" s="2288" t="str">
        <f t="shared" si="172"/>
        <v/>
      </c>
      <c r="GK786" s="2288" t="str">
        <f t="shared" si="173"/>
        <v/>
      </c>
      <c r="GL786" s="2288" t="str">
        <f t="shared" si="174"/>
        <v/>
      </c>
      <c r="GM786" s="2288" t="str">
        <f t="shared" si="175"/>
        <v/>
      </c>
      <c r="GN786" s="2288" t="str">
        <f t="shared" si="176"/>
        <v/>
      </c>
      <c r="GO786" s="2288" t="str">
        <f t="shared" si="177"/>
        <v/>
      </c>
      <c r="GP786" s="2288" t="str">
        <f t="shared" si="178"/>
        <v/>
      </c>
      <c r="GQ786" s="2288" t="str">
        <f t="shared" si="179"/>
        <v/>
      </c>
      <c r="GR786" s="2288" t="str">
        <f t="shared" si="180"/>
        <v/>
      </c>
      <c r="GS786" s="2288" t="str">
        <f t="shared" si="181"/>
        <v/>
      </c>
      <c r="GT786" s="2288" t="str">
        <f t="shared" si="182"/>
        <v/>
      </c>
      <c r="GU786" s="2288" t="str">
        <f t="shared" si="183"/>
        <v/>
      </c>
      <c r="GV786" s="2288" t="str">
        <f t="shared" si="184"/>
        <v/>
      </c>
      <c r="GW786" s="2288" t="str">
        <f t="shared" si="185"/>
        <v/>
      </c>
      <c r="GX786" s="2288" t="str">
        <f t="shared" si="186"/>
        <v/>
      </c>
      <c r="GY786" s="2288" t="str">
        <f t="shared" si="187"/>
        <v/>
      </c>
      <c r="GZ786" s="2288" t="str">
        <f t="shared" si="188"/>
        <v/>
      </c>
      <c r="HA786" s="2288" t="str">
        <f t="shared" si="189"/>
        <v/>
      </c>
      <c r="HB786" s="2288" t="str">
        <f t="shared" si="190"/>
        <v/>
      </c>
      <c r="HC786" s="2288" t="str">
        <f t="shared" si="191"/>
        <v/>
      </c>
      <c r="HD786" s="2288" t="str">
        <f t="shared" si="192"/>
        <v/>
      </c>
      <c r="HE786" s="2288" t="str">
        <f t="shared" si="193"/>
        <v/>
      </c>
      <c r="HF786" s="2288" t="str">
        <f t="shared" si="194"/>
        <v/>
      </c>
      <c r="HG786" s="2288" t="str">
        <f t="shared" si="195"/>
        <v/>
      </c>
      <c r="HH786" s="2288" t="str">
        <f t="shared" si="196"/>
        <v/>
      </c>
      <c r="HI786" s="2288" t="str">
        <f t="shared" si="197"/>
        <v/>
      </c>
      <c r="HJ786" s="2288" t="str">
        <f t="shared" si="198"/>
        <v/>
      </c>
      <c r="HK786" s="2288" t="str">
        <f t="shared" si="199"/>
        <v/>
      </c>
      <c r="HL786" s="2288" t="str">
        <f t="shared" si="200"/>
        <v/>
      </c>
      <c r="HM786" s="2288" t="str">
        <f t="shared" si="201"/>
        <v/>
      </c>
      <c r="HN786" s="2288" t="str">
        <f t="shared" si="202"/>
        <v/>
      </c>
      <c r="HO786" s="2288" t="str">
        <f t="shared" si="203"/>
        <v/>
      </c>
      <c r="HP786" s="2288" t="str">
        <f t="shared" si="204"/>
        <v/>
      </c>
      <c r="HQ786" s="2288" t="str">
        <f t="shared" si="205"/>
        <v/>
      </c>
      <c r="HR786" s="2288" t="str">
        <f t="shared" si="206"/>
        <v/>
      </c>
      <c r="HS786" s="2288" t="str">
        <f t="shared" si="207"/>
        <v/>
      </c>
      <c r="HT786" s="2288" t="str">
        <f t="shared" si="208"/>
        <v/>
      </c>
      <c r="HU786" s="2288" t="str">
        <f t="shared" si="209"/>
        <v/>
      </c>
      <c r="HV786" s="2288" t="str">
        <f t="shared" si="210"/>
        <v/>
      </c>
      <c r="HW786" s="2288" t="str">
        <f t="shared" si="211"/>
        <v/>
      </c>
      <c r="HX786" s="2288" t="str">
        <f t="shared" si="212"/>
        <v/>
      </c>
      <c r="HY786" s="2288" t="str">
        <f t="shared" si="213"/>
        <v/>
      </c>
      <c r="HZ786" s="2288" t="str">
        <f t="shared" si="214"/>
        <v/>
      </c>
      <c r="IA786" s="2288" t="str">
        <f t="shared" si="215"/>
        <v/>
      </c>
      <c r="IB786" s="2288" t="str">
        <f t="shared" si="216"/>
        <v/>
      </c>
      <c r="IC786" s="2288" t="str">
        <f t="shared" si="217"/>
        <v/>
      </c>
      <c r="ID786" s="2255" t="str">
        <f t="shared" si="218"/>
        <v/>
      </c>
      <c r="IE786" s="2255" t="str">
        <f t="shared" si="219"/>
        <v/>
      </c>
      <c r="IF786" s="2255" t="str">
        <f t="shared" si="220"/>
        <v/>
      </c>
      <c r="IG786" s="2255" t="str">
        <f t="shared" si="221"/>
        <v/>
      </c>
      <c r="IH786" s="2255" t="str">
        <f t="shared" si="222"/>
        <v/>
      </c>
      <c r="II786" s="873" t="str">
        <f t="shared" si="223"/>
        <v/>
      </c>
      <c r="IJ786" s="873" t="str">
        <f t="shared" si="224"/>
        <v/>
      </c>
      <c r="IK786" s="873" t="str">
        <f t="shared" si="225"/>
        <v/>
      </c>
      <c r="IL786" s="873" t="str">
        <f t="shared" si="226"/>
        <v/>
      </c>
      <c r="IM786" s="873" t="str">
        <f t="shared" si="227"/>
        <v/>
      </c>
      <c r="IN786" s="873" t="str">
        <f t="shared" si="228"/>
        <v/>
      </c>
      <c r="IO786" s="873" t="str">
        <f t="shared" si="229"/>
        <v/>
      </c>
      <c r="IP786" s="873" t="str">
        <f t="shared" si="230"/>
        <v/>
      </c>
      <c r="IQ786" s="873" t="str">
        <f t="shared" si="231"/>
        <v/>
      </c>
      <c r="IR786" s="873" t="str">
        <f t="shared" si="232"/>
        <v/>
      </c>
      <c r="IS786" s="873" t="str">
        <f t="shared" si="233"/>
        <v/>
      </c>
      <c r="IT786" s="873" t="str">
        <f t="shared" si="234"/>
        <v/>
      </c>
      <c r="IU786" s="873" t="str">
        <f t="shared" si="235"/>
        <v/>
      </c>
      <c r="IV786" s="873" t="str">
        <f t="shared" si="236"/>
        <v/>
      </c>
      <c r="IW786" s="873" t="str">
        <f t="shared" si="237"/>
        <v/>
      </c>
      <c r="IX786" s="873" t="str">
        <f t="shared" si="238"/>
        <v/>
      </c>
      <c r="IY786" s="873" t="str">
        <f t="shared" si="239"/>
        <v/>
      </c>
      <c r="IZ786" s="873" t="str">
        <f t="shared" si="240"/>
        <v/>
      </c>
      <c r="JA786" s="873" t="str">
        <f t="shared" si="241"/>
        <v/>
      </c>
      <c r="JB786" s="873" t="str">
        <f t="shared" si="242"/>
        <v/>
      </c>
      <c r="JC786" s="2253">
        <f t="shared" si="243"/>
        <v>0</v>
      </c>
      <c r="JD786" s="2253">
        <f t="shared" si="244"/>
        <v>0</v>
      </c>
      <c r="JE786" s="2253">
        <f t="shared" si="245"/>
        <v>0</v>
      </c>
      <c r="JF786" s="2253">
        <f t="shared" si="246"/>
        <v>0</v>
      </c>
      <c r="JG786" s="2253">
        <f t="shared" si="247"/>
        <v>0</v>
      </c>
      <c r="JH786" s="2253">
        <f t="shared" si="248"/>
        <v>0</v>
      </c>
      <c r="JI786" s="2253">
        <f t="shared" si="249"/>
        <v>0</v>
      </c>
      <c r="JJ786" s="2253">
        <f t="shared" si="250"/>
        <v>0</v>
      </c>
      <c r="JK786" s="2253">
        <f t="shared" si="251"/>
        <v>0</v>
      </c>
      <c r="JL786" s="2253">
        <f t="shared" si="252"/>
        <v>0</v>
      </c>
      <c r="JM786" s="2253">
        <f t="shared" si="253"/>
        <v>0</v>
      </c>
      <c r="JN786" s="2253">
        <f t="shared" si="254"/>
        <v>0</v>
      </c>
      <c r="JO786" s="2253">
        <f t="shared" si="255"/>
        <v>0</v>
      </c>
      <c r="JP786" s="2253">
        <f t="shared" si="256"/>
        <v>0</v>
      </c>
      <c r="JQ786" s="2253">
        <f t="shared" si="257"/>
        <v>0</v>
      </c>
    </row>
    <row r="787" spans="1:278" ht="12" customHeight="1">
      <c r="A787" s="2258" t="str">
        <f t="shared" si="0"/>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1"/>
        <v>0</v>
      </c>
      <c r="L787" s="2284">
        <f t="shared" si="2"/>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3" t="str">
        <f t="shared" si="3"/>
        <v/>
      </c>
      <c r="X787" s="873" t="str">
        <f t="shared" si="4"/>
        <v/>
      </c>
      <c r="Y787" s="873" t="str">
        <f t="shared" si="5"/>
        <v/>
      </c>
      <c r="Z787" s="873" t="str">
        <f t="shared" si="6"/>
        <v/>
      </c>
      <c r="AA787" s="873" t="str">
        <f t="shared" si="7"/>
        <v/>
      </c>
      <c r="AB787" s="873" t="str">
        <f t="shared" si="8"/>
        <v/>
      </c>
      <c r="AC787" s="873" t="str">
        <f t="shared" si="9"/>
        <v/>
      </c>
      <c r="AD787" s="873" t="str">
        <f t="shared" si="10"/>
        <v/>
      </c>
      <c r="AE787" s="873" t="str">
        <f t="shared" si="11"/>
        <v/>
      </c>
      <c r="AF787" s="873" t="str">
        <f t="shared" si="12"/>
        <v/>
      </c>
      <c r="AG787" s="873" t="str">
        <f t="shared" si="13"/>
        <v/>
      </c>
      <c r="AH787" s="873" t="str">
        <f t="shared" si="14"/>
        <v/>
      </c>
      <c r="AI787" s="873" t="str">
        <f t="shared" si="15"/>
        <v/>
      </c>
      <c r="AJ787" s="873" t="str">
        <f t="shared" si="16"/>
        <v/>
      </c>
      <c r="AK787" s="873" t="str">
        <f t="shared" si="17"/>
        <v/>
      </c>
      <c r="AL787" s="873" t="str">
        <f t="shared" si="18"/>
        <v/>
      </c>
      <c r="AM787" s="873" t="str">
        <f t="shared" si="19"/>
        <v/>
      </c>
      <c r="AN787" s="873" t="str">
        <f t="shared" si="20"/>
        <v/>
      </c>
      <c r="AO787" s="873" t="str">
        <f t="shared" si="21"/>
        <v/>
      </c>
      <c r="AP787" s="873" t="str">
        <f t="shared" si="22"/>
        <v/>
      </c>
      <c r="AQ787" s="873" t="str">
        <f t="shared" si="23"/>
        <v/>
      </c>
      <c r="AR787" s="873" t="str">
        <f t="shared" si="24"/>
        <v/>
      </c>
      <c r="AS787" s="873" t="str">
        <f t="shared" si="25"/>
        <v/>
      </c>
      <c r="AT787" s="873" t="str">
        <f t="shared" si="26"/>
        <v/>
      </c>
      <c r="AU787" s="873" t="str">
        <f t="shared" si="27"/>
        <v/>
      </c>
      <c r="AV787" s="873" t="str">
        <f t="shared" si="28"/>
        <v/>
      </c>
      <c r="AW787" s="873" t="str">
        <f t="shared" si="29"/>
        <v/>
      </c>
      <c r="AX787" s="873" t="str">
        <f t="shared" si="30"/>
        <v/>
      </c>
      <c r="AY787" s="873" t="str">
        <f t="shared" si="31"/>
        <v/>
      </c>
      <c r="AZ787" s="873" t="str">
        <f t="shared" si="32"/>
        <v/>
      </c>
      <c r="BA787" s="873" t="str">
        <f t="shared" si="33"/>
        <v/>
      </c>
      <c r="BB787" s="873" t="str">
        <f t="shared" si="34"/>
        <v/>
      </c>
      <c r="BC787" s="873" t="str">
        <f t="shared" si="35"/>
        <v/>
      </c>
      <c r="BD787" s="873" t="str">
        <f t="shared" si="36"/>
        <v/>
      </c>
      <c r="BE787" s="873" t="str">
        <f t="shared" si="37"/>
        <v/>
      </c>
      <c r="BF787" s="873" t="str">
        <f t="shared" si="38"/>
        <v/>
      </c>
      <c r="BG787" s="873" t="str">
        <f t="shared" si="39"/>
        <v/>
      </c>
      <c r="BH787" s="873" t="str">
        <f t="shared" si="40"/>
        <v/>
      </c>
      <c r="BI787" s="873" t="str">
        <f t="shared" si="41"/>
        <v/>
      </c>
      <c r="BJ787" s="873" t="str">
        <f t="shared" si="42"/>
        <v/>
      </c>
      <c r="BK787" s="873" t="str">
        <f t="shared" si="43"/>
        <v/>
      </c>
      <c r="BL787" s="873" t="str">
        <f t="shared" si="44"/>
        <v/>
      </c>
      <c r="BM787" s="873" t="str">
        <f t="shared" si="45"/>
        <v/>
      </c>
      <c r="BN787" s="873" t="str">
        <f t="shared" si="46"/>
        <v/>
      </c>
      <c r="BO787" s="873" t="str">
        <f t="shared" si="47"/>
        <v/>
      </c>
      <c r="BP787" s="873" t="str">
        <f t="shared" si="48"/>
        <v/>
      </c>
      <c r="BQ787" s="873" t="str">
        <f t="shared" si="49"/>
        <v/>
      </c>
      <c r="BR787" s="873" t="str">
        <f t="shared" si="50"/>
        <v/>
      </c>
      <c r="BS787" s="873" t="str">
        <f t="shared" si="51"/>
        <v/>
      </c>
      <c r="BT787" s="873" t="str">
        <f t="shared" si="52"/>
        <v/>
      </c>
      <c r="BU787" s="873" t="str">
        <f t="shared" si="53"/>
        <v/>
      </c>
      <c r="BV787" s="873" t="str">
        <f t="shared" si="54"/>
        <v/>
      </c>
      <c r="BW787" s="873" t="str">
        <f t="shared" si="55"/>
        <v/>
      </c>
      <c r="BX787" s="873" t="str">
        <f t="shared" si="56"/>
        <v/>
      </c>
      <c r="BY787" s="873" t="str">
        <f t="shared" si="57"/>
        <v/>
      </c>
      <c r="BZ787" s="873" t="str">
        <f t="shared" si="58"/>
        <v/>
      </c>
      <c r="CA787" s="873" t="str">
        <f t="shared" si="59"/>
        <v/>
      </c>
      <c r="CB787" s="873" t="str">
        <f t="shared" si="60"/>
        <v/>
      </c>
      <c r="CC787" s="873" t="str">
        <f t="shared" si="61"/>
        <v/>
      </c>
      <c r="CD787" s="873" t="str">
        <f t="shared" si="62"/>
        <v/>
      </c>
      <c r="CE787" s="873" t="str">
        <f t="shared" si="63"/>
        <v/>
      </c>
      <c r="CF787" s="873" t="str">
        <f t="shared" si="64"/>
        <v/>
      </c>
      <c r="CG787" s="873" t="str">
        <f t="shared" si="65"/>
        <v/>
      </c>
      <c r="CH787" s="873" t="str">
        <f t="shared" si="66"/>
        <v/>
      </c>
      <c r="CI787" s="873" t="str">
        <f t="shared" si="67"/>
        <v/>
      </c>
      <c r="CJ787" s="873" t="str">
        <f t="shared" si="68"/>
        <v/>
      </c>
      <c r="CK787" s="873" t="str">
        <f t="shared" si="69"/>
        <v/>
      </c>
      <c r="CL787" s="873" t="str">
        <f t="shared" si="70"/>
        <v/>
      </c>
      <c r="CM787" s="873" t="str">
        <f t="shared" si="71"/>
        <v/>
      </c>
      <c r="CN787" s="873" t="str">
        <f t="shared" si="72"/>
        <v/>
      </c>
      <c r="CO787" s="873" t="str">
        <f t="shared" si="73"/>
        <v/>
      </c>
      <c r="CP787" s="873" t="str">
        <f t="shared" si="74"/>
        <v/>
      </c>
      <c r="CQ787" s="873" t="str">
        <f t="shared" si="75"/>
        <v/>
      </c>
      <c r="CR787" s="873" t="str">
        <f t="shared" si="76"/>
        <v/>
      </c>
      <c r="CS787" s="873" t="str">
        <f t="shared" si="77"/>
        <v/>
      </c>
      <c r="CT787" s="873" t="str">
        <f t="shared" si="78"/>
        <v/>
      </c>
      <c r="CU787" s="873" t="str">
        <f t="shared" si="79"/>
        <v/>
      </c>
      <c r="CV787" s="873" t="str">
        <f t="shared" si="80"/>
        <v/>
      </c>
      <c r="CW787" s="873" t="str">
        <f t="shared" si="81"/>
        <v/>
      </c>
      <c r="CX787" s="873" t="str">
        <f t="shared" si="82"/>
        <v/>
      </c>
      <c r="CY787" s="873" t="str">
        <f t="shared" si="83"/>
        <v/>
      </c>
      <c r="CZ787" s="873" t="str">
        <f t="shared" si="84"/>
        <v/>
      </c>
      <c r="DA787" s="873" t="str">
        <f t="shared" si="85"/>
        <v/>
      </c>
      <c r="DB787" s="873" t="str">
        <f t="shared" si="86"/>
        <v/>
      </c>
      <c r="DC787" s="873" t="str">
        <f t="shared" si="87"/>
        <v/>
      </c>
      <c r="DD787" s="873" t="str">
        <f t="shared" si="88"/>
        <v/>
      </c>
      <c r="DE787" s="873" t="str">
        <f t="shared" si="89"/>
        <v/>
      </c>
      <c r="DF787" s="873" t="str">
        <f t="shared" si="90"/>
        <v/>
      </c>
      <c r="DG787" s="873" t="str">
        <f t="shared" si="91"/>
        <v/>
      </c>
      <c r="DH787" s="873" t="str">
        <f t="shared" si="92"/>
        <v/>
      </c>
      <c r="DI787" s="873" t="str">
        <f t="shared" si="93"/>
        <v/>
      </c>
      <c r="DJ787" s="873" t="str">
        <f t="shared" si="94"/>
        <v/>
      </c>
      <c r="DK787" s="873" t="str">
        <f t="shared" si="95"/>
        <v/>
      </c>
      <c r="DL787" s="873" t="str">
        <f t="shared" si="96"/>
        <v/>
      </c>
      <c r="DM787" s="873" t="str">
        <f t="shared" si="97"/>
        <v/>
      </c>
      <c r="DN787" s="873" t="str">
        <f t="shared" si="98"/>
        <v/>
      </c>
      <c r="DO787" s="873" t="str">
        <f t="shared" si="99"/>
        <v/>
      </c>
      <c r="DP787" s="873" t="str">
        <f t="shared" si="100"/>
        <v/>
      </c>
      <c r="DQ787" s="873" t="str">
        <f t="shared" si="101"/>
        <v/>
      </c>
      <c r="DR787" s="873" t="str">
        <f t="shared" si="102"/>
        <v/>
      </c>
      <c r="DS787" s="873" t="str">
        <f t="shared" si="103"/>
        <v/>
      </c>
      <c r="DT787" s="873" t="str">
        <f t="shared" si="104"/>
        <v/>
      </c>
      <c r="DU787" s="873" t="str">
        <f t="shared" si="105"/>
        <v/>
      </c>
      <c r="DV787" s="873" t="str">
        <f t="shared" si="106"/>
        <v/>
      </c>
      <c r="DW787" s="873" t="str">
        <f t="shared" si="107"/>
        <v/>
      </c>
      <c r="DX787" s="873" t="str">
        <f t="shared" si="108"/>
        <v/>
      </c>
      <c r="DY787" s="873" t="str">
        <f t="shared" si="109"/>
        <v/>
      </c>
      <c r="DZ787" s="873" t="str">
        <f t="shared" si="110"/>
        <v/>
      </c>
      <c r="EA787" s="873" t="str">
        <f t="shared" si="111"/>
        <v/>
      </c>
      <c r="EB787" s="873" t="str">
        <f t="shared" si="112"/>
        <v/>
      </c>
      <c r="EC787" s="873" t="str">
        <f t="shared" si="113"/>
        <v/>
      </c>
      <c r="ED787" s="873" t="str">
        <f t="shared" si="114"/>
        <v/>
      </c>
      <c r="EE787" s="873" t="str">
        <f t="shared" si="115"/>
        <v/>
      </c>
      <c r="EF787" s="873" t="str">
        <f t="shared" si="116"/>
        <v/>
      </c>
      <c r="EG787" s="873" t="str">
        <f t="shared" si="117"/>
        <v/>
      </c>
      <c r="EH787" s="873" t="str">
        <f t="shared" si="118"/>
        <v/>
      </c>
      <c r="EI787" s="873" t="str">
        <f t="shared" si="119"/>
        <v/>
      </c>
      <c r="EJ787" s="873" t="str">
        <f t="shared" si="120"/>
        <v/>
      </c>
      <c r="EK787" s="873" t="str">
        <f t="shared" si="121"/>
        <v/>
      </c>
      <c r="EL787" s="873" t="str">
        <f t="shared" si="122"/>
        <v/>
      </c>
      <c r="EM787" s="873" t="str">
        <f t="shared" si="123"/>
        <v/>
      </c>
      <c r="EN787" s="873" t="str">
        <f t="shared" si="124"/>
        <v/>
      </c>
      <c r="EO787" s="873" t="str">
        <f t="shared" si="125"/>
        <v/>
      </c>
      <c r="EP787" s="873" t="str">
        <f t="shared" si="126"/>
        <v/>
      </c>
      <c r="EQ787" s="873" t="str">
        <f t="shared" si="127"/>
        <v/>
      </c>
      <c r="ER787" s="873" t="str">
        <f t="shared" si="128"/>
        <v/>
      </c>
      <c r="ES787" s="873" t="str">
        <f t="shared" si="129"/>
        <v/>
      </c>
      <c r="ET787" s="873" t="str">
        <f t="shared" si="130"/>
        <v/>
      </c>
      <c r="EU787" s="873" t="str">
        <f t="shared" si="131"/>
        <v/>
      </c>
      <c r="EV787" s="873" t="str">
        <f t="shared" si="132"/>
        <v/>
      </c>
      <c r="EW787" s="2288" t="str">
        <f t="shared" si="133"/>
        <v/>
      </c>
      <c r="EX787" s="2288" t="str">
        <f t="shared" si="134"/>
        <v/>
      </c>
      <c r="EY787" s="2288" t="str">
        <f t="shared" si="135"/>
        <v/>
      </c>
      <c r="EZ787" s="2288" t="str">
        <f t="shared" si="136"/>
        <v/>
      </c>
      <c r="FA787" s="2288" t="str">
        <f t="shared" si="137"/>
        <v/>
      </c>
      <c r="FB787" s="2288" t="str">
        <f t="shared" si="138"/>
        <v/>
      </c>
      <c r="FC787" s="2288" t="str">
        <f t="shared" si="139"/>
        <v/>
      </c>
      <c r="FD787" s="2288" t="str">
        <f t="shared" si="140"/>
        <v/>
      </c>
      <c r="FE787" s="2288" t="str">
        <f t="shared" si="141"/>
        <v/>
      </c>
      <c r="FF787" s="2288" t="str">
        <f t="shared" si="142"/>
        <v/>
      </c>
      <c r="FG787" s="2288" t="str">
        <f t="shared" si="143"/>
        <v/>
      </c>
      <c r="FH787" s="2288" t="str">
        <f t="shared" si="144"/>
        <v/>
      </c>
      <c r="FI787" s="2288" t="str">
        <f t="shared" si="145"/>
        <v/>
      </c>
      <c r="FJ787" s="2288" t="str">
        <f t="shared" si="146"/>
        <v/>
      </c>
      <c r="FK787" s="2288" t="str">
        <f t="shared" si="147"/>
        <v/>
      </c>
      <c r="FL787" s="2288" t="str">
        <f t="shared" si="148"/>
        <v/>
      </c>
      <c r="FM787" s="2288" t="str">
        <f t="shared" si="149"/>
        <v/>
      </c>
      <c r="FN787" s="2288" t="str">
        <f t="shared" si="150"/>
        <v/>
      </c>
      <c r="FO787" s="2288" t="str">
        <f t="shared" si="151"/>
        <v/>
      </c>
      <c r="FP787" s="2288" t="str">
        <f t="shared" si="152"/>
        <v/>
      </c>
      <c r="FQ787" s="2288" t="str">
        <f t="shared" si="153"/>
        <v/>
      </c>
      <c r="FR787" s="2288" t="str">
        <f t="shared" si="154"/>
        <v/>
      </c>
      <c r="FS787" s="2288" t="str">
        <f t="shared" si="155"/>
        <v/>
      </c>
      <c r="FT787" s="2288" t="str">
        <f t="shared" si="156"/>
        <v/>
      </c>
      <c r="FU787" s="2288" t="str">
        <f t="shared" si="157"/>
        <v/>
      </c>
      <c r="FV787" s="2288" t="str">
        <f t="shared" si="158"/>
        <v/>
      </c>
      <c r="FW787" s="2288" t="str">
        <f t="shared" si="159"/>
        <v/>
      </c>
      <c r="FX787" s="2288" t="str">
        <f t="shared" si="160"/>
        <v/>
      </c>
      <c r="FY787" s="2288" t="str">
        <f t="shared" si="161"/>
        <v/>
      </c>
      <c r="FZ787" s="2288" t="str">
        <f t="shared" si="162"/>
        <v/>
      </c>
      <c r="GA787" s="2288" t="str">
        <f t="shared" si="163"/>
        <v/>
      </c>
      <c r="GB787" s="2288" t="str">
        <f t="shared" si="164"/>
        <v/>
      </c>
      <c r="GC787" s="2288" t="str">
        <f t="shared" si="165"/>
        <v/>
      </c>
      <c r="GD787" s="2288" t="str">
        <f t="shared" si="166"/>
        <v/>
      </c>
      <c r="GE787" s="2288" t="str">
        <f t="shared" si="167"/>
        <v/>
      </c>
      <c r="GF787" s="2288" t="str">
        <f t="shared" si="168"/>
        <v/>
      </c>
      <c r="GG787" s="2288" t="str">
        <f t="shared" si="169"/>
        <v/>
      </c>
      <c r="GH787" s="2288" t="str">
        <f t="shared" si="170"/>
        <v/>
      </c>
      <c r="GI787" s="2288" t="str">
        <f t="shared" si="171"/>
        <v/>
      </c>
      <c r="GJ787" s="2288" t="str">
        <f t="shared" si="172"/>
        <v/>
      </c>
      <c r="GK787" s="2288" t="str">
        <f t="shared" si="173"/>
        <v/>
      </c>
      <c r="GL787" s="2288" t="str">
        <f t="shared" si="174"/>
        <v/>
      </c>
      <c r="GM787" s="2288" t="str">
        <f t="shared" si="175"/>
        <v/>
      </c>
      <c r="GN787" s="2288" t="str">
        <f t="shared" si="176"/>
        <v/>
      </c>
      <c r="GO787" s="2288" t="str">
        <f t="shared" si="177"/>
        <v/>
      </c>
      <c r="GP787" s="2288" t="str">
        <f t="shared" si="178"/>
        <v/>
      </c>
      <c r="GQ787" s="2288" t="str">
        <f t="shared" si="179"/>
        <v/>
      </c>
      <c r="GR787" s="2288" t="str">
        <f t="shared" si="180"/>
        <v/>
      </c>
      <c r="GS787" s="2288" t="str">
        <f t="shared" si="181"/>
        <v/>
      </c>
      <c r="GT787" s="2288" t="str">
        <f t="shared" si="182"/>
        <v/>
      </c>
      <c r="GU787" s="2288" t="str">
        <f t="shared" si="183"/>
        <v/>
      </c>
      <c r="GV787" s="2288" t="str">
        <f t="shared" si="184"/>
        <v/>
      </c>
      <c r="GW787" s="2288" t="str">
        <f t="shared" si="185"/>
        <v/>
      </c>
      <c r="GX787" s="2288" t="str">
        <f t="shared" si="186"/>
        <v/>
      </c>
      <c r="GY787" s="2288" t="str">
        <f t="shared" si="187"/>
        <v/>
      </c>
      <c r="GZ787" s="2288" t="str">
        <f t="shared" si="188"/>
        <v/>
      </c>
      <c r="HA787" s="2288" t="str">
        <f t="shared" si="189"/>
        <v/>
      </c>
      <c r="HB787" s="2288" t="str">
        <f t="shared" si="190"/>
        <v/>
      </c>
      <c r="HC787" s="2288" t="str">
        <f t="shared" si="191"/>
        <v/>
      </c>
      <c r="HD787" s="2288" t="str">
        <f t="shared" si="192"/>
        <v/>
      </c>
      <c r="HE787" s="2288" t="str">
        <f t="shared" si="193"/>
        <v/>
      </c>
      <c r="HF787" s="2288" t="str">
        <f t="shared" si="194"/>
        <v/>
      </c>
      <c r="HG787" s="2288" t="str">
        <f t="shared" si="195"/>
        <v/>
      </c>
      <c r="HH787" s="2288" t="str">
        <f t="shared" si="196"/>
        <v/>
      </c>
      <c r="HI787" s="2288" t="str">
        <f t="shared" si="197"/>
        <v/>
      </c>
      <c r="HJ787" s="2288" t="str">
        <f t="shared" si="198"/>
        <v/>
      </c>
      <c r="HK787" s="2288" t="str">
        <f t="shared" si="199"/>
        <v/>
      </c>
      <c r="HL787" s="2288" t="str">
        <f t="shared" si="200"/>
        <v/>
      </c>
      <c r="HM787" s="2288" t="str">
        <f t="shared" si="201"/>
        <v/>
      </c>
      <c r="HN787" s="2288" t="str">
        <f t="shared" si="202"/>
        <v/>
      </c>
      <c r="HO787" s="2288" t="str">
        <f t="shared" si="203"/>
        <v/>
      </c>
      <c r="HP787" s="2288" t="str">
        <f t="shared" si="204"/>
        <v/>
      </c>
      <c r="HQ787" s="2288" t="str">
        <f t="shared" si="205"/>
        <v/>
      </c>
      <c r="HR787" s="2288" t="str">
        <f t="shared" si="206"/>
        <v/>
      </c>
      <c r="HS787" s="2288" t="str">
        <f t="shared" si="207"/>
        <v/>
      </c>
      <c r="HT787" s="2288" t="str">
        <f t="shared" si="208"/>
        <v/>
      </c>
      <c r="HU787" s="2288" t="str">
        <f t="shared" si="209"/>
        <v/>
      </c>
      <c r="HV787" s="2288" t="str">
        <f t="shared" si="210"/>
        <v/>
      </c>
      <c r="HW787" s="2288" t="str">
        <f t="shared" si="211"/>
        <v/>
      </c>
      <c r="HX787" s="2288" t="str">
        <f t="shared" si="212"/>
        <v/>
      </c>
      <c r="HY787" s="2288" t="str">
        <f t="shared" si="213"/>
        <v/>
      </c>
      <c r="HZ787" s="2288" t="str">
        <f t="shared" si="214"/>
        <v/>
      </c>
      <c r="IA787" s="2288" t="str">
        <f t="shared" si="215"/>
        <v/>
      </c>
      <c r="IB787" s="2288" t="str">
        <f t="shared" si="216"/>
        <v/>
      </c>
      <c r="IC787" s="2288" t="str">
        <f t="shared" si="217"/>
        <v/>
      </c>
      <c r="ID787" s="2255" t="str">
        <f t="shared" si="218"/>
        <v/>
      </c>
      <c r="IE787" s="2255" t="str">
        <f t="shared" si="219"/>
        <v/>
      </c>
      <c r="IF787" s="2255" t="str">
        <f t="shared" si="220"/>
        <v/>
      </c>
      <c r="IG787" s="2255" t="str">
        <f t="shared" si="221"/>
        <v/>
      </c>
      <c r="IH787" s="2255" t="str">
        <f t="shared" si="222"/>
        <v/>
      </c>
      <c r="II787" s="873" t="str">
        <f t="shared" si="223"/>
        <v/>
      </c>
      <c r="IJ787" s="873" t="str">
        <f t="shared" si="224"/>
        <v/>
      </c>
      <c r="IK787" s="873" t="str">
        <f t="shared" si="225"/>
        <v/>
      </c>
      <c r="IL787" s="873" t="str">
        <f t="shared" si="226"/>
        <v/>
      </c>
      <c r="IM787" s="873" t="str">
        <f t="shared" si="227"/>
        <v/>
      </c>
      <c r="IN787" s="873" t="str">
        <f t="shared" si="228"/>
        <v/>
      </c>
      <c r="IO787" s="873" t="str">
        <f t="shared" si="229"/>
        <v/>
      </c>
      <c r="IP787" s="873" t="str">
        <f t="shared" si="230"/>
        <v/>
      </c>
      <c r="IQ787" s="873" t="str">
        <f t="shared" si="231"/>
        <v/>
      </c>
      <c r="IR787" s="873" t="str">
        <f t="shared" si="232"/>
        <v/>
      </c>
      <c r="IS787" s="873" t="str">
        <f t="shared" si="233"/>
        <v/>
      </c>
      <c r="IT787" s="873" t="str">
        <f t="shared" si="234"/>
        <v/>
      </c>
      <c r="IU787" s="873" t="str">
        <f t="shared" si="235"/>
        <v/>
      </c>
      <c r="IV787" s="873" t="str">
        <f t="shared" si="236"/>
        <v/>
      </c>
      <c r="IW787" s="873" t="str">
        <f t="shared" si="237"/>
        <v/>
      </c>
      <c r="IX787" s="873" t="str">
        <f t="shared" si="238"/>
        <v/>
      </c>
      <c r="IY787" s="873" t="str">
        <f t="shared" si="239"/>
        <v/>
      </c>
      <c r="IZ787" s="873" t="str">
        <f t="shared" si="240"/>
        <v/>
      </c>
      <c r="JA787" s="873" t="str">
        <f t="shared" si="241"/>
        <v/>
      </c>
      <c r="JB787" s="873" t="str">
        <f t="shared" si="242"/>
        <v/>
      </c>
      <c r="JC787" s="2253">
        <f t="shared" si="243"/>
        <v>0</v>
      </c>
      <c r="JD787" s="2253">
        <f t="shared" si="244"/>
        <v>0</v>
      </c>
      <c r="JE787" s="2253">
        <f t="shared" si="245"/>
        <v>0</v>
      </c>
      <c r="JF787" s="2253">
        <f t="shared" si="246"/>
        <v>0</v>
      </c>
      <c r="JG787" s="2253">
        <f t="shared" si="247"/>
        <v>0</v>
      </c>
      <c r="JH787" s="2253">
        <f t="shared" si="248"/>
        <v>0</v>
      </c>
      <c r="JI787" s="2253">
        <f t="shared" si="249"/>
        <v>0</v>
      </c>
      <c r="JJ787" s="2253">
        <f t="shared" si="250"/>
        <v>0</v>
      </c>
      <c r="JK787" s="2253">
        <f t="shared" si="251"/>
        <v>0</v>
      </c>
      <c r="JL787" s="2253">
        <f t="shared" si="252"/>
        <v>0</v>
      </c>
      <c r="JM787" s="2253">
        <f t="shared" si="253"/>
        <v>0</v>
      </c>
      <c r="JN787" s="2253">
        <f t="shared" si="254"/>
        <v>0</v>
      </c>
      <c r="JO787" s="2253">
        <f t="shared" si="255"/>
        <v>0</v>
      </c>
      <c r="JP787" s="2253">
        <f t="shared" si="256"/>
        <v>0</v>
      </c>
      <c r="JQ787" s="2253">
        <f t="shared" si="257"/>
        <v>0</v>
      </c>
    </row>
    <row r="788" spans="1:278" ht="12" customHeight="1">
      <c r="A788" s="2258" t="str">
        <f t="shared" si="0"/>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1"/>
        <v>0</v>
      </c>
      <c r="L788" s="2284">
        <f t="shared" si="2"/>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3" t="str">
        <f t="shared" si="3"/>
        <v/>
      </c>
      <c r="X788" s="873" t="str">
        <f t="shared" si="4"/>
        <v/>
      </c>
      <c r="Y788" s="873" t="str">
        <f t="shared" si="5"/>
        <v/>
      </c>
      <c r="Z788" s="873" t="str">
        <f t="shared" si="6"/>
        <v/>
      </c>
      <c r="AA788" s="873" t="str">
        <f t="shared" si="7"/>
        <v/>
      </c>
      <c r="AB788" s="873" t="str">
        <f t="shared" si="8"/>
        <v/>
      </c>
      <c r="AC788" s="873" t="str">
        <f t="shared" si="9"/>
        <v/>
      </c>
      <c r="AD788" s="873" t="str">
        <f t="shared" si="10"/>
        <v/>
      </c>
      <c r="AE788" s="873" t="str">
        <f t="shared" si="11"/>
        <v/>
      </c>
      <c r="AF788" s="873" t="str">
        <f t="shared" si="12"/>
        <v/>
      </c>
      <c r="AG788" s="873" t="str">
        <f t="shared" si="13"/>
        <v/>
      </c>
      <c r="AH788" s="873" t="str">
        <f t="shared" si="14"/>
        <v/>
      </c>
      <c r="AI788" s="873" t="str">
        <f t="shared" si="15"/>
        <v/>
      </c>
      <c r="AJ788" s="873" t="str">
        <f t="shared" si="16"/>
        <v/>
      </c>
      <c r="AK788" s="873" t="str">
        <f t="shared" si="17"/>
        <v/>
      </c>
      <c r="AL788" s="873" t="str">
        <f t="shared" si="18"/>
        <v/>
      </c>
      <c r="AM788" s="873" t="str">
        <f t="shared" si="19"/>
        <v/>
      </c>
      <c r="AN788" s="873" t="str">
        <f t="shared" si="20"/>
        <v/>
      </c>
      <c r="AO788" s="873" t="str">
        <f t="shared" si="21"/>
        <v/>
      </c>
      <c r="AP788" s="873" t="str">
        <f t="shared" si="22"/>
        <v/>
      </c>
      <c r="AQ788" s="873" t="str">
        <f t="shared" si="23"/>
        <v/>
      </c>
      <c r="AR788" s="873" t="str">
        <f t="shared" si="24"/>
        <v/>
      </c>
      <c r="AS788" s="873" t="str">
        <f t="shared" si="25"/>
        <v/>
      </c>
      <c r="AT788" s="873" t="str">
        <f t="shared" si="26"/>
        <v/>
      </c>
      <c r="AU788" s="873" t="str">
        <f t="shared" si="27"/>
        <v/>
      </c>
      <c r="AV788" s="873" t="str">
        <f t="shared" si="28"/>
        <v/>
      </c>
      <c r="AW788" s="873" t="str">
        <f t="shared" si="29"/>
        <v/>
      </c>
      <c r="AX788" s="873" t="str">
        <f t="shared" si="30"/>
        <v/>
      </c>
      <c r="AY788" s="873" t="str">
        <f t="shared" si="31"/>
        <v/>
      </c>
      <c r="AZ788" s="873" t="str">
        <f t="shared" si="32"/>
        <v/>
      </c>
      <c r="BA788" s="873" t="str">
        <f t="shared" si="33"/>
        <v/>
      </c>
      <c r="BB788" s="873" t="str">
        <f t="shared" si="34"/>
        <v/>
      </c>
      <c r="BC788" s="873" t="str">
        <f t="shared" si="35"/>
        <v/>
      </c>
      <c r="BD788" s="873" t="str">
        <f t="shared" si="36"/>
        <v/>
      </c>
      <c r="BE788" s="873" t="str">
        <f t="shared" si="37"/>
        <v/>
      </c>
      <c r="BF788" s="873" t="str">
        <f t="shared" si="38"/>
        <v/>
      </c>
      <c r="BG788" s="873" t="str">
        <f t="shared" si="39"/>
        <v/>
      </c>
      <c r="BH788" s="873" t="str">
        <f t="shared" si="40"/>
        <v/>
      </c>
      <c r="BI788" s="873" t="str">
        <f t="shared" si="41"/>
        <v/>
      </c>
      <c r="BJ788" s="873" t="str">
        <f t="shared" si="42"/>
        <v/>
      </c>
      <c r="BK788" s="873" t="str">
        <f t="shared" si="43"/>
        <v/>
      </c>
      <c r="BL788" s="873" t="str">
        <f t="shared" si="44"/>
        <v/>
      </c>
      <c r="BM788" s="873" t="str">
        <f t="shared" si="45"/>
        <v/>
      </c>
      <c r="BN788" s="873" t="str">
        <f t="shared" si="46"/>
        <v/>
      </c>
      <c r="BO788" s="873" t="str">
        <f t="shared" si="47"/>
        <v/>
      </c>
      <c r="BP788" s="873" t="str">
        <f t="shared" si="48"/>
        <v/>
      </c>
      <c r="BQ788" s="873" t="str">
        <f t="shared" si="49"/>
        <v/>
      </c>
      <c r="BR788" s="873" t="str">
        <f t="shared" si="50"/>
        <v/>
      </c>
      <c r="BS788" s="873" t="str">
        <f t="shared" si="51"/>
        <v/>
      </c>
      <c r="BT788" s="873" t="str">
        <f t="shared" si="52"/>
        <v/>
      </c>
      <c r="BU788" s="873" t="str">
        <f t="shared" si="53"/>
        <v/>
      </c>
      <c r="BV788" s="873" t="str">
        <f t="shared" si="54"/>
        <v/>
      </c>
      <c r="BW788" s="873" t="str">
        <f t="shared" si="55"/>
        <v/>
      </c>
      <c r="BX788" s="873" t="str">
        <f t="shared" si="56"/>
        <v/>
      </c>
      <c r="BY788" s="873" t="str">
        <f t="shared" si="57"/>
        <v/>
      </c>
      <c r="BZ788" s="873" t="str">
        <f t="shared" si="58"/>
        <v/>
      </c>
      <c r="CA788" s="873" t="str">
        <f t="shared" si="59"/>
        <v/>
      </c>
      <c r="CB788" s="873" t="str">
        <f t="shared" si="60"/>
        <v/>
      </c>
      <c r="CC788" s="873" t="str">
        <f t="shared" si="61"/>
        <v/>
      </c>
      <c r="CD788" s="873" t="str">
        <f t="shared" si="62"/>
        <v/>
      </c>
      <c r="CE788" s="873" t="str">
        <f t="shared" si="63"/>
        <v/>
      </c>
      <c r="CF788" s="873" t="str">
        <f t="shared" si="64"/>
        <v/>
      </c>
      <c r="CG788" s="873" t="str">
        <f t="shared" si="65"/>
        <v/>
      </c>
      <c r="CH788" s="873" t="str">
        <f t="shared" si="66"/>
        <v/>
      </c>
      <c r="CI788" s="873" t="str">
        <f t="shared" si="67"/>
        <v/>
      </c>
      <c r="CJ788" s="873" t="str">
        <f t="shared" si="68"/>
        <v/>
      </c>
      <c r="CK788" s="873" t="str">
        <f t="shared" si="69"/>
        <v/>
      </c>
      <c r="CL788" s="873" t="str">
        <f t="shared" si="70"/>
        <v/>
      </c>
      <c r="CM788" s="873" t="str">
        <f t="shared" si="71"/>
        <v/>
      </c>
      <c r="CN788" s="873" t="str">
        <f t="shared" si="72"/>
        <v/>
      </c>
      <c r="CO788" s="873" t="str">
        <f t="shared" si="73"/>
        <v/>
      </c>
      <c r="CP788" s="873" t="str">
        <f t="shared" si="74"/>
        <v/>
      </c>
      <c r="CQ788" s="873" t="str">
        <f t="shared" si="75"/>
        <v/>
      </c>
      <c r="CR788" s="873" t="str">
        <f t="shared" si="76"/>
        <v/>
      </c>
      <c r="CS788" s="873" t="str">
        <f t="shared" si="77"/>
        <v/>
      </c>
      <c r="CT788" s="873" t="str">
        <f t="shared" si="78"/>
        <v/>
      </c>
      <c r="CU788" s="873" t="str">
        <f t="shared" si="79"/>
        <v/>
      </c>
      <c r="CV788" s="873" t="str">
        <f t="shared" si="80"/>
        <v/>
      </c>
      <c r="CW788" s="873" t="str">
        <f t="shared" si="81"/>
        <v/>
      </c>
      <c r="CX788" s="873" t="str">
        <f t="shared" si="82"/>
        <v/>
      </c>
      <c r="CY788" s="873" t="str">
        <f t="shared" si="83"/>
        <v/>
      </c>
      <c r="CZ788" s="873" t="str">
        <f t="shared" si="84"/>
        <v/>
      </c>
      <c r="DA788" s="873" t="str">
        <f t="shared" si="85"/>
        <v/>
      </c>
      <c r="DB788" s="873" t="str">
        <f t="shared" si="86"/>
        <v/>
      </c>
      <c r="DC788" s="873" t="str">
        <f t="shared" si="87"/>
        <v/>
      </c>
      <c r="DD788" s="873" t="str">
        <f t="shared" si="88"/>
        <v/>
      </c>
      <c r="DE788" s="873" t="str">
        <f t="shared" si="89"/>
        <v/>
      </c>
      <c r="DF788" s="873" t="str">
        <f t="shared" si="90"/>
        <v/>
      </c>
      <c r="DG788" s="873" t="str">
        <f t="shared" si="91"/>
        <v/>
      </c>
      <c r="DH788" s="873" t="str">
        <f t="shared" si="92"/>
        <v/>
      </c>
      <c r="DI788" s="873" t="str">
        <f t="shared" si="93"/>
        <v/>
      </c>
      <c r="DJ788" s="873" t="str">
        <f t="shared" si="94"/>
        <v/>
      </c>
      <c r="DK788" s="873" t="str">
        <f t="shared" si="95"/>
        <v/>
      </c>
      <c r="DL788" s="873" t="str">
        <f t="shared" si="96"/>
        <v/>
      </c>
      <c r="DM788" s="873" t="str">
        <f t="shared" si="97"/>
        <v/>
      </c>
      <c r="DN788" s="873" t="str">
        <f t="shared" si="98"/>
        <v/>
      </c>
      <c r="DO788" s="873" t="str">
        <f t="shared" si="99"/>
        <v/>
      </c>
      <c r="DP788" s="873" t="str">
        <f t="shared" si="100"/>
        <v/>
      </c>
      <c r="DQ788" s="873" t="str">
        <f t="shared" si="101"/>
        <v/>
      </c>
      <c r="DR788" s="873" t="str">
        <f t="shared" si="102"/>
        <v/>
      </c>
      <c r="DS788" s="873" t="str">
        <f t="shared" si="103"/>
        <v/>
      </c>
      <c r="DT788" s="873" t="str">
        <f t="shared" si="104"/>
        <v/>
      </c>
      <c r="DU788" s="873" t="str">
        <f t="shared" si="105"/>
        <v/>
      </c>
      <c r="DV788" s="873" t="str">
        <f t="shared" si="106"/>
        <v/>
      </c>
      <c r="DW788" s="873" t="str">
        <f t="shared" si="107"/>
        <v/>
      </c>
      <c r="DX788" s="873" t="str">
        <f t="shared" si="108"/>
        <v/>
      </c>
      <c r="DY788" s="873" t="str">
        <f t="shared" si="109"/>
        <v/>
      </c>
      <c r="DZ788" s="873" t="str">
        <f t="shared" si="110"/>
        <v/>
      </c>
      <c r="EA788" s="873" t="str">
        <f t="shared" si="111"/>
        <v/>
      </c>
      <c r="EB788" s="873" t="str">
        <f t="shared" si="112"/>
        <v/>
      </c>
      <c r="EC788" s="873" t="str">
        <f t="shared" si="113"/>
        <v/>
      </c>
      <c r="ED788" s="873" t="str">
        <f t="shared" si="114"/>
        <v/>
      </c>
      <c r="EE788" s="873" t="str">
        <f t="shared" si="115"/>
        <v/>
      </c>
      <c r="EF788" s="873" t="str">
        <f t="shared" si="116"/>
        <v/>
      </c>
      <c r="EG788" s="873" t="str">
        <f t="shared" si="117"/>
        <v/>
      </c>
      <c r="EH788" s="873" t="str">
        <f t="shared" si="118"/>
        <v/>
      </c>
      <c r="EI788" s="873" t="str">
        <f t="shared" si="119"/>
        <v/>
      </c>
      <c r="EJ788" s="873" t="str">
        <f t="shared" si="120"/>
        <v/>
      </c>
      <c r="EK788" s="873" t="str">
        <f t="shared" si="121"/>
        <v/>
      </c>
      <c r="EL788" s="873" t="str">
        <f t="shared" si="122"/>
        <v/>
      </c>
      <c r="EM788" s="873" t="str">
        <f t="shared" si="123"/>
        <v/>
      </c>
      <c r="EN788" s="873" t="str">
        <f t="shared" si="124"/>
        <v/>
      </c>
      <c r="EO788" s="873" t="str">
        <f t="shared" si="125"/>
        <v/>
      </c>
      <c r="EP788" s="873" t="str">
        <f t="shared" si="126"/>
        <v/>
      </c>
      <c r="EQ788" s="873" t="str">
        <f t="shared" si="127"/>
        <v/>
      </c>
      <c r="ER788" s="873" t="str">
        <f t="shared" si="128"/>
        <v/>
      </c>
      <c r="ES788" s="873" t="str">
        <f t="shared" si="129"/>
        <v/>
      </c>
      <c r="ET788" s="873" t="str">
        <f t="shared" si="130"/>
        <v/>
      </c>
      <c r="EU788" s="873" t="str">
        <f t="shared" si="131"/>
        <v/>
      </c>
      <c r="EV788" s="873" t="str">
        <f t="shared" si="132"/>
        <v/>
      </c>
      <c r="EW788" s="2288" t="str">
        <f t="shared" si="133"/>
        <v/>
      </c>
      <c r="EX788" s="2288" t="str">
        <f t="shared" si="134"/>
        <v/>
      </c>
      <c r="EY788" s="2288" t="str">
        <f t="shared" si="135"/>
        <v/>
      </c>
      <c r="EZ788" s="2288" t="str">
        <f t="shared" si="136"/>
        <v/>
      </c>
      <c r="FA788" s="2288" t="str">
        <f t="shared" si="137"/>
        <v/>
      </c>
      <c r="FB788" s="2288" t="str">
        <f t="shared" si="138"/>
        <v/>
      </c>
      <c r="FC788" s="2288" t="str">
        <f t="shared" si="139"/>
        <v/>
      </c>
      <c r="FD788" s="2288" t="str">
        <f t="shared" si="140"/>
        <v/>
      </c>
      <c r="FE788" s="2288" t="str">
        <f t="shared" si="141"/>
        <v/>
      </c>
      <c r="FF788" s="2288" t="str">
        <f t="shared" si="142"/>
        <v/>
      </c>
      <c r="FG788" s="2288" t="str">
        <f t="shared" si="143"/>
        <v/>
      </c>
      <c r="FH788" s="2288" t="str">
        <f t="shared" si="144"/>
        <v/>
      </c>
      <c r="FI788" s="2288" t="str">
        <f t="shared" si="145"/>
        <v/>
      </c>
      <c r="FJ788" s="2288" t="str">
        <f t="shared" si="146"/>
        <v/>
      </c>
      <c r="FK788" s="2288" t="str">
        <f t="shared" si="147"/>
        <v/>
      </c>
      <c r="FL788" s="2288" t="str">
        <f t="shared" si="148"/>
        <v/>
      </c>
      <c r="FM788" s="2288" t="str">
        <f t="shared" si="149"/>
        <v/>
      </c>
      <c r="FN788" s="2288" t="str">
        <f t="shared" si="150"/>
        <v/>
      </c>
      <c r="FO788" s="2288" t="str">
        <f t="shared" si="151"/>
        <v/>
      </c>
      <c r="FP788" s="2288" t="str">
        <f t="shared" si="152"/>
        <v/>
      </c>
      <c r="FQ788" s="2288" t="str">
        <f t="shared" si="153"/>
        <v/>
      </c>
      <c r="FR788" s="2288" t="str">
        <f t="shared" si="154"/>
        <v/>
      </c>
      <c r="FS788" s="2288" t="str">
        <f t="shared" si="155"/>
        <v/>
      </c>
      <c r="FT788" s="2288" t="str">
        <f t="shared" si="156"/>
        <v/>
      </c>
      <c r="FU788" s="2288" t="str">
        <f t="shared" si="157"/>
        <v/>
      </c>
      <c r="FV788" s="2288" t="str">
        <f t="shared" si="158"/>
        <v/>
      </c>
      <c r="FW788" s="2288" t="str">
        <f t="shared" si="159"/>
        <v/>
      </c>
      <c r="FX788" s="2288" t="str">
        <f t="shared" si="160"/>
        <v/>
      </c>
      <c r="FY788" s="2288" t="str">
        <f t="shared" si="161"/>
        <v/>
      </c>
      <c r="FZ788" s="2288" t="str">
        <f t="shared" si="162"/>
        <v/>
      </c>
      <c r="GA788" s="2288" t="str">
        <f t="shared" si="163"/>
        <v/>
      </c>
      <c r="GB788" s="2288" t="str">
        <f t="shared" si="164"/>
        <v/>
      </c>
      <c r="GC788" s="2288" t="str">
        <f t="shared" si="165"/>
        <v/>
      </c>
      <c r="GD788" s="2288" t="str">
        <f t="shared" si="166"/>
        <v/>
      </c>
      <c r="GE788" s="2288" t="str">
        <f t="shared" si="167"/>
        <v/>
      </c>
      <c r="GF788" s="2288" t="str">
        <f t="shared" si="168"/>
        <v/>
      </c>
      <c r="GG788" s="2288" t="str">
        <f t="shared" si="169"/>
        <v/>
      </c>
      <c r="GH788" s="2288" t="str">
        <f t="shared" si="170"/>
        <v/>
      </c>
      <c r="GI788" s="2288" t="str">
        <f t="shared" si="171"/>
        <v/>
      </c>
      <c r="GJ788" s="2288" t="str">
        <f t="shared" si="172"/>
        <v/>
      </c>
      <c r="GK788" s="2288" t="str">
        <f t="shared" si="173"/>
        <v/>
      </c>
      <c r="GL788" s="2288" t="str">
        <f t="shared" si="174"/>
        <v/>
      </c>
      <c r="GM788" s="2288" t="str">
        <f t="shared" si="175"/>
        <v/>
      </c>
      <c r="GN788" s="2288" t="str">
        <f t="shared" si="176"/>
        <v/>
      </c>
      <c r="GO788" s="2288" t="str">
        <f t="shared" si="177"/>
        <v/>
      </c>
      <c r="GP788" s="2288" t="str">
        <f t="shared" si="178"/>
        <v/>
      </c>
      <c r="GQ788" s="2288" t="str">
        <f t="shared" si="179"/>
        <v/>
      </c>
      <c r="GR788" s="2288" t="str">
        <f t="shared" si="180"/>
        <v/>
      </c>
      <c r="GS788" s="2288" t="str">
        <f t="shared" si="181"/>
        <v/>
      </c>
      <c r="GT788" s="2288" t="str">
        <f t="shared" si="182"/>
        <v/>
      </c>
      <c r="GU788" s="2288" t="str">
        <f t="shared" si="183"/>
        <v/>
      </c>
      <c r="GV788" s="2288" t="str">
        <f t="shared" si="184"/>
        <v/>
      </c>
      <c r="GW788" s="2288" t="str">
        <f t="shared" si="185"/>
        <v/>
      </c>
      <c r="GX788" s="2288" t="str">
        <f t="shared" si="186"/>
        <v/>
      </c>
      <c r="GY788" s="2288" t="str">
        <f t="shared" si="187"/>
        <v/>
      </c>
      <c r="GZ788" s="2288" t="str">
        <f t="shared" si="188"/>
        <v/>
      </c>
      <c r="HA788" s="2288" t="str">
        <f t="shared" si="189"/>
        <v/>
      </c>
      <c r="HB788" s="2288" t="str">
        <f t="shared" si="190"/>
        <v/>
      </c>
      <c r="HC788" s="2288" t="str">
        <f t="shared" si="191"/>
        <v/>
      </c>
      <c r="HD788" s="2288" t="str">
        <f t="shared" si="192"/>
        <v/>
      </c>
      <c r="HE788" s="2288" t="str">
        <f t="shared" si="193"/>
        <v/>
      </c>
      <c r="HF788" s="2288" t="str">
        <f t="shared" si="194"/>
        <v/>
      </c>
      <c r="HG788" s="2288" t="str">
        <f t="shared" si="195"/>
        <v/>
      </c>
      <c r="HH788" s="2288" t="str">
        <f t="shared" si="196"/>
        <v/>
      </c>
      <c r="HI788" s="2288" t="str">
        <f t="shared" si="197"/>
        <v/>
      </c>
      <c r="HJ788" s="2288" t="str">
        <f t="shared" si="198"/>
        <v/>
      </c>
      <c r="HK788" s="2288" t="str">
        <f t="shared" si="199"/>
        <v/>
      </c>
      <c r="HL788" s="2288" t="str">
        <f t="shared" si="200"/>
        <v/>
      </c>
      <c r="HM788" s="2288" t="str">
        <f t="shared" si="201"/>
        <v/>
      </c>
      <c r="HN788" s="2288" t="str">
        <f t="shared" si="202"/>
        <v/>
      </c>
      <c r="HO788" s="2288" t="str">
        <f t="shared" si="203"/>
        <v/>
      </c>
      <c r="HP788" s="2288" t="str">
        <f t="shared" si="204"/>
        <v/>
      </c>
      <c r="HQ788" s="2288" t="str">
        <f t="shared" si="205"/>
        <v/>
      </c>
      <c r="HR788" s="2288" t="str">
        <f t="shared" si="206"/>
        <v/>
      </c>
      <c r="HS788" s="2288" t="str">
        <f t="shared" si="207"/>
        <v/>
      </c>
      <c r="HT788" s="2288" t="str">
        <f t="shared" si="208"/>
        <v/>
      </c>
      <c r="HU788" s="2288" t="str">
        <f t="shared" si="209"/>
        <v/>
      </c>
      <c r="HV788" s="2288" t="str">
        <f t="shared" si="210"/>
        <v/>
      </c>
      <c r="HW788" s="2288" t="str">
        <f t="shared" si="211"/>
        <v/>
      </c>
      <c r="HX788" s="2288" t="str">
        <f t="shared" si="212"/>
        <v/>
      </c>
      <c r="HY788" s="2288" t="str">
        <f t="shared" si="213"/>
        <v/>
      </c>
      <c r="HZ788" s="2288" t="str">
        <f t="shared" si="214"/>
        <v/>
      </c>
      <c r="IA788" s="2288" t="str">
        <f t="shared" si="215"/>
        <v/>
      </c>
      <c r="IB788" s="2288" t="str">
        <f t="shared" si="216"/>
        <v/>
      </c>
      <c r="IC788" s="2288" t="str">
        <f t="shared" si="217"/>
        <v/>
      </c>
      <c r="ID788" s="2255" t="str">
        <f t="shared" si="218"/>
        <v/>
      </c>
      <c r="IE788" s="2255" t="str">
        <f t="shared" si="219"/>
        <v/>
      </c>
      <c r="IF788" s="2255" t="str">
        <f t="shared" si="220"/>
        <v/>
      </c>
      <c r="IG788" s="2255" t="str">
        <f t="shared" si="221"/>
        <v/>
      </c>
      <c r="IH788" s="2255" t="str">
        <f t="shared" si="222"/>
        <v/>
      </c>
      <c r="II788" s="873" t="str">
        <f t="shared" si="223"/>
        <v/>
      </c>
      <c r="IJ788" s="873" t="str">
        <f t="shared" si="224"/>
        <v/>
      </c>
      <c r="IK788" s="873" t="str">
        <f t="shared" si="225"/>
        <v/>
      </c>
      <c r="IL788" s="873" t="str">
        <f t="shared" si="226"/>
        <v/>
      </c>
      <c r="IM788" s="873" t="str">
        <f t="shared" si="227"/>
        <v/>
      </c>
      <c r="IN788" s="873" t="str">
        <f t="shared" si="228"/>
        <v/>
      </c>
      <c r="IO788" s="873" t="str">
        <f t="shared" si="229"/>
        <v/>
      </c>
      <c r="IP788" s="873" t="str">
        <f t="shared" si="230"/>
        <v/>
      </c>
      <c r="IQ788" s="873" t="str">
        <f t="shared" si="231"/>
        <v/>
      </c>
      <c r="IR788" s="873" t="str">
        <f t="shared" si="232"/>
        <v/>
      </c>
      <c r="IS788" s="873" t="str">
        <f t="shared" si="233"/>
        <v/>
      </c>
      <c r="IT788" s="873" t="str">
        <f t="shared" si="234"/>
        <v/>
      </c>
      <c r="IU788" s="873" t="str">
        <f t="shared" si="235"/>
        <v/>
      </c>
      <c r="IV788" s="873" t="str">
        <f t="shared" si="236"/>
        <v/>
      </c>
      <c r="IW788" s="873" t="str">
        <f t="shared" si="237"/>
        <v/>
      </c>
      <c r="IX788" s="873" t="str">
        <f t="shared" si="238"/>
        <v/>
      </c>
      <c r="IY788" s="873" t="str">
        <f t="shared" si="239"/>
        <v/>
      </c>
      <c r="IZ788" s="873" t="str">
        <f t="shared" si="240"/>
        <v/>
      </c>
      <c r="JA788" s="873" t="str">
        <f t="shared" si="241"/>
        <v/>
      </c>
      <c r="JB788" s="873" t="str">
        <f t="shared" si="242"/>
        <v/>
      </c>
      <c r="JC788" s="2253">
        <f t="shared" si="243"/>
        <v>0</v>
      </c>
      <c r="JD788" s="2253">
        <f t="shared" si="244"/>
        <v>0</v>
      </c>
      <c r="JE788" s="2253">
        <f t="shared" si="245"/>
        <v>0</v>
      </c>
      <c r="JF788" s="2253">
        <f t="shared" si="246"/>
        <v>0</v>
      </c>
      <c r="JG788" s="2253">
        <f t="shared" si="247"/>
        <v>0</v>
      </c>
      <c r="JH788" s="2253">
        <f t="shared" si="248"/>
        <v>0</v>
      </c>
      <c r="JI788" s="2253">
        <f t="shared" si="249"/>
        <v>0</v>
      </c>
      <c r="JJ788" s="2253">
        <f t="shared" si="250"/>
        <v>0</v>
      </c>
      <c r="JK788" s="2253">
        <f t="shared" si="251"/>
        <v>0</v>
      </c>
      <c r="JL788" s="2253">
        <f t="shared" si="252"/>
        <v>0</v>
      </c>
      <c r="JM788" s="2253">
        <f t="shared" si="253"/>
        <v>0</v>
      </c>
      <c r="JN788" s="2253">
        <f t="shared" si="254"/>
        <v>0</v>
      </c>
      <c r="JO788" s="2253">
        <f t="shared" si="255"/>
        <v>0</v>
      </c>
      <c r="JP788" s="2253">
        <f t="shared" si="256"/>
        <v>0</v>
      </c>
      <c r="JQ788" s="2253">
        <f t="shared" si="257"/>
        <v>0</v>
      </c>
    </row>
    <row r="789" spans="1:278" ht="12" customHeight="1">
      <c r="A789" s="2258" t="str">
        <f t="shared" si="0"/>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1"/>
        <v>0</v>
      </c>
      <c r="L789" s="2284">
        <f t="shared" si="2"/>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3" t="str">
        <f t="shared" si="3"/>
        <v/>
      </c>
      <c r="X789" s="873" t="str">
        <f t="shared" si="4"/>
        <v/>
      </c>
      <c r="Y789" s="873" t="str">
        <f t="shared" si="5"/>
        <v/>
      </c>
      <c r="Z789" s="873" t="str">
        <f t="shared" si="6"/>
        <v/>
      </c>
      <c r="AA789" s="873" t="str">
        <f t="shared" si="7"/>
        <v/>
      </c>
      <c r="AB789" s="873" t="str">
        <f t="shared" si="8"/>
        <v/>
      </c>
      <c r="AC789" s="873" t="str">
        <f t="shared" si="9"/>
        <v/>
      </c>
      <c r="AD789" s="873" t="str">
        <f t="shared" si="10"/>
        <v/>
      </c>
      <c r="AE789" s="873" t="str">
        <f t="shared" si="11"/>
        <v/>
      </c>
      <c r="AF789" s="873" t="str">
        <f t="shared" si="12"/>
        <v/>
      </c>
      <c r="AG789" s="873" t="str">
        <f t="shared" si="13"/>
        <v/>
      </c>
      <c r="AH789" s="873" t="str">
        <f t="shared" si="14"/>
        <v/>
      </c>
      <c r="AI789" s="873" t="str">
        <f t="shared" si="15"/>
        <v/>
      </c>
      <c r="AJ789" s="873" t="str">
        <f t="shared" si="16"/>
        <v/>
      </c>
      <c r="AK789" s="873" t="str">
        <f t="shared" si="17"/>
        <v/>
      </c>
      <c r="AL789" s="873" t="str">
        <f t="shared" si="18"/>
        <v/>
      </c>
      <c r="AM789" s="873" t="str">
        <f t="shared" si="19"/>
        <v/>
      </c>
      <c r="AN789" s="873" t="str">
        <f t="shared" si="20"/>
        <v/>
      </c>
      <c r="AO789" s="873" t="str">
        <f t="shared" si="21"/>
        <v/>
      </c>
      <c r="AP789" s="873" t="str">
        <f t="shared" si="22"/>
        <v/>
      </c>
      <c r="AQ789" s="873" t="str">
        <f t="shared" si="23"/>
        <v/>
      </c>
      <c r="AR789" s="873" t="str">
        <f t="shared" si="24"/>
        <v/>
      </c>
      <c r="AS789" s="873" t="str">
        <f t="shared" si="25"/>
        <v/>
      </c>
      <c r="AT789" s="873" t="str">
        <f t="shared" si="26"/>
        <v/>
      </c>
      <c r="AU789" s="873" t="str">
        <f t="shared" si="27"/>
        <v/>
      </c>
      <c r="AV789" s="873" t="str">
        <f t="shared" si="28"/>
        <v/>
      </c>
      <c r="AW789" s="873" t="str">
        <f t="shared" si="29"/>
        <v/>
      </c>
      <c r="AX789" s="873" t="str">
        <f t="shared" si="30"/>
        <v/>
      </c>
      <c r="AY789" s="873" t="str">
        <f t="shared" si="31"/>
        <v/>
      </c>
      <c r="AZ789" s="873" t="str">
        <f t="shared" si="32"/>
        <v/>
      </c>
      <c r="BA789" s="873" t="str">
        <f t="shared" si="33"/>
        <v/>
      </c>
      <c r="BB789" s="873" t="str">
        <f t="shared" si="34"/>
        <v/>
      </c>
      <c r="BC789" s="873" t="str">
        <f t="shared" si="35"/>
        <v/>
      </c>
      <c r="BD789" s="873" t="str">
        <f t="shared" si="36"/>
        <v/>
      </c>
      <c r="BE789" s="873" t="str">
        <f t="shared" si="37"/>
        <v/>
      </c>
      <c r="BF789" s="873" t="str">
        <f t="shared" si="38"/>
        <v/>
      </c>
      <c r="BG789" s="873" t="str">
        <f t="shared" si="39"/>
        <v/>
      </c>
      <c r="BH789" s="873" t="str">
        <f t="shared" si="40"/>
        <v/>
      </c>
      <c r="BI789" s="873" t="str">
        <f t="shared" si="41"/>
        <v/>
      </c>
      <c r="BJ789" s="873" t="str">
        <f t="shared" si="42"/>
        <v/>
      </c>
      <c r="BK789" s="873" t="str">
        <f t="shared" si="43"/>
        <v/>
      </c>
      <c r="BL789" s="873" t="str">
        <f t="shared" si="44"/>
        <v/>
      </c>
      <c r="BM789" s="873" t="str">
        <f t="shared" si="45"/>
        <v/>
      </c>
      <c r="BN789" s="873" t="str">
        <f t="shared" si="46"/>
        <v/>
      </c>
      <c r="BO789" s="873" t="str">
        <f t="shared" si="47"/>
        <v/>
      </c>
      <c r="BP789" s="873" t="str">
        <f t="shared" si="48"/>
        <v/>
      </c>
      <c r="BQ789" s="873" t="str">
        <f t="shared" si="49"/>
        <v/>
      </c>
      <c r="BR789" s="873" t="str">
        <f t="shared" si="50"/>
        <v/>
      </c>
      <c r="BS789" s="873" t="str">
        <f t="shared" si="51"/>
        <v/>
      </c>
      <c r="BT789" s="873" t="str">
        <f t="shared" si="52"/>
        <v/>
      </c>
      <c r="BU789" s="873" t="str">
        <f t="shared" si="53"/>
        <v/>
      </c>
      <c r="BV789" s="873" t="str">
        <f t="shared" si="54"/>
        <v/>
      </c>
      <c r="BW789" s="873" t="str">
        <f t="shared" si="55"/>
        <v/>
      </c>
      <c r="BX789" s="873" t="str">
        <f t="shared" si="56"/>
        <v/>
      </c>
      <c r="BY789" s="873" t="str">
        <f t="shared" si="57"/>
        <v/>
      </c>
      <c r="BZ789" s="873" t="str">
        <f t="shared" si="58"/>
        <v/>
      </c>
      <c r="CA789" s="873" t="str">
        <f t="shared" si="59"/>
        <v/>
      </c>
      <c r="CB789" s="873" t="str">
        <f t="shared" si="60"/>
        <v/>
      </c>
      <c r="CC789" s="873" t="str">
        <f t="shared" si="61"/>
        <v/>
      </c>
      <c r="CD789" s="873" t="str">
        <f t="shared" si="62"/>
        <v/>
      </c>
      <c r="CE789" s="873" t="str">
        <f t="shared" si="63"/>
        <v/>
      </c>
      <c r="CF789" s="873" t="str">
        <f t="shared" si="64"/>
        <v/>
      </c>
      <c r="CG789" s="873" t="str">
        <f t="shared" si="65"/>
        <v/>
      </c>
      <c r="CH789" s="873" t="str">
        <f t="shared" si="66"/>
        <v/>
      </c>
      <c r="CI789" s="873" t="str">
        <f t="shared" si="67"/>
        <v/>
      </c>
      <c r="CJ789" s="873" t="str">
        <f t="shared" si="68"/>
        <v/>
      </c>
      <c r="CK789" s="873" t="str">
        <f t="shared" si="69"/>
        <v/>
      </c>
      <c r="CL789" s="873" t="str">
        <f t="shared" si="70"/>
        <v/>
      </c>
      <c r="CM789" s="873" t="str">
        <f t="shared" si="71"/>
        <v/>
      </c>
      <c r="CN789" s="873" t="str">
        <f t="shared" si="72"/>
        <v/>
      </c>
      <c r="CO789" s="873" t="str">
        <f t="shared" si="73"/>
        <v/>
      </c>
      <c r="CP789" s="873" t="str">
        <f t="shared" si="74"/>
        <v/>
      </c>
      <c r="CQ789" s="873" t="str">
        <f t="shared" si="75"/>
        <v/>
      </c>
      <c r="CR789" s="873" t="str">
        <f t="shared" si="76"/>
        <v/>
      </c>
      <c r="CS789" s="873" t="str">
        <f t="shared" si="77"/>
        <v/>
      </c>
      <c r="CT789" s="873" t="str">
        <f t="shared" si="78"/>
        <v/>
      </c>
      <c r="CU789" s="873" t="str">
        <f t="shared" si="79"/>
        <v/>
      </c>
      <c r="CV789" s="873" t="str">
        <f t="shared" si="80"/>
        <v/>
      </c>
      <c r="CW789" s="873" t="str">
        <f t="shared" si="81"/>
        <v/>
      </c>
      <c r="CX789" s="873" t="str">
        <f t="shared" si="82"/>
        <v/>
      </c>
      <c r="CY789" s="873" t="str">
        <f t="shared" si="83"/>
        <v/>
      </c>
      <c r="CZ789" s="873" t="str">
        <f t="shared" si="84"/>
        <v/>
      </c>
      <c r="DA789" s="873" t="str">
        <f t="shared" si="85"/>
        <v/>
      </c>
      <c r="DB789" s="873" t="str">
        <f t="shared" si="86"/>
        <v/>
      </c>
      <c r="DC789" s="873" t="str">
        <f t="shared" si="87"/>
        <v/>
      </c>
      <c r="DD789" s="873" t="str">
        <f t="shared" si="88"/>
        <v/>
      </c>
      <c r="DE789" s="873" t="str">
        <f t="shared" si="89"/>
        <v/>
      </c>
      <c r="DF789" s="873" t="str">
        <f t="shared" si="90"/>
        <v/>
      </c>
      <c r="DG789" s="873" t="str">
        <f t="shared" si="91"/>
        <v/>
      </c>
      <c r="DH789" s="873" t="str">
        <f t="shared" si="92"/>
        <v/>
      </c>
      <c r="DI789" s="873" t="str">
        <f t="shared" si="93"/>
        <v/>
      </c>
      <c r="DJ789" s="873" t="str">
        <f t="shared" si="94"/>
        <v/>
      </c>
      <c r="DK789" s="873" t="str">
        <f t="shared" si="95"/>
        <v/>
      </c>
      <c r="DL789" s="873" t="str">
        <f t="shared" si="96"/>
        <v/>
      </c>
      <c r="DM789" s="873" t="str">
        <f t="shared" si="97"/>
        <v/>
      </c>
      <c r="DN789" s="873" t="str">
        <f t="shared" si="98"/>
        <v/>
      </c>
      <c r="DO789" s="873" t="str">
        <f t="shared" si="99"/>
        <v/>
      </c>
      <c r="DP789" s="873" t="str">
        <f t="shared" si="100"/>
        <v/>
      </c>
      <c r="DQ789" s="873" t="str">
        <f t="shared" si="101"/>
        <v/>
      </c>
      <c r="DR789" s="873" t="str">
        <f t="shared" si="102"/>
        <v/>
      </c>
      <c r="DS789" s="873" t="str">
        <f t="shared" si="103"/>
        <v/>
      </c>
      <c r="DT789" s="873" t="str">
        <f t="shared" si="104"/>
        <v/>
      </c>
      <c r="DU789" s="873" t="str">
        <f t="shared" si="105"/>
        <v/>
      </c>
      <c r="DV789" s="873" t="str">
        <f t="shared" si="106"/>
        <v/>
      </c>
      <c r="DW789" s="873" t="str">
        <f t="shared" si="107"/>
        <v/>
      </c>
      <c r="DX789" s="873" t="str">
        <f t="shared" si="108"/>
        <v/>
      </c>
      <c r="DY789" s="873" t="str">
        <f t="shared" si="109"/>
        <v/>
      </c>
      <c r="DZ789" s="873" t="str">
        <f t="shared" si="110"/>
        <v/>
      </c>
      <c r="EA789" s="873" t="str">
        <f t="shared" si="111"/>
        <v/>
      </c>
      <c r="EB789" s="873" t="str">
        <f t="shared" si="112"/>
        <v/>
      </c>
      <c r="EC789" s="873" t="str">
        <f t="shared" si="113"/>
        <v/>
      </c>
      <c r="ED789" s="873" t="str">
        <f t="shared" si="114"/>
        <v/>
      </c>
      <c r="EE789" s="873" t="str">
        <f t="shared" si="115"/>
        <v/>
      </c>
      <c r="EF789" s="873" t="str">
        <f t="shared" si="116"/>
        <v/>
      </c>
      <c r="EG789" s="873" t="str">
        <f t="shared" si="117"/>
        <v/>
      </c>
      <c r="EH789" s="873" t="str">
        <f t="shared" si="118"/>
        <v/>
      </c>
      <c r="EI789" s="873" t="str">
        <f t="shared" si="119"/>
        <v/>
      </c>
      <c r="EJ789" s="873" t="str">
        <f t="shared" si="120"/>
        <v/>
      </c>
      <c r="EK789" s="873" t="str">
        <f t="shared" si="121"/>
        <v/>
      </c>
      <c r="EL789" s="873" t="str">
        <f t="shared" si="122"/>
        <v/>
      </c>
      <c r="EM789" s="873" t="str">
        <f t="shared" si="123"/>
        <v/>
      </c>
      <c r="EN789" s="873" t="str">
        <f t="shared" si="124"/>
        <v/>
      </c>
      <c r="EO789" s="873" t="str">
        <f t="shared" si="125"/>
        <v/>
      </c>
      <c r="EP789" s="873" t="str">
        <f t="shared" si="126"/>
        <v/>
      </c>
      <c r="EQ789" s="873" t="str">
        <f t="shared" si="127"/>
        <v/>
      </c>
      <c r="ER789" s="873" t="str">
        <f t="shared" si="128"/>
        <v/>
      </c>
      <c r="ES789" s="873" t="str">
        <f t="shared" si="129"/>
        <v/>
      </c>
      <c r="ET789" s="873" t="str">
        <f t="shared" si="130"/>
        <v/>
      </c>
      <c r="EU789" s="873" t="str">
        <f t="shared" si="131"/>
        <v/>
      </c>
      <c r="EV789" s="873" t="str">
        <f t="shared" si="132"/>
        <v/>
      </c>
      <c r="EW789" s="2288" t="str">
        <f t="shared" si="133"/>
        <v/>
      </c>
      <c r="EX789" s="2288" t="str">
        <f t="shared" si="134"/>
        <v/>
      </c>
      <c r="EY789" s="2288" t="str">
        <f t="shared" si="135"/>
        <v/>
      </c>
      <c r="EZ789" s="2288" t="str">
        <f t="shared" si="136"/>
        <v/>
      </c>
      <c r="FA789" s="2288" t="str">
        <f t="shared" si="137"/>
        <v/>
      </c>
      <c r="FB789" s="2288" t="str">
        <f t="shared" si="138"/>
        <v/>
      </c>
      <c r="FC789" s="2288" t="str">
        <f t="shared" si="139"/>
        <v/>
      </c>
      <c r="FD789" s="2288" t="str">
        <f t="shared" si="140"/>
        <v/>
      </c>
      <c r="FE789" s="2288" t="str">
        <f t="shared" si="141"/>
        <v/>
      </c>
      <c r="FF789" s="2288" t="str">
        <f t="shared" si="142"/>
        <v/>
      </c>
      <c r="FG789" s="2288" t="str">
        <f t="shared" si="143"/>
        <v/>
      </c>
      <c r="FH789" s="2288" t="str">
        <f t="shared" si="144"/>
        <v/>
      </c>
      <c r="FI789" s="2288" t="str">
        <f t="shared" si="145"/>
        <v/>
      </c>
      <c r="FJ789" s="2288" t="str">
        <f t="shared" si="146"/>
        <v/>
      </c>
      <c r="FK789" s="2288" t="str">
        <f t="shared" si="147"/>
        <v/>
      </c>
      <c r="FL789" s="2288" t="str">
        <f t="shared" si="148"/>
        <v/>
      </c>
      <c r="FM789" s="2288" t="str">
        <f t="shared" si="149"/>
        <v/>
      </c>
      <c r="FN789" s="2288" t="str">
        <f t="shared" si="150"/>
        <v/>
      </c>
      <c r="FO789" s="2288" t="str">
        <f t="shared" si="151"/>
        <v/>
      </c>
      <c r="FP789" s="2288" t="str">
        <f t="shared" si="152"/>
        <v/>
      </c>
      <c r="FQ789" s="2288" t="str">
        <f t="shared" si="153"/>
        <v/>
      </c>
      <c r="FR789" s="2288" t="str">
        <f t="shared" si="154"/>
        <v/>
      </c>
      <c r="FS789" s="2288" t="str">
        <f t="shared" si="155"/>
        <v/>
      </c>
      <c r="FT789" s="2288" t="str">
        <f t="shared" si="156"/>
        <v/>
      </c>
      <c r="FU789" s="2288" t="str">
        <f t="shared" si="157"/>
        <v/>
      </c>
      <c r="FV789" s="2288" t="str">
        <f t="shared" si="158"/>
        <v/>
      </c>
      <c r="FW789" s="2288" t="str">
        <f t="shared" si="159"/>
        <v/>
      </c>
      <c r="FX789" s="2288" t="str">
        <f t="shared" si="160"/>
        <v/>
      </c>
      <c r="FY789" s="2288" t="str">
        <f t="shared" si="161"/>
        <v/>
      </c>
      <c r="FZ789" s="2288" t="str">
        <f t="shared" si="162"/>
        <v/>
      </c>
      <c r="GA789" s="2288" t="str">
        <f t="shared" si="163"/>
        <v/>
      </c>
      <c r="GB789" s="2288" t="str">
        <f t="shared" si="164"/>
        <v/>
      </c>
      <c r="GC789" s="2288" t="str">
        <f t="shared" si="165"/>
        <v/>
      </c>
      <c r="GD789" s="2288" t="str">
        <f t="shared" si="166"/>
        <v/>
      </c>
      <c r="GE789" s="2288" t="str">
        <f t="shared" si="167"/>
        <v/>
      </c>
      <c r="GF789" s="2288" t="str">
        <f t="shared" si="168"/>
        <v/>
      </c>
      <c r="GG789" s="2288" t="str">
        <f t="shared" si="169"/>
        <v/>
      </c>
      <c r="GH789" s="2288" t="str">
        <f t="shared" si="170"/>
        <v/>
      </c>
      <c r="GI789" s="2288" t="str">
        <f t="shared" si="171"/>
        <v/>
      </c>
      <c r="GJ789" s="2288" t="str">
        <f t="shared" si="172"/>
        <v/>
      </c>
      <c r="GK789" s="2288" t="str">
        <f t="shared" si="173"/>
        <v/>
      </c>
      <c r="GL789" s="2288" t="str">
        <f t="shared" si="174"/>
        <v/>
      </c>
      <c r="GM789" s="2288" t="str">
        <f t="shared" si="175"/>
        <v/>
      </c>
      <c r="GN789" s="2288" t="str">
        <f t="shared" si="176"/>
        <v/>
      </c>
      <c r="GO789" s="2288" t="str">
        <f t="shared" si="177"/>
        <v/>
      </c>
      <c r="GP789" s="2288" t="str">
        <f t="shared" si="178"/>
        <v/>
      </c>
      <c r="GQ789" s="2288" t="str">
        <f t="shared" si="179"/>
        <v/>
      </c>
      <c r="GR789" s="2288" t="str">
        <f t="shared" si="180"/>
        <v/>
      </c>
      <c r="GS789" s="2288" t="str">
        <f t="shared" si="181"/>
        <v/>
      </c>
      <c r="GT789" s="2288" t="str">
        <f t="shared" si="182"/>
        <v/>
      </c>
      <c r="GU789" s="2288" t="str">
        <f t="shared" si="183"/>
        <v/>
      </c>
      <c r="GV789" s="2288" t="str">
        <f t="shared" si="184"/>
        <v/>
      </c>
      <c r="GW789" s="2288" t="str">
        <f t="shared" si="185"/>
        <v/>
      </c>
      <c r="GX789" s="2288" t="str">
        <f t="shared" si="186"/>
        <v/>
      </c>
      <c r="GY789" s="2288" t="str">
        <f t="shared" si="187"/>
        <v/>
      </c>
      <c r="GZ789" s="2288" t="str">
        <f t="shared" si="188"/>
        <v/>
      </c>
      <c r="HA789" s="2288" t="str">
        <f t="shared" si="189"/>
        <v/>
      </c>
      <c r="HB789" s="2288" t="str">
        <f t="shared" si="190"/>
        <v/>
      </c>
      <c r="HC789" s="2288" t="str">
        <f t="shared" si="191"/>
        <v/>
      </c>
      <c r="HD789" s="2288" t="str">
        <f t="shared" si="192"/>
        <v/>
      </c>
      <c r="HE789" s="2288" t="str">
        <f t="shared" si="193"/>
        <v/>
      </c>
      <c r="HF789" s="2288" t="str">
        <f t="shared" si="194"/>
        <v/>
      </c>
      <c r="HG789" s="2288" t="str">
        <f t="shared" si="195"/>
        <v/>
      </c>
      <c r="HH789" s="2288" t="str">
        <f t="shared" si="196"/>
        <v/>
      </c>
      <c r="HI789" s="2288" t="str">
        <f t="shared" si="197"/>
        <v/>
      </c>
      <c r="HJ789" s="2288" t="str">
        <f t="shared" si="198"/>
        <v/>
      </c>
      <c r="HK789" s="2288" t="str">
        <f t="shared" si="199"/>
        <v/>
      </c>
      <c r="HL789" s="2288" t="str">
        <f t="shared" si="200"/>
        <v/>
      </c>
      <c r="HM789" s="2288" t="str">
        <f t="shared" si="201"/>
        <v/>
      </c>
      <c r="HN789" s="2288" t="str">
        <f t="shared" si="202"/>
        <v/>
      </c>
      <c r="HO789" s="2288" t="str">
        <f t="shared" si="203"/>
        <v/>
      </c>
      <c r="HP789" s="2288" t="str">
        <f t="shared" si="204"/>
        <v/>
      </c>
      <c r="HQ789" s="2288" t="str">
        <f t="shared" si="205"/>
        <v/>
      </c>
      <c r="HR789" s="2288" t="str">
        <f t="shared" si="206"/>
        <v/>
      </c>
      <c r="HS789" s="2288" t="str">
        <f t="shared" si="207"/>
        <v/>
      </c>
      <c r="HT789" s="2288" t="str">
        <f t="shared" si="208"/>
        <v/>
      </c>
      <c r="HU789" s="2288" t="str">
        <f t="shared" si="209"/>
        <v/>
      </c>
      <c r="HV789" s="2288" t="str">
        <f t="shared" si="210"/>
        <v/>
      </c>
      <c r="HW789" s="2288" t="str">
        <f t="shared" si="211"/>
        <v/>
      </c>
      <c r="HX789" s="2288" t="str">
        <f t="shared" si="212"/>
        <v/>
      </c>
      <c r="HY789" s="2288" t="str">
        <f t="shared" si="213"/>
        <v/>
      </c>
      <c r="HZ789" s="2288" t="str">
        <f t="shared" si="214"/>
        <v/>
      </c>
      <c r="IA789" s="2288" t="str">
        <f t="shared" si="215"/>
        <v/>
      </c>
      <c r="IB789" s="2288" t="str">
        <f t="shared" si="216"/>
        <v/>
      </c>
      <c r="IC789" s="2288" t="str">
        <f t="shared" si="217"/>
        <v/>
      </c>
      <c r="ID789" s="2255" t="str">
        <f t="shared" si="218"/>
        <v/>
      </c>
      <c r="IE789" s="2255" t="str">
        <f t="shared" si="219"/>
        <v/>
      </c>
      <c r="IF789" s="2255" t="str">
        <f t="shared" si="220"/>
        <v/>
      </c>
      <c r="IG789" s="2255" t="str">
        <f t="shared" si="221"/>
        <v/>
      </c>
      <c r="IH789" s="2255" t="str">
        <f t="shared" si="222"/>
        <v/>
      </c>
      <c r="II789" s="873" t="str">
        <f t="shared" si="223"/>
        <v/>
      </c>
      <c r="IJ789" s="873" t="str">
        <f t="shared" si="224"/>
        <v/>
      </c>
      <c r="IK789" s="873" t="str">
        <f t="shared" si="225"/>
        <v/>
      </c>
      <c r="IL789" s="873" t="str">
        <f t="shared" si="226"/>
        <v/>
      </c>
      <c r="IM789" s="873" t="str">
        <f t="shared" si="227"/>
        <v/>
      </c>
      <c r="IN789" s="873" t="str">
        <f t="shared" si="228"/>
        <v/>
      </c>
      <c r="IO789" s="873" t="str">
        <f t="shared" si="229"/>
        <v/>
      </c>
      <c r="IP789" s="873" t="str">
        <f t="shared" si="230"/>
        <v/>
      </c>
      <c r="IQ789" s="873" t="str">
        <f t="shared" si="231"/>
        <v/>
      </c>
      <c r="IR789" s="873" t="str">
        <f t="shared" si="232"/>
        <v/>
      </c>
      <c r="IS789" s="873" t="str">
        <f t="shared" si="233"/>
        <v/>
      </c>
      <c r="IT789" s="873" t="str">
        <f t="shared" si="234"/>
        <v/>
      </c>
      <c r="IU789" s="873" t="str">
        <f t="shared" si="235"/>
        <v/>
      </c>
      <c r="IV789" s="873" t="str">
        <f t="shared" si="236"/>
        <v/>
      </c>
      <c r="IW789" s="873" t="str">
        <f t="shared" si="237"/>
        <v/>
      </c>
      <c r="IX789" s="873" t="str">
        <f t="shared" si="238"/>
        <v/>
      </c>
      <c r="IY789" s="873" t="str">
        <f t="shared" si="239"/>
        <v/>
      </c>
      <c r="IZ789" s="873" t="str">
        <f t="shared" si="240"/>
        <v/>
      </c>
      <c r="JA789" s="873" t="str">
        <f t="shared" si="241"/>
        <v/>
      </c>
      <c r="JB789" s="873" t="str">
        <f t="shared" si="242"/>
        <v/>
      </c>
      <c r="JC789" s="2253">
        <f t="shared" si="243"/>
        <v>0</v>
      </c>
      <c r="JD789" s="2253">
        <f t="shared" si="244"/>
        <v>0</v>
      </c>
      <c r="JE789" s="2253">
        <f t="shared" si="245"/>
        <v>0</v>
      </c>
      <c r="JF789" s="2253">
        <f t="shared" si="246"/>
        <v>0</v>
      </c>
      <c r="JG789" s="2253">
        <f t="shared" si="247"/>
        <v>0</v>
      </c>
      <c r="JH789" s="2253">
        <f t="shared" si="248"/>
        <v>0</v>
      </c>
      <c r="JI789" s="2253">
        <f t="shared" si="249"/>
        <v>0</v>
      </c>
      <c r="JJ789" s="2253">
        <f t="shared" si="250"/>
        <v>0</v>
      </c>
      <c r="JK789" s="2253">
        <f t="shared" si="251"/>
        <v>0</v>
      </c>
      <c r="JL789" s="2253">
        <f t="shared" si="252"/>
        <v>0</v>
      </c>
      <c r="JM789" s="2253">
        <f t="shared" si="253"/>
        <v>0</v>
      </c>
      <c r="JN789" s="2253">
        <f t="shared" si="254"/>
        <v>0</v>
      </c>
      <c r="JO789" s="2253">
        <f t="shared" si="255"/>
        <v>0</v>
      </c>
      <c r="JP789" s="2253">
        <f t="shared" si="256"/>
        <v>0</v>
      </c>
      <c r="JQ789" s="2253">
        <f t="shared" si="257"/>
        <v>0</v>
      </c>
    </row>
    <row r="790" spans="1:278" ht="12" customHeight="1">
      <c r="A790" s="2258" t="str">
        <f t="shared" si="0"/>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1"/>
        <v>0</v>
      </c>
      <c r="L790" s="2284">
        <f t="shared" si="2"/>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3" t="str">
        <f t="shared" si="3"/>
        <v/>
      </c>
      <c r="X790" s="873" t="str">
        <f t="shared" si="4"/>
        <v/>
      </c>
      <c r="Y790" s="873" t="str">
        <f t="shared" si="5"/>
        <v/>
      </c>
      <c r="Z790" s="873" t="str">
        <f t="shared" si="6"/>
        <v/>
      </c>
      <c r="AA790" s="873" t="str">
        <f t="shared" si="7"/>
        <v/>
      </c>
      <c r="AB790" s="873" t="str">
        <f t="shared" si="8"/>
        <v/>
      </c>
      <c r="AC790" s="873" t="str">
        <f t="shared" si="9"/>
        <v/>
      </c>
      <c r="AD790" s="873" t="str">
        <f t="shared" si="10"/>
        <v/>
      </c>
      <c r="AE790" s="873" t="str">
        <f t="shared" si="11"/>
        <v/>
      </c>
      <c r="AF790" s="873" t="str">
        <f t="shared" si="12"/>
        <v/>
      </c>
      <c r="AG790" s="873" t="str">
        <f t="shared" si="13"/>
        <v/>
      </c>
      <c r="AH790" s="873" t="str">
        <f t="shared" si="14"/>
        <v/>
      </c>
      <c r="AI790" s="873" t="str">
        <f t="shared" si="15"/>
        <v/>
      </c>
      <c r="AJ790" s="873" t="str">
        <f t="shared" si="16"/>
        <v/>
      </c>
      <c r="AK790" s="873" t="str">
        <f t="shared" si="17"/>
        <v/>
      </c>
      <c r="AL790" s="873" t="str">
        <f t="shared" si="18"/>
        <v/>
      </c>
      <c r="AM790" s="873" t="str">
        <f t="shared" si="19"/>
        <v/>
      </c>
      <c r="AN790" s="873" t="str">
        <f t="shared" si="20"/>
        <v/>
      </c>
      <c r="AO790" s="873" t="str">
        <f t="shared" si="21"/>
        <v/>
      </c>
      <c r="AP790" s="873" t="str">
        <f t="shared" si="22"/>
        <v/>
      </c>
      <c r="AQ790" s="873" t="str">
        <f t="shared" si="23"/>
        <v/>
      </c>
      <c r="AR790" s="873" t="str">
        <f t="shared" si="24"/>
        <v/>
      </c>
      <c r="AS790" s="873" t="str">
        <f t="shared" si="25"/>
        <v/>
      </c>
      <c r="AT790" s="873" t="str">
        <f t="shared" si="26"/>
        <v/>
      </c>
      <c r="AU790" s="873" t="str">
        <f t="shared" si="27"/>
        <v/>
      </c>
      <c r="AV790" s="873" t="str">
        <f t="shared" si="28"/>
        <v/>
      </c>
      <c r="AW790" s="873" t="str">
        <f t="shared" si="29"/>
        <v/>
      </c>
      <c r="AX790" s="873" t="str">
        <f t="shared" si="30"/>
        <v/>
      </c>
      <c r="AY790" s="873" t="str">
        <f t="shared" si="31"/>
        <v/>
      </c>
      <c r="AZ790" s="873" t="str">
        <f t="shared" si="32"/>
        <v/>
      </c>
      <c r="BA790" s="873" t="str">
        <f t="shared" si="33"/>
        <v/>
      </c>
      <c r="BB790" s="873" t="str">
        <f t="shared" si="34"/>
        <v/>
      </c>
      <c r="BC790" s="873" t="str">
        <f t="shared" si="35"/>
        <v/>
      </c>
      <c r="BD790" s="873" t="str">
        <f t="shared" si="36"/>
        <v/>
      </c>
      <c r="BE790" s="873" t="str">
        <f t="shared" si="37"/>
        <v/>
      </c>
      <c r="BF790" s="873" t="str">
        <f t="shared" si="38"/>
        <v/>
      </c>
      <c r="BG790" s="873" t="str">
        <f t="shared" si="39"/>
        <v/>
      </c>
      <c r="BH790" s="873" t="str">
        <f t="shared" si="40"/>
        <v/>
      </c>
      <c r="BI790" s="873" t="str">
        <f t="shared" si="41"/>
        <v/>
      </c>
      <c r="BJ790" s="873" t="str">
        <f t="shared" si="42"/>
        <v/>
      </c>
      <c r="BK790" s="873" t="str">
        <f t="shared" si="43"/>
        <v/>
      </c>
      <c r="BL790" s="873" t="str">
        <f t="shared" si="44"/>
        <v/>
      </c>
      <c r="BM790" s="873" t="str">
        <f t="shared" si="45"/>
        <v/>
      </c>
      <c r="BN790" s="873" t="str">
        <f t="shared" si="46"/>
        <v/>
      </c>
      <c r="BO790" s="873" t="str">
        <f t="shared" si="47"/>
        <v/>
      </c>
      <c r="BP790" s="873" t="str">
        <f t="shared" si="48"/>
        <v/>
      </c>
      <c r="BQ790" s="873" t="str">
        <f t="shared" si="49"/>
        <v/>
      </c>
      <c r="BR790" s="873" t="str">
        <f t="shared" si="50"/>
        <v/>
      </c>
      <c r="BS790" s="873" t="str">
        <f t="shared" si="51"/>
        <v/>
      </c>
      <c r="BT790" s="873" t="str">
        <f t="shared" si="52"/>
        <v/>
      </c>
      <c r="BU790" s="873" t="str">
        <f t="shared" si="53"/>
        <v/>
      </c>
      <c r="BV790" s="873" t="str">
        <f t="shared" si="54"/>
        <v/>
      </c>
      <c r="BW790" s="873" t="str">
        <f t="shared" si="55"/>
        <v/>
      </c>
      <c r="BX790" s="873" t="str">
        <f t="shared" si="56"/>
        <v/>
      </c>
      <c r="BY790" s="873" t="str">
        <f t="shared" si="57"/>
        <v/>
      </c>
      <c r="BZ790" s="873" t="str">
        <f t="shared" si="58"/>
        <v/>
      </c>
      <c r="CA790" s="873" t="str">
        <f t="shared" si="59"/>
        <v/>
      </c>
      <c r="CB790" s="873" t="str">
        <f t="shared" si="60"/>
        <v/>
      </c>
      <c r="CC790" s="873" t="str">
        <f t="shared" si="61"/>
        <v/>
      </c>
      <c r="CD790" s="873" t="str">
        <f t="shared" si="62"/>
        <v/>
      </c>
      <c r="CE790" s="873" t="str">
        <f t="shared" si="63"/>
        <v/>
      </c>
      <c r="CF790" s="873" t="str">
        <f t="shared" si="64"/>
        <v/>
      </c>
      <c r="CG790" s="873" t="str">
        <f t="shared" si="65"/>
        <v/>
      </c>
      <c r="CH790" s="873" t="str">
        <f t="shared" si="66"/>
        <v/>
      </c>
      <c r="CI790" s="873" t="str">
        <f t="shared" si="67"/>
        <v/>
      </c>
      <c r="CJ790" s="873" t="str">
        <f t="shared" si="68"/>
        <v/>
      </c>
      <c r="CK790" s="873" t="str">
        <f t="shared" si="69"/>
        <v/>
      </c>
      <c r="CL790" s="873" t="str">
        <f t="shared" si="70"/>
        <v/>
      </c>
      <c r="CM790" s="873" t="str">
        <f t="shared" si="71"/>
        <v/>
      </c>
      <c r="CN790" s="873" t="str">
        <f t="shared" si="72"/>
        <v/>
      </c>
      <c r="CO790" s="873" t="str">
        <f t="shared" si="73"/>
        <v/>
      </c>
      <c r="CP790" s="873" t="str">
        <f t="shared" si="74"/>
        <v/>
      </c>
      <c r="CQ790" s="873" t="str">
        <f t="shared" si="75"/>
        <v/>
      </c>
      <c r="CR790" s="873" t="str">
        <f t="shared" si="76"/>
        <v/>
      </c>
      <c r="CS790" s="873" t="str">
        <f t="shared" si="77"/>
        <v/>
      </c>
      <c r="CT790" s="873" t="str">
        <f t="shared" si="78"/>
        <v/>
      </c>
      <c r="CU790" s="873" t="str">
        <f t="shared" si="79"/>
        <v/>
      </c>
      <c r="CV790" s="873" t="str">
        <f t="shared" si="80"/>
        <v/>
      </c>
      <c r="CW790" s="873" t="str">
        <f t="shared" si="81"/>
        <v/>
      </c>
      <c r="CX790" s="873" t="str">
        <f t="shared" si="82"/>
        <v/>
      </c>
      <c r="CY790" s="873" t="str">
        <f t="shared" si="83"/>
        <v/>
      </c>
      <c r="CZ790" s="873" t="str">
        <f t="shared" si="84"/>
        <v/>
      </c>
      <c r="DA790" s="873" t="str">
        <f t="shared" si="85"/>
        <v/>
      </c>
      <c r="DB790" s="873" t="str">
        <f t="shared" si="86"/>
        <v/>
      </c>
      <c r="DC790" s="873" t="str">
        <f t="shared" si="87"/>
        <v/>
      </c>
      <c r="DD790" s="873" t="str">
        <f t="shared" si="88"/>
        <v/>
      </c>
      <c r="DE790" s="873" t="str">
        <f t="shared" si="89"/>
        <v/>
      </c>
      <c r="DF790" s="873" t="str">
        <f t="shared" si="90"/>
        <v/>
      </c>
      <c r="DG790" s="873" t="str">
        <f t="shared" si="91"/>
        <v/>
      </c>
      <c r="DH790" s="873" t="str">
        <f t="shared" si="92"/>
        <v/>
      </c>
      <c r="DI790" s="873" t="str">
        <f t="shared" si="93"/>
        <v/>
      </c>
      <c r="DJ790" s="873" t="str">
        <f t="shared" si="94"/>
        <v/>
      </c>
      <c r="DK790" s="873" t="str">
        <f t="shared" si="95"/>
        <v/>
      </c>
      <c r="DL790" s="873" t="str">
        <f t="shared" si="96"/>
        <v/>
      </c>
      <c r="DM790" s="873" t="str">
        <f t="shared" si="97"/>
        <v/>
      </c>
      <c r="DN790" s="873" t="str">
        <f t="shared" si="98"/>
        <v/>
      </c>
      <c r="DO790" s="873" t="str">
        <f t="shared" si="99"/>
        <v/>
      </c>
      <c r="DP790" s="873" t="str">
        <f t="shared" si="100"/>
        <v/>
      </c>
      <c r="DQ790" s="873" t="str">
        <f t="shared" si="101"/>
        <v/>
      </c>
      <c r="DR790" s="873" t="str">
        <f t="shared" si="102"/>
        <v/>
      </c>
      <c r="DS790" s="873" t="str">
        <f t="shared" si="103"/>
        <v/>
      </c>
      <c r="DT790" s="873" t="str">
        <f t="shared" si="104"/>
        <v/>
      </c>
      <c r="DU790" s="873" t="str">
        <f t="shared" si="105"/>
        <v/>
      </c>
      <c r="DV790" s="873" t="str">
        <f t="shared" si="106"/>
        <v/>
      </c>
      <c r="DW790" s="873" t="str">
        <f t="shared" si="107"/>
        <v/>
      </c>
      <c r="DX790" s="873" t="str">
        <f t="shared" si="108"/>
        <v/>
      </c>
      <c r="DY790" s="873" t="str">
        <f t="shared" si="109"/>
        <v/>
      </c>
      <c r="DZ790" s="873" t="str">
        <f t="shared" si="110"/>
        <v/>
      </c>
      <c r="EA790" s="873" t="str">
        <f t="shared" si="111"/>
        <v/>
      </c>
      <c r="EB790" s="873" t="str">
        <f t="shared" si="112"/>
        <v/>
      </c>
      <c r="EC790" s="873" t="str">
        <f t="shared" si="113"/>
        <v/>
      </c>
      <c r="ED790" s="873" t="str">
        <f t="shared" si="114"/>
        <v/>
      </c>
      <c r="EE790" s="873" t="str">
        <f t="shared" si="115"/>
        <v/>
      </c>
      <c r="EF790" s="873" t="str">
        <f t="shared" si="116"/>
        <v/>
      </c>
      <c r="EG790" s="873" t="str">
        <f t="shared" si="117"/>
        <v/>
      </c>
      <c r="EH790" s="873" t="str">
        <f t="shared" si="118"/>
        <v/>
      </c>
      <c r="EI790" s="873" t="str">
        <f t="shared" si="119"/>
        <v/>
      </c>
      <c r="EJ790" s="873" t="str">
        <f t="shared" si="120"/>
        <v/>
      </c>
      <c r="EK790" s="873" t="str">
        <f t="shared" si="121"/>
        <v/>
      </c>
      <c r="EL790" s="873" t="str">
        <f t="shared" si="122"/>
        <v/>
      </c>
      <c r="EM790" s="873" t="str">
        <f t="shared" si="123"/>
        <v/>
      </c>
      <c r="EN790" s="873" t="str">
        <f t="shared" si="124"/>
        <v/>
      </c>
      <c r="EO790" s="873" t="str">
        <f t="shared" si="125"/>
        <v/>
      </c>
      <c r="EP790" s="873" t="str">
        <f t="shared" si="126"/>
        <v/>
      </c>
      <c r="EQ790" s="873" t="str">
        <f t="shared" si="127"/>
        <v/>
      </c>
      <c r="ER790" s="873" t="str">
        <f t="shared" si="128"/>
        <v/>
      </c>
      <c r="ES790" s="873" t="str">
        <f t="shared" si="129"/>
        <v/>
      </c>
      <c r="ET790" s="873" t="str">
        <f t="shared" si="130"/>
        <v/>
      </c>
      <c r="EU790" s="873" t="str">
        <f t="shared" si="131"/>
        <v/>
      </c>
      <c r="EV790" s="873" t="str">
        <f t="shared" si="132"/>
        <v/>
      </c>
      <c r="EW790" s="2288" t="str">
        <f t="shared" si="133"/>
        <v/>
      </c>
      <c r="EX790" s="2288" t="str">
        <f t="shared" si="134"/>
        <v/>
      </c>
      <c r="EY790" s="2288" t="str">
        <f t="shared" si="135"/>
        <v/>
      </c>
      <c r="EZ790" s="2288" t="str">
        <f t="shared" si="136"/>
        <v/>
      </c>
      <c r="FA790" s="2288" t="str">
        <f t="shared" si="137"/>
        <v/>
      </c>
      <c r="FB790" s="2288" t="str">
        <f t="shared" si="138"/>
        <v/>
      </c>
      <c r="FC790" s="2288" t="str">
        <f t="shared" si="139"/>
        <v/>
      </c>
      <c r="FD790" s="2288" t="str">
        <f t="shared" si="140"/>
        <v/>
      </c>
      <c r="FE790" s="2288" t="str">
        <f t="shared" si="141"/>
        <v/>
      </c>
      <c r="FF790" s="2288" t="str">
        <f t="shared" si="142"/>
        <v/>
      </c>
      <c r="FG790" s="2288" t="str">
        <f t="shared" si="143"/>
        <v/>
      </c>
      <c r="FH790" s="2288" t="str">
        <f t="shared" si="144"/>
        <v/>
      </c>
      <c r="FI790" s="2288" t="str">
        <f t="shared" si="145"/>
        <v/>
      </c>
      <c r="FJ790" s="2288" t="str">
        <f t="shared" si="146"/>
        <v/>
      </c>
      <c r="FK790" s="2288" t="str">
        <f t="shared" si="147"/>
        <v/>
      </c>
      <c r="FL790" s="2288" t="str">
        <f t="shared" si="148"/>
        <v/>
      </c>
      <c r="FM790" s="2288" t="str">
        <f t="shared" si="149"/>
        <v/>
      </c>
      <c r="FN790" s="2288" t="str">
        <f t="shared" si="150"/>
        <v/>
      </c>
      <c r="FO790" s="2288" t="str">
        <f t="shared" si="151"/>
        <v/>
      </c>
      <c r="FP790" s="2288" t="str">
        <f t="shared" si="152"/>
        <v/>
      </c>
      <c r="FQ790" s="2288" t="str">
        <f t="shared" si="153"/>
        <v/>
      </c>
      <c r="FR790" s="2288" t="str">
        <f t="shared" si="154"/>
        <v/>
      </c>
      <c r="FS790" s="2288" t="str">
        <f t="shared" si="155"/>
        <v/>
      </c>
      <c r="FT790" s="2288" t="str">
        <f t="shared" si="156"/>
        <v/>
      </c>
      <c r="FU790" s="2288" t="str">
        <f t="shared" si="157"/>
        <v/>
      </c>
      <c r="FV790" s="2288" t="str">
        <f t="shared" si="158"/>
        <v/>
      </c>
      <c r="FW790" s="2288" t="str">
        <f t="shared" si="159"/>
        <v/>
      </c>
      <c r="FX790" s="2288" t="str">
        <f t="shared" si="160"/>
        <v/>
      </c>
      <c r="FY790" s="2288" t="str">
        <f t="shared" si="161"/>
        <v/>
      </c>
      <c r="FZ790" s="2288" t="str">
        <f t="shared" si="162"/>
        <v/>
      </c>
      <c r="GA790" s="2288" t="str">
        <f t="shared" si="163"/>
        <v/>
      </c>
      <c r="GB790" s="2288" t="str">
        <f t="shared" si="164"/>
        <v/>
      </c>
      <c r="GC790" s="2288" t="str">
        <f t="shared" si="165"/>
        <v/>
      </c>
      <c r="GD790" s="2288" t="str">
        <f t="shared" si="166"/>
        <v/>
      </c>
      <c r="GE790" s="2288" t="str">
        <f t="shared" si="167"/>
        <v/>
      </c>
      <c r="GF790" s="2288" t="str">
        <f t="shared" si="168"/>
        <v/>
      </c>
      <c r="GG790" s="2288" t="str">
        <f t="shared" si="169"/>
        <v/>
      </c>
      <c r="GH790" s="2288" t="str">
        <f t="shared" si="170"/>
        <v/>
      </c>
      <c r="GI790" s="2288" t="str">
        <f t="shared" si="171"/>
        <v/>
      </c>
      <c r="GJ790" s="2288" t="str">
        <f t="shared" si="172"/>
        <v/>
      </c>
      <c r="GK790" s="2288" t="str">
        <f t="shared" si="173"/>
        <v/>
      </c>
      <c r="GL790" s="2288" t="str">
        <f t="shared" si="174"/>
        <v/>
      </c>
      <c r="GM790" s="2288" t="str">
        <f t="shared" si="175"/>
        <v/>
      </c>
      <c r="GN790" s="2288" t="str">
        <f t="shared" si="176"/>
        <v/>
      </c>
      <c r="GO790" s="2288" t="str">
        <f t="shared" si="177"/>
        <v/>
      </c>
      <c r="GP790" s="2288" t="str">
        <f t="shared" si="178"/>
        <v/>
      </c>
      <c r="GQ790" s="2288" t="str">
        <f t="shared" si="179"/>
        <v/>
      </c>
      <c r="GR790" s="2288" t="str">
        <f t="shared" si="180"/>
        <v/>
      </c>
      <c r="GS790" s="2288" t="str">
        <f t="shared" si="181"/>
        <v/>
      </c>
      <c r="GT790" s="2288" t="str">
        <f t="shared" si="182"/>
        <v/>
      </c>
      <c r="GU790" s="2288" t="str">
        <f t="shared" si="183"/>
        <v/>
      </c>
      <c r="GV790" s="2288" t="str">
        <f t="shared" si="184"/>
        <v/>
      </c>
      <c r="GW790" s="2288" t="str">
        <f t="shared" si="185"/>
        <v/>
      </c>
      <c r="GX790" s="2288" t="str">
        <f t="shared" si="186"/>
        <v/>
      </c>
      <c r="GY790" s="2288" t="str">
        <f t="shared" si="187"/>
        <v/>
      </c>
      <c r="GZ790" s="2288" t="str">
        <f t="shared" si="188"/>
        <v/>
      </c>
      <c r="HA790" s="2288" t="str">
        <f t="shared" si="189"/>
        <v/>
      </c>
      <c r="HB790" s="2288" t="str">
        <f t="shared" si="190"/>
        <v/>
      </c>
      <c r="HC790" s="2288" t="str">
        <f t="shared" si="191"/>
        <v/>
      </c>
      <c r="HD790" s="2288" t="str">
        <f t="shared" si="192"/>
        <v/>
      </c>
      <c r="HE790" s="2288" t="str">
        <f t="shared" si="193"/>
        <v/>
      </c>
      <c r="HF790" s="2288" t="str">
        <f t="shared" si="194"/>
        <v/>
      </c>
      <c r="HG790" s="2288" t="str">
        <f t="shared" si="195"/>
        <v/>
      </c>
      <c r="HH790" s="2288" t="str">
        <f t="shared" si="196"/>
        <v/>
      </c>
      <c r="HI790" s="2288" t="str">
        <f t="shared" si="197"/>
        <v/>
      </c>
      <c r="HJ790" s="2288" t="str">
        <f t="shared" si="198"/>
        <v/>
      </c>
      <c r="HK790" s="2288" t="str">
        <f t="shared" si="199"/>
        <v/>
      </c>
      <c r="HL790" s="2288" t="str">
        <f t="shared" si="200"/>
        <v/>
      </c>
      <c r="HM790" s="2288" t="str">
        <f t="shared" si="201"/>
        <v/>
      </c>
      <c r="HN790" s="2288" t="str">
        <f t="shared" si="202"/>
        <v/>
      </c>
      <c r="HO790" s="2288" t="str">
        <f t="shared" si="203"/>
        <v/>
      </c>
      <c r="HP790" s="2288" t="str">
        <f t="shared" si="204"/>
        <v/>
      </c>
      <c r="HQ790" s="2288" t="str">
        <f t="shared" si="205"/>
        <v/>
      </c>
      <c r="HR790" s="2288" t="str">
        <f t="shared" si="206"/>
        <v/>
      </c>
      <c r="HS790" s="2288" t="str">
        <f t="shared" si="207"/>
        <v/>
      </c>
      <c r="HT790" s="2288" t="str">
        <f t="shared" si="208"/>
        <v/>
      </c>
      <c r="HU790" s="2288" t="str">
        <f t="shared" si="209"/>
        <v/>
      </c>
      <c r="HV790" s="2288" t="str">
        <f t="shared" si="210"/>
        <v/>
      </c>
      <c r="HW790" s="2288" t="str">
        <f t="shared" si="211"/>
        <v/>
      </c>
      <c r="HX790" s="2288" t="str">
        <f t="shared" si="212"/>
        <v/>
      </c>
      <c r="HY790" s="2288" t="str">
        <f t="shared" si="213"/>
        <v/>
      </c>
      <c r="HZ790" s="2288" t="str">
        <f t="shared" si="214"/>
        <v/>
      </c>
      <c r="IA790" s="2288" t="str">
        <f t="shared" si="215"/>
        <v/>
      </c>
      <c r="IB790" s="2288" t="str">
        <f t="shared" si="216"/>
        <v/>
      </c>
      <c r="IC790" s="2288" t="str">
        <f t="shared" si="217"/>
        <v/>
      </c>
      <c r="ID790" s="2255" t="str">
        <f t="shared" si="218"/>
        <v/>
      </c>
      <c r="IE790" s="2255" t="str">
        <f t="shared" si="219"/>
        <v/>
      </c>
      <c r="IF790" s="2255" t="str">
        <f t="shared" si="220"/>
        <v/>
      </c>
      <c r="IG790" s="2255" t="str">
        <f t="shared" si="221"/>
        <v/>
      </c>
      <c r="IH790" s="2255" t="str">
        <f t="shared" si="222"/>
        <v/>
      </c>
      <c r="II790" s="873" t="str">
        <f t="shared" si="223"/>
        <v/>
      </c>
      <c r="IJ790" s="873" t="str">
        <f t="shared" si="224"/>
        <v/>
      </c>
      <c r="IK790" s="873" t="str">
        <f t="shared" si="225"/>
        <v/>
      </c>
      <c r="IL790" s="873" t="str">
        <f t="shared" si="226"/>
        <v/>
      </c>
      <c r="IM790" s="873" t="str">
        <f t="shared" si="227"/>
        <v/>
      </c>
      <c r="IN790" s="873" t="str">
        <f t="shared" si="228"/>
        <v/>
      </c>
      <c r="IO790" s="873" t="str">
        <f t="shared" si="229"/>
        <v/>
      </c>
      <c r="IP790" s="873" t="str">
        <f t="shared" si="230"/>
        <v/>
      </c>
      <c r="IQ790" s="873" t="str">
        <f t="shared" si="231"/>
        <v/>
      </c>
      <c r="IR790" s="873" t="str">
        <f t="shared" si="232"/>
        <v/>
      </c>
      <c r="IS790" s="873" t="str">
        <f t="shared" si="233"/>
        <v/>
      </c>
      <c r="IT790" s="873" t="str">
        <f t="shared" si="234"/>
        <v/>
      </c>
      <c r="IU790" s="873" t="str">
        <f t="shared" si="235"/>
        <v/>
      </c>
      <c r="IV790" s="873" t="str">
        <f t="shared" si="236"/>
        <v/>
      </c>
      <c r="IW790" s="873" t="str">
        <f t="shared" si="237"/>
        <v/>
      </c>
      <c r="IX790" s="873" t="str">
        <f t="shared" si="238"/>
        <v/>
      </c>
      <c r="IY790" s="873" t="str">
        <f t="shared" si="239"/>
        <v/>
      </c>
      <c r="IZ790" s="873" t="str">
        <f t="shared" si="240"/>
        <v/>
      </c>
      <c r="JA790" s="873" t="str">
        <f t="shared" si="241"/>
        <v/>
      </c>
      <c r="JB790" s="873" t="str">
        <f t="shared" si="242"/>
        <v/>
      </c>
      <c r="JC790" s="2253">
        <f t="shared" si="243"/>
        <v>0</v>
      </c>
      <c r="JD790" s="2253">
        <f t="shared" si="244"/>
        <v>0</v>
      </c>
      <c r="JE790" s="2253">
        <f t="shared" si="245"/>
        <v>0</v>
      </c>
      <c r="JF790" s="2253">
        <f t="shared" si="246"/>
        <v>0</v>
      </c>
      <c r="JG790" s="2253">
        <f t="shared" si="247"/>
        <v>0</v>
      </c>
      <c r="JH790" s="2253">
        <f t="shared" si="248"/>
        <v>0</v>
      </c>
      <c r="JI790" s="2253">
        <f t="shared" si="249"/>
        <v>0</v>
      </c>
      <c r="JJ790" s="2253">
        <f t="shared" si="250"/>
        <v>0</v>
      </c>
      <c r="JK790" s="2253">
        <f t="shared" si="251"/>
        <v>0</v>
      </c>
      <c r="JL790" s="2253">
        <f t="shared" si="252"/>
        <v>0</v>
      </c>
      <c r="JM790" s="2253">
        <f t="shared" si="253"/>
        <v>0</v>
      </c>
      <c r="JN790" s="2253">
        <f t="shared" si="254"/>
        <v>0</v>
      </c>
      <c r="JO790" s="2253">
        <f t="shared" si="255"/>
        <v>0</v>
      </c>
      <c r="JP790" s="2253">
        <f t="shared" si="256"/>
        <v>0</v>
      </c>
      <c r="JQ790" s="2253">
        <f t="shared" si="257"/>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72</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79300</v>
      </c>
      <c r="G791" s="516"/>
      <c r="H791" s="516"/>
      <c r="I791" s="516"/>
      <c r="J791" s="516"/>
      <c r="K791" s="2292" t="s">
        <v>1351</v>
      </c>
      <c r="L791" s="2290">
        <f>SUM(L753:L790)</f>
        <v>38904</v>
      </c>
      <c r="M791" s="2079"/>
      <c r="N791" s="2079"/>
      <c r="O791" s="2079"/>
      <c r="P791" s="2079"/>
      <c r="Q791" s="2079"/>
      <c r="R791" s="2079"/>
      <c r="S791" s="2079"/>
      <c r="T791" s="2079"/>
      <c r="U791" s="2269"/>
      <c r="V791" s="2293"/>
      <c r="W791" s="2293">
        <f t="shared" ref="W791:CH791" si="258">SUM(W753:W790)</f>
        <v>0</v>
      </c>
      <c r="X791" s="2293">
        <f t="shared" si="258"/>
        <v>3</v>
      </c>
      <c r="Y791" s="2293">
        <f t="shared" si="258"/>
        <v>32</v>
      </c>
      <c r="Z791" s="2293">
        <f t="shared" si="258"/>
        <v>16</v>
      </c>
      <c r="AA791" s="2293">
        <f t="shared" si="258"/>
        <v>0</v>
      </c>
      <c r="AB791" s="2293">
        <f t="shared" si="258"/>
        <v>0</v>
      </c>
      <c r="AC791" s="2293">
        <f t="shared" si="258"/>
        <v>9</v>
      </c>
      <c r="AD791" s="2293">
        <f t="shared" si="258"/>
        <v>8</v>
      </c>
      <c r="AE791" s="2293">
        <f t="shared" si="258"/>
        <v>4</v>
      </c>
      <c r="AF791" s="2293">
        <f t="shared" si="258"/>
        <v>0</v>
      </c>
      <c r="AG791" s="2293">
        <f t="shared" si="258"/>
        <v>0</v>
      </c>
      <c r="AH791" s="2293">
        <f t="shared" si="258"/>
        <v>0</v>
      </c>
      <c r="AI791" s="2293">
        <f t="shared" si="258"/>
        <v>0</v>
      </c>
      <c r="AJ791" s="2293">
        <f t="shared" si="258"/>
        <v>0</v>
      </c>
      <c r="AK791" s="2293">
        <f t="shared" si="258"/>
        <v>0</v>
      </c>
      <c r="AL791" s="2293">
        <f t="shared" si="258"/>
        <v>0</v>
      </c>
      <c r="AM791" s="2293">
        <f t="shared" si="258"/>
        <v>0</v>
      </c>
      <c r="AN791" s="2293">
        <f t="shared" si="258"/>
        <v>0</v>
      </c>
      <c r="AO791" s="2293">
        <f t="shared" si="258"/>
        <v>0</v>
      </c>
      <c r="AP791" s="2293">
        <f t="shared" si="258"/>
        <v>0</v>
      </c>
      <c r="AQ791" s="2293">
        <f t="shared" si="258"/>
        <v>0</v>
      </c>
      <c r="AR791" s="2293">
        <f t="shared" si="258"/>
        <v>0</v>
      </c>
      <c r="AS791" s="2293">
        <f t="shared" si="258"/>
        <v>0</v>
      </c>
      <c r="AT791" s="2293">
        <f t="shared" si="258"/>
        <v>0</v>
      </c>
      <c r="AU791" s="2293">
        <f t="shared" si="258"/>
        <v>0</v>
      </c>
      <c r="AV791" s="2293">
        <f t="shared" si="258"/>
        <v>0</v>
      </c>
      <c r="AW791" s="2293">
        <f t="shared" si="258"/>
        <v>0</v>
      </c>
      <c r="AX791" s="2293">
        <f t="shared" si="258"/>
        <v>0</v>
      </c>
      <c r="AY791" s="2293">
        <f t="shared" si="258"/>
        <v>0</v>
      </c>
      <c r="AZ791" s="2293">
        <f t="shared" si="258"/>
        <v>0</v>
      </c>
      <c r="BA791" s="2293">
        <f t="shared" si="258"/>
        <v>0</v>
      </c>
      <c r="BB791" s="2293">
        <f t="shared" si="258"/>
        <v>0</v>
      </c>
      <c r="BC791" s="2293">
        <f t="shared" si="258"/>
        <v>0</v>
      </c>
      <c r="BD791" s="2293">
        <f t="shared" si="258"/>
        <v>0</v>
      </c>
      <c r="BE791" s="2293">
        <f t="shared" si="258"/>
        <v>0</v>
      </c>
      <c r="BF791" s="2293">
        <f t="shared" si="258"/>
        <v>0</v>
      </c>
      <c r="BG791" s="2293">
        <f t="shared" si="258"/>
        <v>0</v>
      </c>
      <c r="BH791" s="2293">
        <f t="shared" si="258"/>
        <v>0</v>
      </c>
      <c r="BI791" s="2293">
        <f t="shared" si="258"/>
        <v>0</v>
      </c>
      <c r="BJ791" s="2293">
        <f t="shared" si="258"/>
        <v>0</v>
      </c>
      <c r="BK791" s="2293">
        <f t="shared" si="258"/>
        <v>0</v>
      </c>
      <c r="BL791" s="2293">
        <f t="shared" si="258"/>
        <v>0</v>
      </c>
      <c r="BM791" s="2293">
        <f t="shared" si="258"/>
        <v>0</v>
      </c>
      <c r="BN791" s="2293">
        <f t="shared" si="258"/>
        <v>0</v>
      </c>
      <c r="BO791" s="2293">
        <f t="shared" si="258"/>
        <v>0</v>
      </c>
      <c r="BP791" s="2293">
        <f t="shared" si="258"/>
        <v>0</v>
      </c>
      <c r="BQ791" s="2293">
        <f t="shared" si="258"/>
        <v>0</v>
      </c>
      <c r="BR791" s="2293">
        <f t="shared" si="258"/>
        <v>0</v>
      </c>
      <c r="BS791" s="2293">
        <f t="shared" si="258"/>
        <v>0</v>
      </c>
      <c r="BT791" s="2293">
        <f t="shared" si="258"/>
        <v>0</v>
      </c>
      <c r="BU791" s="2293">
        <f t="shared" si="258"/>
        <v>0</v>
      </c>
      <c r="BV791" s="2293">
        <f t="shared" si="258"/>
        <v>0</v>
      </c>
      <c r="BW791" s="2293">
        <f t="shared" si="258"/>
        <v>0</v>
      </c>
      <c r="BX791" s="2293">
        <f t="shared" si="258"/>
        <v>0</v>
      </c>
      <c r="BY791" s="2293">
        <f t="shared" si="258"/>
        <v>0</v>
      </c>
      <c r="BZ791" s="2293">
        <f t="shared" si="258"/>
        <v>0</v>
      </c>
      <c r="CA791" s="2293">
        <f t="shared" si="258"/>
        <v>2490</v>
      </c>
      <c r="CB791" s="2293">
        <f t="shared" si="258"/>
        <v>34656</v>
      </c>
      <c r="CC791" s="2293">
        <f t="shared" si="258"/>
        <v>20816</v>
      </c>
      <c r="CD791" s="2293">
        <f t="shared" si="258"/>
        <v>0</v>
      </c>
      <c r="CE791" s="2293">
        <f t="shared" si="258"/>
        <v>0</v>
      </c>
      <c r="CF791" s="2293">
        <f t="shared" si="258"/>
        <v>7470</v>
      </c>
      <c r="CG791" s="2293">
        <f t="shared" si="258"/>
        <v>8664</v>
      </c>
      <c r="CH791" s="2293">
        <f t="shared" si="258"/>
        <v>5204</v>
      </c>
      <c r="CI791" s="2293">
        <f t="shared" ref="CI791:ET791" si="259">SUM(CI753:CI790)</f>
        <v>0</v>
      </c>
      <c r="CJ791" s="2293">
        <f t="shared" si="259"/>
        <v>0</v>
      </c>
      <c r="CK791" s="2293">
        <f t="shared" si="259"/>
        <v>0</v>
      </c>
      <c r="CL791" s="2293">
        <f t="shared" si="259"/>
        <v>0</v>
      </c>
      <c r="CM791" s="2293">
        <f t="shared" si="259"/>
        <v>0</v>
      </c>
      <c r="CN791" s="2293">
        <f t="shared" si="259"/>
        <v>0</v>
      </c>
      <c r="CO791" s="2293">
        <f t="shared" si="259"/>
        <v>0</v>
      </c>
      <c r="CP791" s="2293">
        <f t="shared" si="259"/>
        <v>0</v>
      </c>
      <c r="CQ791" s="2293">
        <f t="shared" si="259"/>
        <v>0</v>
      </c>
      <c r="CR791" s="2293">
        <f t="shared" si="259"/>
        <v>0</v>
      </c>
      <c r="CS791" s="2293">
        <f t="shared" si="259"/>
        <v>0</v>
      </c>
      <c r="CT791" s="2293">
        <f t="shared" si="259"/>
        <v>0</v>
      </c>
      <c r="CU791" s="2293">
        <f t="shared" si="259"/>
        <v>0</v>
      </c>
      <c r="CV791" s="2293">
        <f t="shared" si="259"/>
        <v>0</v>
      </c>
      <c r="CW791" s="2293">
        <f t="shared" si="259"/>
        <v>0</v>
      </c>
      <c r="CX791" s="2293">
        <f t="shared" si="259"/>
        <v>0</v>
      </c>
      <c r="CY791" s="2293">
        <f t="shared" si="259"/>
        <v>0</v>
      </c>
      <c r="CZ791" s="2293">
        <f t="shared" si="259"/>
        <v>0</v>
      </c>
      <c r="DA791" s="2293">
        <f t="shared" si="259"/>
        <v>0</v>
      </c>
      <c r="DB791" s="2293">
        <f t="shared" si="259"/>
        <v>0</v>
      </c>
      <c r="DC791" s="2293">
        <f t="shared" si="259"/>
        <v>0</v>
      </c>
      <c r="DD791" s="2293">
        <f t="shared" si="259"/>
        <v>0</v>
      </c>
      <c r="DE791" s="2293">
        <f t="shared" si="259"/>
        <v>12</v>
      </c>
      <c r="DF791" s="2293">
        <f t="shared" si="259"/>
        <v>40</v>
      </c>
      <c r="DG791" s="2293">
        <f t="shared" si="259"/>
        <v>20</v>
      </c>
      <c r="DH791" s="2293">
        <f t="shared" si="259"/>
        <v>0</v>
      </c>
      <c r="DI791" s="2293">
        <f t="shared" si="259"/>
        <v>0</v>
      </c>
      <c r="DJ791" s="2293">
        <f t="shared" si="259"/>
        <v>0</v>
      </c>
      <c r="DK791" s="2293">
        <f t="shared" si="259"/>
        <v>0</v>
      </c>
      <c r="DL791" s="2293">
        <f t="shared" si="259"/>
        <v>0</v>
      </c>
      <c r="DM791" s="2293">
        <f t="shared" si="259"/>
        <v>0</v>
      </c>
      <c r="DN791" s="2293">
        <f t="shared" si="259"/>
        <v>0</v>
      </c>
      <c r="DO791" s="2293">
        <f t="shared" si="259"/>
        <v>0</v>
      </c>
      <c r="DP791" s="2293">
        <f t="shared" si="259"/>
        <v>0</v>
      </c>
      <c r="DQ791" s="2293">
        <f t="shared" si="259"/>
        <v>0</v>
      </c>
      <c r="DR791" s="2293">
        <f t="shared" si="259"/>
        <v>0</v>
      </c>
      <c r="DS791" s="2293">
        <f t="shared" si="259"/>
        <v>0</v>
      </c>
      <c r="DT791" s="2293">
        <f t="shared" si="259"/>
        <v>0</v>
      </c>
      <c r="DU791" s="2293">
        <f t="shared" si="259"/>
        <v>0</v>
      </c>
      <c r="DV791" s="2293">
        <f t="shared" si="259"/>
        <v>0</v>
      </c>
      <c r="DW791" s="2293">
        <f t="shared" si="259"/>
        <v>0</v>
      </c>
      <c r="DX791" s="2293">
        <f t="shared" si="259"/>
        <v>0</v>
      </c>
      <c r="DY791" s="2293">
        <f t="shared" si="259"/>
        <v>0</v>
      </c>
      <c r="DZ791" s="2293">
        <f t="shared" si="259"/>
        <v>0</v>
      </c>
      <c r="EA791" s="2293">
        <f t="shared" si="259"/>
        <v>0</v>
      </c>
      <c r="EB791" s="2293">
        <f t="shared" si="259"/>
        <v>0</v>
      </c>
      <c r="EC791" s="2293">
        <f t="shared" si="259"/>
        <v>0</v>
      </c>
      <c r="ED791" s="2293">
        <f t="shared" si="259"/>
        <v>0</v>
      </c>
      <c r="EE791" s="2293">
        <f t="shared" si="259"/>
        <v>0</v>
      </c>
      <c r="EF791" s="2293">
        <f t="shared" si="259"/>
        <v>0</v>
      </c>
      <c r="EG791" s="2293">
        <f t="shared" si="259"/>
        <v>0</v>
      </c>
      <c r="EH791" s="2293">
        <f t="shared" si="259"/>
        <v>0</v>
      </c>
      <c r="EI791" s="2293">
        <f t="shared" si="259"/>
        <v>0</v>
      </c>
      <c r="EJ791" s="2293">
        <f t="shared" si="259"/>
        <v>0</v>
      </c>
      <c r="EK791" s="2293">
        <f t="shared" si="259"/>
        <v>0</v>
      </c>
      <c r="EL791" s="2293">
        <f t="shared" si="259"/>
        <v>0</v>
      </c>
      <c r="EM791" s="2293">
        <f t="shared" si="259"/>
        <v>0</v>
      </c>
      <c r="EN791" s="2293">
        <f t="shared" si="259"/>
        <v>0</v>
      </c>
      <c r="EO791" s="2293">
        <f t="shared" si="259"/>
        <v>0</v>
      </c>
      <c r="EP791" s="2293">
        <f t="shared" si="259"/>
        <v>0</v>
      </c>
      <c r="EQ791" s="2293">
        <f t="shared" si="259"/>
        <v>0</v>
      </c>
      <c r="ER791" s="2293">
        <f t="shared" si="259"/>
        <v>0</v>
      </c>
      <c r="ES791" s="2293">
        <f t="shared" si="259"/>
        <v>0</v>
      </c>
      <c r="ET791" s="2293">
        <f t="shared" si="259"/>
        <v>0</v>
      </c>
      <c r="EU791" s="2293">
        <f t="shared" ref="EU791:HF791" si="260">SUM(EU753:EU790)</f>
        <v>0</v>
      </c>
      <c r="EV791" s="2293">
        <f t="shared" si="260"/>
        <v>0</v>
      </c>
      <c r="EW791" s="2293">
        <f t="shared" si="260"/>
        <v>0</v>
      </c>
      <c r="EX791" s="2293">
        <f t="shared" si="260"/>
        <v>12</v>
      </c>
      <c r="EY791" s="2293">
        <f t="shared" si="260"/>
        <v>40</v>
      </c>
      <c r="EZ791" s="2293">
        <f t="shared" si="260"/>
        <v>20</v>
      </c>
      <c r="FA791" s="2293">
        <f t="shared" si="260"/>
        <v>0</v>
      </c>
      <c r="FB791" s="2293">
        <f t="shared" si="260"/>
        <v>0</v>
      </c>
      <c r="FC791" s="2293">
        <f t="shared" si="260"/>
        <v>0</v>
      </c>
      <c r="FD791" s="2293">
        <f t="shared" si="260"/>
        <v>0</v>
      </c>
      <c r="FE791" s="2293">
        <f t="shared" si="260"/>
        <v>0</v>
      </c>
      <c r="FF791" s="2293">
        <f t="shared" si="260"/>
        <v>0</v>
      </c>
      <c r="FG791" s="2293">
        <f t="shared" si="260"/>
        <v>0</v>
      </c>
      <c r="FH791" s="2293">
        <f t="shared" si="260"/>
        <v>0</v>
      </c>
      <c r="FI791" s="2293">
        <f t="shared" si="260"/>
        <v>0</v>
      </c>
      <c r="FJ791" s="2293">
        <f t="shared" si="260"/>
        <v>0</v>
      </c>
      <c r="FK791" s="2293">
        <f t="shared" si="260"/>
        <v>0</v>
      </c>
      <c r="FL791" s="2293">
        <f t="shared" si="260"/>
        <v>0</v>
      </c>
      <c r="FM791" s="2293">
        <f t="shared" si="260"/>
        <v>0</v>
      </c>
      <c r="FN791" s="2293">
        <f t="shared" si="260"/>
        <v>0</v>
      </c>
      <c r="FO791" s="2293">
        <f t="shared" si="260"/>
        <v>0</v>
      </c>
      <c r="FP791" s="2293">
        <f t="shared" si="260"/>
        <v>0</v>
      </c>
      <c r="FQ791" s="2293">
        <f t="shared" si="260"/>
        <v>0</v>
      </c>
      <c r="FR791" s="2293">
        <f t="shared" si="260"/>
        <v>0</v>
      </c>
      <c r="FS791" s="2293">
        <f t="shared" si="260"/>
        <v>0</v>
      </c>
      <c r="FT791" s="2293">
        <f t="shared" si="260"/>
        <v>0</v>
      </c>
      <c r="FU791" s="2293">
        <f t="shared" si="260"/>
        <v>0</v>
      </c>
      <c r="FV791" s="2293">
        <f t="shared" si="260"/>
        <v>0</v>
      </c>
      <c r="FW791" s="2293">
        <f t="shared" si="260"/>
        <v>0</v>
      </c>
      <c r="FX791" s="2293">
        <f t="shared" si="260"/>
        <v>0</v>
      </c>
      <c r="FY791" s="2293">
        <f t="shared" si="260"/>
        <v>0</v>
      </c>
      <c r="FZ791" s="2293">
        <f t="shared" si="260"/>
        <v>0</v>
      </c>
      <c r="GA791" s="2293">
        <f t="shared" si="260"/>
        <v>0</v>
      </c>
      <c r="GB791" s="2293">
        <f t="shared" si="260"/>
        <v>0</v>
      </c>
      <c r="GC791" s="2293">
        <f t="shared" si="260"/>
        <v>0</v>
      </c>
      <c r="GD791" s="2293">
        <f t="shared" si="260"/>
        <v>0</v>
      </c>
      <c r="GE791" s="2293">
        <f t="shared" si="260"/>
        <v>0</v>
      </c>
      <c r="GF791" s="2293">
        <f t="shared" si="260"/>
        <v>0</v>
      </c>
      <c r="GG791" s="2293">
        <f t="shared" si="260"/>
        <v>0</v>
      </c>
      <c r="GH791" s="2293">
        <f t="shared" si="260"/>
        <v>0</v>
      </c>
      <c r="GI791" s="2293">
        <f t="shared" si="260"/>
        <v>0</v>
      </c>
      <c r="GJ791" s="2293">
        <f t="shared" si="260"/>
        <v>0</v>
      </c>
      <c r="GK791" s="2293">
        <f t="shared" si="260"/>
        <v>0</v>
      </c>
      <c r="GL791" s="2293">
        <f t="shared" si="260"/>
        <v>0</v>
      </c>
      <c r="GM791" s="2293">
        <f t="shared" si="260"/>
        <v>0</v>
      </c>
      <c r="GN791" s="2293">
        <f t="shared" si="260"/>
        <v>0</v>
      </c>
      <c r="GO791" s="2293">
        <f t="shared" si="260"/>
        <v>0</v>
      </c>
      <c r="GP791" s="2293">
        <f t="shared" si="260"/>
        <v>0</v>
      </c>
      <c r="GQ791" s="2293">
        <f t="shared" si="260"/>
        <v>0</v>
      </c>
      <c r="GR791" s="2293">
        <f t="shared" si="260"/>
        <v>0</v>
      </c>
      <c r="GS791" s="2293">
        <f t="shared" si="260"/>
        <v>0</v>
      </c>
      <c r="GT791" s="2293">
        <f t="shared" si="260"/>
        <v>0</v>
      </c>
      <c r="GU791" s="2293">
        <f t="shared" si="260"/>
        <v>0</v>
      </c>
      <c r="GV791" s="2293">
        <f t="shared" si="260"/>
        <v>0</v>
      </c>
      <c r="GW791" s="2293">
        <f t="shared" si="260"/>
        <v>0</v>
      </c>
      <c r="GX791" s="2293">
        <f t="shared" si="260"/>
        <v>0</v>
      </c>
      <c r="GY791" s="2293">
        <f t="shared" si="260"/>
        <v>0</v>
      </c>
      <c r="GZ791" s="2293">
        <f t="shared" si="260"/>
        <v>0</v>
      </c>
      <c r="HA791" s="2293">
        <f t="shared" si="260"/>
        <v>0</v>
      </c>
      <c r="HB791" s="2293">
        <f t="shared" si="260"/>
        <v>0</v>
      </c>
      <c r="HC791" s="2293">
        <f t="shared" si="260"/>
        <v>0</v>
      </c>
      <c r="HD791" s="2293">
        <f t="shared" si="260"/>
        <v>0</v>
      </c>
      <c r="HE791" s="2293">
        <f t="shared" si="260"/>
        <v>0</v>
      </c>
      <c r="HF791" s="2293">
        <f t="shared" si="260"/>
        <v>0</v>
      </c>
      <c r="HG791" s="2293">
        <f t="shared" ref="HG791:JR791" si="261">SUM(HG753:HG790)</f>
        <v>0</v>
      </c>
      <c r="HH791" s="2293">
        <f t="shared" si="261"/>
        <v>0</v>
      </c>
      <c r="HI791" s="2293">
        <f t="shared" si="261"/>
        <v>0</v>
      </c>
      <c r="HJ791" s="2293">
        <f t="shared" si="261"/>
        <v>0</v>
      </c>
      <c r="HK791" s="2293">
        <f t="shared" si="261"/>
        <v>12</v>
      </c>
      <c r="HL791" s="2293">
        <f t="shared" si="261"/>
        <v>40</v>
      </c>
      <c r="HM791" s="2293">
        <f t="shared" si="261"/>
        <v>20</v>
      </c>
      <c r="HN791" s="2293">
        <f t="shared" si="261"/>
        <v>0</v>
      </c>
      <c r="HO791" s="2293">
        <f t="shared" si="261"/>
        <v>0</v>
      </c>
      <c r="HP791" s="2293">
        <f t="shared" si="261"/>
        <v>0</v>
      </c>
      <c r="HQ791" s="2293">
        <f t="shared" si="261"/>
        <v>0</v>
      </c>
      <c r="HR791" s="2293">
        <f t="shared" si="261"/>
        <v>0</v>
      </c>
      <c r="HS791" s="2293">
        <f t="shared" si="261"/>
        <v>0</v>
      </c>
      <c r="HT791" s="2293">
        <f t="shared" si="261"/>
        <v>0</v>
      </c>
      <c r="HU791" s="2293">
        <f t="shared" si="261"/>
        <v>0</v>
      </c>
      <c r="HV791" s="2293">
        <f t="shared" si="261"/>
        <v>0</v>
      </c>
      <c r="HW791" s="2293">
        <f t="shared" si="261"/>
        <v>0</v>
      </c>
      <c r="HX791" s="2293">
        <f t="shared" si="261"/>
        <v>0</v>
      </c>
      <c r="HY791" s="2293">
        <f t="shared" si="261"/>
        <v>0</v>
      </c>
      <c r="HZ791" s="2293">
        <f t="shared" si="261"/>
        <v>0</v>
      </c>
      <c r="IA791" s="2293">
        <f t="shared" si="261"/>
        <v>0</v>
      </c>
      <c r="IB791" s="2293">
        <f t="shared" si="261"/>
        <v>0</v>
      </c>
      <c r="IC791" s="2293">
        <f t="shared" si="261"/>
        <v>0</v>
      </c>
      <c r="ID791" s="2293">
        <f t="shared" si="261"/>
        <v>0</v>
      </c>
      <c r="IE791" s="2293">
        <f t="shared" si="261"/>
        <v>0</v>
      </c>
      <c r="IF791" s="2293">
        <f t="shared" si="261"/>
        <v>0</v>
      </c>
      <c r="IG791" s="2293">
        <f t="shared" si="261"/>
        <v>0</v>
      </c>
      <c r="IH791" s="2293">
        <f t="shared" si="261"/>
        <v>0</v>
      </c>
      <c r="II791" s="2293">
        <f t="shared" si="261"/>
        <v>0</v>
      </c>
      <c r="IJ791" s="2293">
        <f t="shared" si="261"/>
        <v>0</v>
      </c>
      <c r="IK791" s="2293">
        <f t="shared" si="261"/>
        <v>0</v>
      </c>
      <c r="IL791" s="2293">
        <f t="shared" si="261"/>
        <v>0</v>
      </c>
      <c r="IM791" s="2293">
        <f t="shared" si="261"/>
        <v>0</v>
      </c>
      <c r="IN791" s="2293">
        <f t="shared" si="261"/>
        <v>0</v>
      </c>
      <c r="IO791" s="2293">
        <f t="shared" si="261"/>
        <v>0</v>
      </c>
      <c r="IP791" s="2293">
        <f t="shared" si="261"/>
        <v>0</v>
      </c>
      <c r="IQ791" s="2293">
        <f t="shared" si="261"/>
        <v>0</v>
      </c>
      <c r="IR791" s="2293">
        <f t="shared" si="261"/>
        <v>0</v>
      </c>
      <c r="IS791" s="2293">
        <f t="shared" si="261"/>
        <v>0</v>
      </c>
      <c r="IT791" s="2293">
        <f t="shared" si="261"/>
        <v>0</v>
      </c>
      <c r="IU791" s="2293">
        <f t="shared" si="261"/>
        <v>0</v>
      </c>
      <c r="IV791" s="2293">
        <f t="shared" si="261"/>
        <v>0</v>
      </c>
      <c r="IW791" s="2293">
        <f t="shared" si="261"/>
        <v>0</v>
      </c>
      <c r="IX791" s="2293">
        <f t="shared" si="261"/>
        <v>0</v>
      </c>
      <c r="IY791" s="2293">
        <f t="shared" si="261"/>
        <v>0</v>
      </c>
      <c r="IZ791" s="2293">
        <f t="shared" si="261"/>
        <v>0</v>
      </c>
      <c r="JA791" s="2293">
        <f t="shared" si="261"/>
        <v>0</v>
      </c>
      <c r="JB791" s="2293">
        <f t="shared" si="261"/>
        <v>0</v>
      </c>
      <c r="JC791" s="2293">
        <f t="shared" si="261"/>
        <v>0</v>
      </c>
      <c r="JD791" s="2293">
        <f t="shared" si="261"/>
        <v>0</v>
      </c>
      <c r="JE791" s="2293">
        <f t="shared" si="261"/>
        <v>0</v>
      </c>
      <c r="JF791" s="2293">
        <f t="shared" si="261"/>
        <v>0</v>
      </c>
      <c r="JG791" s="2293">
        <f t="shared" si="261"/>
        <v>0</v>
      </c>
      <c r="JH791" s="2293">
        <f t="shared" si="261"/>
        <v>0</v>
      </c>
      <c r="JI791" s="2293">
        <f t="shared" si="261"/>
        <v>12</v>
      </c>
      <c r="JJ791" s="2293">
        <f t="shared" si="261"/>
        <v>40</v>
      </c>
      <c r="JK791" s="2293">
        <f t="shared" si="261"/>
        <v>20</v>
      </c>
      <c r="JL791" s="2293">
        <f t="shared" si="261"/>
        <v>0</v>
      </c>
      <c r="JM791" s="2293">
        <f t="shared" si="261"/>
        <v>0</v>
      </c>
      <c r="JN791" s="2293">
        <f t="shared" si="261"/>
        <v>0</v>
      </c>
      <c r="JO791" s="2293">
        <f t="shared" si="261"/>
        <v>0</v>
      </c>
      <c r="JP791" s="2293">
        <f t="shared" si="261"/>
        <v>0</v>
      </c>
      <c r="JQ791" s="2293">
        <f t="shared" si="261"/>
        <v>0</v>
      </c>
      <c r="JR791" s="2293">
        <f t="shared" si="261"/>
        <v>0</v>
      </c>
    </row>
    <row r="792" spans="1:278" ht="12" customHeight="1">
      <c r="B792" s="2079"/>
      <c r="D792" s="2294"/>
      <c r="E792" s="2290"/>
      <c r="F792" s="2290"/>
      <c r="G792" s="516"/>
      <c r="H792" s="516"/>
      <c r="I792" s="516"/>
      <c r="J792" s="516"/>
      <c r="K792" s="2289" t="s">
        <v>846</v>
      </c>
      <c r="L792" s="2290">
        <f>L791*12</f>
        <v>466848</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5"/>
      <c r="B793" s="2079"/>
      <c r="D793" s="2294"/>
      <c r="E793" s="2290"/>
      <c r="F793" s="2290"/>
      <c r="G793" s="516"/>
      <c r="H793" s="516"/>
      <c r="I793" s="516"/>
      <c r="J793" s="516"/>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4439</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5" t="s">
        <v>1191</v>
      </c>
      <c r="J799" s="2302">
        <f>W791</f>
        <v>0</v>
      </c>
      <c r="K799" s="2302">
        <f>X791</f>
        <v>3</v>
      </c>
      <c r="L799" s="2302">
        <f>Y791</f>
        <v>32</v>
      </c>
      <c r="M799" s="2302">
        <f>Z791</f>
        <v>16</v>
      </c>
      <c r="N799" s="2302">
        <f>AA791</f>
        <v>0</v>
      </c>
      <c r="O799" s="2302">
        <f t="shared" ref="O799:O805" si="262">SUM(J799:N799)</f>
        <v>51</v>
      </c>
      <c r="P799" s="2220" t="s">
        <v>4106</v>
      </c>
      <c r="Q799" s="2303"/>
      <c r="R799" s="2304"/>
      <c r="S799" s="2304"/>
      <c r="T799" s="2304"/>
      <c r="U799" s="2176">
        <f>'Part VI-Revenues &amp; Expenses'!U56</f>
        <v>0</v>
      </c>
      <c r="V799" s="2176"/>
      <c r="W799" s="2079"/>
      <c r="X799" s="2079"/>
      <c r="Y799" s="2079"/>
      <c r="Z799" s="2079"/>
      <c r="AA799" s="515"/>
      <c r="AB799" s="516"/>
      <c r="AC799" s="516"/>
      <c r="AD799" s="516"/>
      <c r="AE799" s="516"/>
      <c r="AF799" s="516"/>
      <c r="AG799" s="516"/>
      <c r="AH799" s="515"/>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5" t="s">
        <v>120</v>
      </c>
      <c r="J800" s="2302">
        <f>AB791</f>
        <v>0</v>
      </c>
      <c r="K800" s="2302">
        <f>AC791</f>
        <v>9</v>
      </c>
      <c r="L800" s="2302">
        <f>AD791</f>
        <v>8</v>
      </c>
      <c r="M800" s="2302">
        <f>AE791</f>
        <v>4</v>
      </c>
      <c r="N800" s="2302">
        <f>AF791</f>
        <v>0</v>
      </c>
      <c r="O800" s="2302">
        <f t="shared" si="262"/>
        <v>21</v>
      </c>
      <c r="P800" s="2220"/>
      <c r="Q800" s="2303"/>
      <c r="R800" s="2304"/>
      <c r="S800" s="2304"/>
      <c r="T800" s="2304"/>
      <c r="U800" s="2176"/>
      <c r="V800" s="2176"/>
      <c r="W800" s="2078"/>
      <c r="X800" s="2079"/>
      <c r="Y800" s="2079"/>
      <c r="Z800" s="2079"/>
      <c r="AA800" s="515"/>
      <c r="AB800" s="516"/>
      <c r="AC800" s="516"/>
      <c r="AD800" s="516"/>
      <c r="AE800" s="516"/>
      <c r="AF800" s="516"/>
      <c r="AG800" s="516"/>
      <c r="AH800" s="515"/>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5" t="s">
        <v>558</v>
      </c>
      <c r="J801" s="2302">
        <f>SUM(J799:J800)</f>
        <v>0</v>
      </c>
      <c r="K801" s="2302">
        <f>SUM(K799:K800)</f>
        <v>12</v>
      </c>
      <c r="L801" s="2302">
        <f>SUM(L799:L800)</f>
        <v>40</v>
      </c>
      <c r="M801" s="2302">
        <f>SUM(M799:M800)</f>
        <v>20</v>
      </c>
      <c r="N801" s="2302">
        <f>SUM(N799:N800)</f>
        <v>0</v>
      </c>
      <c r="O801" s="2302">
        <f t="shared" si="262"/>
        <v>72</v>
      </c>
      <c r="P801" s="2220"/>
      <c r="R801" s="2304"/>
      <c r="S801" s="2304"/>
      <c r="T801" s="2304"/>
      <c r="U801" s="2176"/>
      <c r="V801" s="2176"/>
      <c r="W801" s="2078"/>
      <c r="X801" s="2079"/>
      <c r="Y801" s="2079"/>
      <c r="Z801" s="2079"/>
      <c r="AA801" s="515"/>
      <c r="AB801" s="516"/>
      <c r="AC801" s="516"/>
      <c r="AD801" s="516"/>
      <c r="AE801" s="516"/>
      <c r="AF801" s="516"/>
      <c r="AG801" s="516"/>
      <c r="AH801" s="515"/>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5"/>
      <c r="J802" s="2302">
        <f>AL791</f>
        <v>0</v>
      </c>
      <c r="K802" s="2302">
        <f>AM791</f>
        <v>0</v>
      </c>
      <c r="L802" s="2302">
        <f>AN791</f>
        <v>0</v>
      </c>
      <c r="M802" s="2302">
        <f>AO791</f>
        <v>0</v>
      </c>
      <c r="N802" s="2302">
        <f>AP791</f>
        <v>0</v>
      </c>
      <c r="O802" s="2302">
        <f t="shared" si="262"/>
        <v>0</v>
      </c>
      <c r="R802" s="2304"/>
      <c r="S802" s="2304"/>
      <c r="T802" s="2304"/>
      <c r="U802" s="2176"/>
      <c r="V802" s="2176"/>
      <c r="W802" s="2079"/>
      <c r="X802" s="2079"/>
      <c r="Y802" s="2079"/>
      <c r="Z802" s="2079"/>
      <c r="AA802" s="515"/>
      <c r="AB802" s="516"/>
      <c r="AC802" s="516"/>
      <c r="AD802" s="516"/>
      <c r="AE802" s="516"/>
      <c r="AF802" s="516"/>
      <c r="AG802" s="516"/>
      <c r="AH802" s="500"/>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5"/>
      <c r="J803" s="2302">
        <f>SUM(J801:J802)</f>
        <v>0</v>
      </c>
      <c r="K803" s="2302">
        <f>SUM(K801:K802)</f>
        <v>12</v>
      </c>
      <c r="L803" s="2302">
        <f>SUM(L801:L802)</f>
        <v>40</v>
      </c>
      <c r="M803" s="2302">
        <f>SUM(M801:M802)</f>
        <v>20</v>
      </c>
      <c r="N803" s="2302">
        <f>SUM(N801:N802)</f>
        <v>0</v>
      </c>
      <c r="O803" s="2302">
        <f t="shared" si="262"/>
        <v>72</v>
      </c>
      <c r="R803" s="2304"/>
      <c r="S803" s="2304"/>
      <c r="T803" s="2304"/>
      <c r="U803" s="2176"/>
      <c r="V803" s="2176"/>
      <c r="W803" s="2079"/>
      <c r="X803" s="2079"/>
      <c r="Y803" s="2079"/>
      <c r="Z803" s="2079"/>
      <c r="AA803" s="515"/>
      <c r="AB803" s="516"/>
      <c r="AC803" s="516"/>
      <c r="AD803" s="516"/>
      <c r="AE803" s="516"/>
      <c r="AF803" s="516"/>
      <c r="AG803" s="516"/>
      <c r="AH803" s="500"/>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5"/>
      <c r="J804" s="2302">
        <f>BU791</f>
        <v>0</v>
      </c>
      <c r="K804" s="2302">
        <f>BV791</f>
        <v>0</v>
      </c>
      <c r="L804" s="2302">
        <f>BW791</f>
        <v>0</v>
      </c>
      <c r="M804" s="2302">
        <f>BX791</f>
        <v>0</v>
      </c>
      <c r="N804" s="2302">
        <f>BY791</f>
        <v>0</v>
      </c>
      <c r="O804" s="2302">
        <f t="shared" si="262"/>
        <v>0</v>
      </c>
      <c r="P804" s="2074" t="s">
        <v>4107</v>
      </c>
      <c r="R804" s="2304"/>
      <c r="S804" s="2304"/>
      <c r="T804" s="2304"/>
      <c r="U804" s="2176"/>
      <c r="V804" s="2176"/>
      <c r="W804" s="2079"/>
      <c r="X804" s="2079"/>
      <c r="Y804" s="2079"/>
      <c r="Z804" s="2079"/>
      <c r="AA804" s="515"/>
      <c r="AB804" s="516"/>
      <c r="AC804" s="516"/>
      <c r="AD804" s="516"/>
      <c r="AE804" s="516"/>
      <c r="AF804" s="516"/>
      <c r="AG804" s="516"/>
      <c r="AH804" s="515"/>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5"/>
      <c r="J805" s="2302">
        <f>SUM(J803:J804)</f>
        <v>0</v>
      </c>
      <c r="K805" s="2302">
        <f>SUM(K803:K804)</f>
        <v>12</v>
      </c>
      <c r="L805" s="2302">
        <f>SUM(L803:L804)</f>
        <v>40</v>
      </c>
      <c r="M805" s="2302">
        <f>SUM(M803:M804)</f>
        <v>20</v>
      </c>
      <c r="N805" s="2302">
        <f>SUM(N803:N804)</f>
        <v>0</v>
      </c>
      <c r="O805" s="2302">
        <f t="shared" si="262"/>
        <v>72</v>
      </c>
      <c r="R805" s="2304"/>
      <c r="S805" s="2304"/>
      <c r="T805" s="2304"/>
      <c r="U805" s="2176"/>
      <c r="V805" s="2176"/>
      <c r="W805" s="2079"/>
      <c r="X805" s="2079"/>
      <c r="Y805" s="2079"/>
      <c r="Z805" s="2079"/>
      <c r="AA805" s="515"/>
      <c r="AB805" s="516"/>
      <c r="AC805" s="516"/>
      <c r="AD805" s="516"/>
      <c r="AE805" s="516"/>
      <c r="AF805" s="516"/>
      <c r="AG805" s="516"/>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5"/>
      <c r="J806" s="2305"/>
      <c r="K806" s="2305"/>
      <c r="L806" s="2305"/>
      <c r="M806" s="2305"/>
      <c r="N806" s="2305"/>
      <c r="O806" s="2305"/>
      <c r="R806" s="2304"/>
      <c r="S806" s="2304"/>
      <c r="T806" s="2304"/>
      <c r="U806" s="2075" t="str">
        <f>C807</f>
        <v>PBRA-Assisted</v>
      </c>
      <c r="W806" s="2079"/>
      <c r="X806" s="2079"/>
      <c r="Y806" s="2079"/>
      <c r="Z806" s="2079"/>
      <c r="AA806" s="515"/>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5" t="s">
        <v>1191</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15"/>
      <c r="AB807" s="516"/>
      <c r="AC807" s="516"/>
      <c r="AD807" s="516"/>
      <c r="AE807" s="516"/>
      <c r="AF807" s="516"/>
      <c r="AG807" s="516"/>
      <c r="AH807" s="515"/>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5" t="s">
        <v>2599</v>
      </c>
      <c r="D808" s="2079"/>
      <c r="E808" s="2261"/>
      <c r="F808" s="2079"/>
      <c r="H808" s="515" t="s">
        <v>120</v>
      </c>
      <c r="J808" s="2302">
        <f>AV791</f>
        <v>0</v>
      </c>
      <c r="K808" s="2302">
        <f>AW791</f>
        <v>0</v>
      </c>
      <c r="L808" s="2302">
        <f>AX791</f>
        <v>0</v>
      </c>
      <c r="M808" s="2302">
        <f>AY791</f>
        <v>0</v>
      </c>
      <c r="N808" s="2302">
        <f>AZ791</f>
        <v>0</v>
      </c>
      <c r="O808" s="2302">
        <f>SUM(J808:N808)</f>
        <v>0</v>
      </c>
      <c r="R808" s="2304"/>
      <c r="S808" s="2304"/>
      <c r="T808" s="2304"/>
      <c r="U808" s="2176"/>
      <c r="V808" s="2176"/>
      <c r="W808" s="515"/>
      <c r="X808" s="2079"/>
      <c r="Y808" s="2261"/>
      <c r="Z808" s="2079"/>
      <c r="AA808" s="515"/>
      <c r="AB808" s="516"/>
      <c r="AC808" s="516"/>
      <c r="AD808" s="516"/>
      <c r="AE808" s="516"/>
      <c r="AF808" s="516"/>
      <c r="AG808" s="516"/>
      <c r="AH808" s="515"/>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5" t="s">
        <v>558</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15"/>
      <c r="AB809" s="516"/>
      <c r="AC809" s="516"/>
      <c r="AD809" s="516"/>
      <c r="AE809" s="516"/>
      <c r="AF809" s="516"/>
      <c r="AG809" s="516"/>
      <c r="AH809" s="515"/>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5"/>
      <c r="J810" s="2305"/>
      <c r="K810" s="2305"/>
      <c r="L810" s="2305"/>
      <c r="M810" s="2305"/>
      <c r="N810" s="2305"/>
      <c r="O810" s="2305"/>
      <c r="R810" s="2304"/>
      <c r="S810" s="2304"/>
      <c r="T810" s="2304"/>
      <c r="U810" s="2075" t="str">
        <f>C811</f>
        <v>PHA Operating Subsidy-Assisted</v>
      </c>
      <c r="W810" s="2079"/>
      <c r="X810" s="2079"/>
      <c r="Y810" s="2079"/>
      <c r="Z810" s="2079"/>
      <c r="AA810" s="515"/>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5"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5"/>
      <c r="AB811" s="516"/>
      <c r="AC811" s="516"/>
      <c r="AD811" s="516"/>
      <c r="AE811" s="516"/>
      <c r="AF811" s="516"/>
      <c r="AG811" s="516"/>
      <c r="AH811" s="515"/>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5" t="s">
        <v>120</v>
      </c>
      <c r="J812" s="2302">
        <f>BK791</f>
        <v>0</v>
      </c>
      <c r="K812" s="2302">
        <f>BL791</f>
        <v>0</v>
      </c>
      <c r="L812" s="2302">
        <f>BM791</f>
        <v>0</v>
      </c>
      <c r="M812" s="2302">
        <f>BN791</f>
        <v>0</v>
      </c>
      <c r="N812" s="2302">
        <f>BO791</f>
        <v>0</v>
      </c>
      <c r="O812" s="2302">
        <f>SUM(J812:N812)</f>
        <v>0</v>
      </c>
      <c r="R812" s="2304"/>
      <c r="S812" s="2304"/>
      <c r="T812" s="2304"/>
      <c r="U812" s="2176"/>
      <c r="V812" s="2176"/>
      <c r="W812" s="515"/>
      <c r="X812" s="2079"/>
      <c r="Y812" s="2261"/>
      <c r="Z812" s="2079"/>
      <c r="AA812" s="515"/>
      <c r="AB812" s="516"/>
      <c r="AC812" s="516"/>
      <c r="AD812" s="516"/>
      <c r="AE812" s="516"/>
      <c r="AF812" s="516"/>
      <c r="AG812" s="516"/>
      <c r="AH812" s="515"/>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5" t="s">
        <v>2599</v>
      </c>
      <c r="D813" s="2079"/>
      <c r="E813" s="2261"/>
      <c r="F813" s="2079"/>
      <c r="H813" s="515"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5"/>
      <c r="AB813" s="516"/>
      <c r="AC813" s="516"/>
      <c r="AD813" s="516"/>
      <c r="AE813" s="516"/>
      <c r="AF813" s="516"/>
      <c r="AG813" s="516"/>
      <c r="AH813" s="515"/>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5"/>
      <c r="J814" s="2305"/>
      <c r="K814" s="2305"/>
      <c r="L814" s="2305"/>
      <c r="M814" s="2305"/>
      <c r="N814" s="2305"/>
      <c r="O814" s="2305"/>
      <c r="R814" s="2304"/>
      <c r="S814" s="2304"/>
      <c r="T814" s="2304"/>
      <c r="U814" s="2075" t="str">
        <f>C815</f>
        <v>Type of Construction Activity</v>
      </c>
      <c r="W814" s="2079"/>
      <c r="X814" s="2079"/>
      <c r="Y814" s="2261"/>
      <c r="Z814" s="2079"/>
      <c r="AA814" s="515"/>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5" t="s">
        <v>1486</v>
      </c>
      <c r="J815" s="2302">
        <f>DD791</f>
        <v>0</v>
      </c>
      <c r="K815" s="2302">
        <f>DE791</f>
        <v>12</v>
      </c>
      <c r="L815" s="2302">
        <f>DF791</f>
        <v>40</v>
      </c>
      <c r="M815" s="2302">
        <f>DG791</f>
        <v>20</v>
      </c>
      <c r="N815" s="2302">
        <f>DH791</f>
        <v>0</v>
      </c>
      <c r="O815" s="2302">
        <f t="shared" ref="O815:O825" si="263">SUM(J815:N815)</f>
        <v>72</v>
      </c>
      <c r="R815" s="2304"/>
      <c r="S815" s="2304"/>
      <c r="T815" s="2304"/>
      <c r="U815" s="2176">
        <f>'Part VI-Revenues &amp; Expenses'!U72</f>
        <v>0</v>
      </c>
      <c r="V815" s="2176"/>
      <c r="W815" s="2079"/>
      <c r="X815" s="2079"/>
      <c r="Y815" s="2261"/>
      <c r="Z815" s="2079"/>
      <c r="AA815" s="515"/>
      <c r="AB815" s="516"/>
      <c r="AC815" s="516"/>
      <c r="AD815" s="516"/>
      <c r="AE815" s="516"/>
      <c r="AF815" s="516"/>
      <c r="AG815" s="516"/>
      <c r="IK815" s="2250"/>
      <c r="IL815" s="2250"/>
      <c r="JB815" s="2250"/>
    </row>
    <row r="816" spans="1:262" ht="12" customHeight="1">
      <c r="A816" s="2274"/>
      <c r="B816" s="2274"/>
      <c r="C816" s="2176"/>
      <c r="D816" s="2176"/>
      <c r="E816" s="2261"/>
      <c r="F816" s="2079"/>
      <c r="H816" s="515" t="s">
        <v>316</v>
      </c>
      <c r="J816" s="2302">
        <f>DI791</f>
        <v>0</v>
      </c>
      <c r="K816" s="2302">
        <f>DJ791</f>
        <v>0</v>
      </c>
      <c r="L816" s="2302">
        <f>DK791</f>
        <v>0</v>
      </c>
      <c r="M816" s="2302">
        <f>DL791</f>
        <v>0</v>
      </c>
      <c r="N816" s="2302">
        <f>DM791</f>
        <v>0</v>
      </c>
      <c r="O816" s="2302">
        <f t="shared" si="263"/>
        <v>0</v>
      </c>
      <c r="R816" s="2304"/>
      <c r="S816" s="2304"/>
      <c r="T816" s="2304"/>
      <c r="U816" s="2176"/>
      <c r="V816" s="2176"/>
      <c r="W816" s="2079"/>
      <c r="X816" s="2079"/>
      <c r="Y816" s="2261"/>
      <c r="Z816" s="2079"/>
      <c r="AA816" s="515"/>
      <c r="AB816" s="516"/>
      <c r="AC816" s="516"/>
      <c r="AD816" s="516"/>
      <c r="AE816" s="516"/>
      <c r="AF816" s="516"/>
      <c r="AG816" s="516"/>
      <c r="AH816" s="500"/>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5" t="s">
        <v>33</v>
      </c>
      <c r="J817" s="2302">
        <f>SUM(J815:J816)+DN791</f>
        <v>0</v>
      </c>
      <c r="K817" s="2302">
        <f>SUM(K815:K816)+DO791</f>
        <v>12</v>
      </c>
      <c r="L817" s="2302">
        <f>SUM(L815:L816)+DP791</f>
        <v>40</v>
      </c>
      <c r="M817" s="2302">
        <f>SUM(M815:M816)+DQ791</f>
        <v>20</v>
      </c>
      <c r="N817" s="2302">
        <f>SUM(N815:N816)+DR791</f>
        <v>0</v>
      </c>
      <c r="O817" s="2302">
        <f t="shared" si="263"/>
        <v>72</v>
      </c>
      <c r="R817" s="2304"/>
      <c r="S817" s="2304"/>
      <c r="T817" s="2304"/>
      <c r="U817" s="2176"/>
      <c r="V817" s="2176"/>
      <c r="W817" s="2078"/>
      <c r="X817" s="2079"/>
      <c r="Y817" s="2261"/>
      <c r="Z817" s="2079"/>
      <c r="AA817" s="515"/>
      <c r="AB817" s="516"/>
      <c r="AC817" s="516"/>
      <c r="AD817" s="516"/>
      <c r="AE817" s="516"/>
      <c r="AF817" s="516"/>
      <c r="AG817" s="516"/>
      <c r="AH817" s="515"/>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5" t="s">
        <v>1486</v>
      </c>
      <c r="J818" s="2302">
        <f>DS791</f>
        <v>0</v>
      </c>
      <c r="K818" s="2302">
        <f>DT791</f>
        <v>0</v>
      </c>
      <c r="L818" s="2302">
        <f>DU791</f>
        <v>0</v>
      </c>
      <c r="M818" s="2302">
        <f>DV791</f>
        <v>0</v>
      </c>
      <c r="N818" s="2302">
        <f>DW791</f>
        <v>0</v>
      </c>
      <c r="O818" s="2302">
        <f t="shared" si="263"/>
        <v>0</v>
      </c>
      <c r="R818" s="2304"/>
      <c r="S818" s="2304"/>
      <c r="T818" s="2304"/>
      <c r="U818" s="2176"/>
      <c r="V818" s="2176"/>
      <c r="W818" s="2079"/>
      <c r="X818" s="2079"/>
      <c r="Y818" s="2261"/>
      <c r="Z818" s="2079"/>
      <c r="AA818" s="515"/>
      <c r="AB818" s="516"/>
      <c r="AC818" s="516"/>
      <c r="AD818" s="516"/>
      <c r="AE818" s="516"/>
      <c r="AF818" s="516"/>
      <c r="AG818" s="516"/>
      <c r="IK818" s="2250"/>
      <c r="IL818" s="2250"/>
      <c r="JB818" s="2250"/>
    </row>
    <row r="819" spans="1:262" ht="12" customHeight="1">
      <c r="A819" s="2274"/>
      <c r="B819" s="2274"/>
      <c r="C819" s="2176"/>
      <c r="D819" s="2176"/>
      <c r="E819" s="2261"/>
      <c r="F819" s="2079"/>
      <c r="H819" s="515" t="s">
        <v>316</v>
      </c>
      <c r="J819" s="2302">
        <f>DX791</f>
        <v>0</v>
      </c>
      <c r="K819" s="2302">
        <f>DY791</f>
        <v>0</v>
      </c>
      <c r="L819" s="2302">
        <f>DZ791</f>
        <v>0</v>
      </c>
      <c r="M819" s="2302">
        <f>EA791</f>
        <v>0</v>
      </c>
      <c r="N819" s="2302">
        <f>EB791</f>
        <v>0</v>
      </c>
      <c r="O819" s="2302">
        <f t="shared" si="263"/>
        <v>0</v>
      </c>
      <c r="R819" s="2304"/>
      <c r="S819" s="2304"/>
      <c r="T819" s="2304"/>
      <c r="U819" s="2176"/>
      <c r="V819" s="2176"/>
      <c r="W819" s="2079"/>
      <c r="X819" s="2079"/>
      <c r="Y819" s="2261"/>
      <c r="Z819" s="2079"/>
      <c r="AA819" s="515"/>
      <c r="AB819" s="516"/>
      <c r="AC819" s="516"/>
      <c r="AD819" s="516"/>
      <c r="AE819" s="516"/>
      <c r="AF819" s="516"/>
      <c r="AG819" s="516"/>
      <c r="AH819" s="500"/>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5" t="s">
        <v>33</v>
      </c>
      <c r="J820" s="2302">
        <f>SUM(J818:J819)+EC791</f>
        <v>0</v>
      </c>
      <c r="K820" s="2302">
        <f>SUM(K818:K819)+ED791</f>
        <v>0</v>
      </c>
      <c r="L820" s="2302">
        <f>SUM(L818:L819)+EE791</f>
        <v>0</v>
      </c>
      <c r="M820" s="2302">
        <f>SUM(M818:M819)+EF791</f>
        <v>0</v>
      </c>
      <c r="N820" s="2302">
        <f>SUM(N818:N819)+EG791</f>
        <v>0</v>
      </c>
      <c r="O820" s="2302">
        <f t="shared" si="263"/>
        <v>0</v>
      </c>
      <c r="R820" s="2304"/>
      <c r="S820" s="2304"/>
      <c r="T820" s="2304"/>
      <c r="U820" s="2176"/>
      <c r="V820" s="2176"/>
      <c r="W820" s="2078"/>
      <c r="X820" s="2079"/>
      <c r="Y820" s="2261"/>
      <c r="Z820" s="2079"/>
      <c r="AA820" s="515"/>
      <c r="AB820" s="516"/>
      <c r="AC820" s="516"/>
      <c r="AD820" s="516"/>
      <c r="AE820" s="516"/>
      <c r="AF820" s="516"/>
      <c r="AG820" s="516"/>
      <c r="AH820" s="515"/>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5" t="s">
        <v>1486</v>
      </c>
      <c r="J821" s="2302">
        <f>EH791</f>
        <v>0</v>
      </c>
      <c r="K821" s="2302">
        <f>EI791</f>
        <v>0</v>
      </c>
      <c r="L821" s="2302">
        <f>EJ791</f>
        <v>0</v>
      </c>
      <c r="M821" s="2302">
        <f>EK791</f>
        <v>0</v>
      </c>
      <c r="N821" s="2302">
        <f>EL791</f>
        <v>0</v>
      </c>
      <c r="O821" s="2302">
        <f t="shared" si="263"/>
        <v>0</v>
      </c>
      <c r="R821" s="2304"/>
      <c r="S821" s="2304"/>
      <c r="T821" s="2304"/>
      <c r="U821" s="2176"/>
      <c r="V821" s="2176"/>
      <c r="W821" s="2079"/>
      <c r="X821" s="2079"/>
      <c r="Y821" s="2261"/>
      <c r="Z821" s="2079"/>
      <c r="AA821" s="515"/>
      <c r="AB821" s="516"/>
      <c r="AC821" s="516"/>
      <c r="AD821" s="516"/>
      <c r="AE821" s="516"/>
      <c r="AF821" s="516"/>
      <c r="AG821" s="516"/>
      <c r="IK821" s="2250"/>
      <c r="IL821" s="2250"/>
      <c r="JB821" s="2250"/>
    </row>
    <row r="822" spans="1:262" ht="12" customHeight="1">
      <c r="A822" s="2274"/>
      <c r="B822" s="2274"/>
      <c r="C822" s="2181"/>
      <c r="D822" s="2079"/>
      <c r="E822" s="2181"/>
      <c r="F822" s="2181"/>
      <c r="H822" s="515" t="s">
        <v>316</v>
      </c>
      <c r="J822" s="2302">
        <f>EM791</f>
        <v>0</v>
      </c>
      <c r="K822" s="2302">
        <f>EN791</f>
        <v>0</v>
      </c>
      <c r="L822" s="2302">
        <f>EO791</f>
        <v>0</v>
      </c>
      <c r="M822" s="2302">
        <f>EP791</f>
        <v>0</v>
      </c>
      <c r="N822" s="2302">
        <f>EQ791</f>
        <v>0</v>
      </c>
      <c r="O822" s="2302">
        <f t="shared" si="263"/>
        <v>0</v>
      </c>
      <c r="R822" s="2304"/>
      <c r="S822" s="2304"/>
      <c r="T822" s="2304"/>
      <c r="U822" s="2176"/>
      <c r="V822" s="2176"/>
      <c r="W822" s="2079"/>
      <c r="X822" s="2079"/>
      <c r="Y822" s="2079"/>
      <c r="Z822" s="2079"/>
      <c r="AA822" s="515"/>
      <c r="AB822" s="516"/>
      <c r="AC822" s="516"/>
      <c r="AD822" s="516"/>
      <c r="AE822" s="516"/>
      <c r="AF822" s="516"/>
      <c r="AG822" s="516"/>
      <c r="AH822" s="500"/>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5" t="s">
        <v>33</v>
      </c>
      <c r="J823" s="2302">
        <f>SUM(J821:J822)+ER791</f>
        <v>0</v>
      </c>
      <c r="K823" s="2302">
        <f>SUM(K821:K822)+ES791</f>
        <v>0</v>
      </c>
      <c r="L823" s="2302">
        <f>SUM(L821:L822)+ET791</f>
        <v>0</v>
      </c>
      <c r="M823" s="2302">
        <f>SUM(M821:M822)+EU791</f>
        <v>0</v>
      </c>
      <c r="N823" s="2302">
        <f>SUM(N821:N822)+EV791</f>
        <v>0</v>
      </c>
      <c r="O823" s="2302">
        <f t="shared" si="263"/>
        <v>0</v>
      </c>
      <c r="R823" s="2304"/>
      <c r="S823" s="2304"/>
      <c r="T823" s="2304"/>
      <c r="U823" s="2176"/>
      <c r="V823" s="2176"/>
      <c r="W823" s="2078"/>
      <c r="X823" s="2079"/>
      <c r="Y823" s="2261"/>
      <c r="Z823" s="2079"/>
      <c r="AA823" s="515"/>
      <c r="AB823" s="516"/>
      <c r="AC823" s="516"/>
      <c r="AD823" s="516"/>
      <c r="AE823" s="516"/>
      <c r="AF823" s="516"/>
      <c r="AG823" s="516"/>
      <c r="AH823" s="515"/>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3"/>
        <v>0</v>
      </c>
      <c r="U824" s="2176"/>
      <c r="V824" s="2176"/>
      <c r="W824" s="2079"/>
      <c r="X824" s="2079"/>
      <c r="Y824" s="2079"/>
      <c r="Z824" s="2079"/>
      <c r="AA824" s="515"/>
      <c r="AB824" s="516"/>
      <c r="AC824" s="516"/>
      <c r="AD824" s="516"/>
      <c r="AE824" s="516"/>
      <c r="AF824" s="516"/>
      <c r="AG824" s="516"/>
      <c r="AH824" s="500"/>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4161</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3"/>
        <v>0</v>
      </c>
      <c r="U825" s="2176"/>
      <c r="V825" s="2176"/>
      <c r="W825" s="2079"/>
      <c r="X825" s="2079"/>
      <c r="Y825" s="2079"/>
      <c r="Z825" s="2079"/>
      <c r="AA825" s="515"/>
      <c r="AB825" s="516"/>
      <c r="AC825" s="516"/>
      <c r="AD825" s="516"/>
      <c r="AE825" s="516"/>
      <c r="AF825" s="516"/>
      <c r="AG825" s="516"/>
      <c r="AH825" s="500"/>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5"/>
      <c r="K826" s="515"/>
      <c r="L826" s="515"/>
      <c r="M826" s="515"/>
      <c r="N826" s="515"/>
      <c r="O826" s="515"/>
      <c r="U826" s="2176"/>
      <c r="V826" s="2176"/>
      <c r="W826" s="2079"/>
      <c r="X826" s="2079"/>
      <c r="Y826" s="2079"/>
      <c r="Z826" s="2079"/>
      <c r="AA826" s="515"/>
      <c r="AB826" s="516"/>
      <c r="AC826" s="516"/>
      <c r="AD826" s="516"/>
      <c r="AE826" s="516"/>
      <c r="AF826" s="516"/>
      <c r="AG826" s="516"/>
      <c r="AH826" s="500"/>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3544</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5"/>
      <c r="AB827" s="516"/>
      <c r="AC827" s="516"/>
      <c r="AD827" s="516"/>
      <c r="AE827" s="516"/>
      <c r="AF827" s="516"/>
      <c r="AG827" s="516"/>
      <c r="AH827" s="500"/>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5"/>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4440</v>
      </c>
      <c r="D829" s="2176"/>
      <c r="E829" s="2261" t="s">
        <v>41</v>
      </c>
      <c r="F829" s="2079"/>
      <c r="G829" s="2074"/>
      <c r="J829" s="2302">
        <f t="shared" ref="J829:O829" si="264">SUM(J830:J837)</f>
        <v>0</v>
      </c>
      <c r="K829" s="2302">
        <f t="shared" si="264"/>
        <v>12</v>
      </c>
      <c r="L829" s="2302">
        <f t="shared" si="264"/>
        <v>40</v>
      </c>
      <c r="M829" s="2302">
        <f t="shared" si="264"/>
        <v>20</v>
      </c>
      <c r="N829" s="2302">
        <f t="shared" si="264"/>
        <v>0</v>
      </c>
      <c r="O829" s="2302">
        <f t="shared" si="264"/>
        <v>72</v>
      </c>
      <c r="R829" s="2304"/>
      <c r="S829" s="2304"/>
      <c r="T829" s="2304"/>
      <c r="U829" s="2176">
        <f>'Part VI-Revenues &amp; Expenses'!U86</f>
        <v>0</v>
      </c>
      <c r="V829" s="2176"/>
      <c r="W829" s="2079"/>
      <c r="X829" s="2079"/>
      <c r="Y829" s="2261"/>
      <c r="Z829" s="2079"/>
      <c r="AA829" s="515"/>
      <c r="AB829" s="516"/>
      <c r="AC829" s="516"/>
      <c r="AD829" s="516"/>
      <c r="AE829" s="516"/>
      <c r="AF829" s="516"/>
      <c r="AG829" s="516"/>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5">SUM(J830:N830)</f>
        <v>0</v>
      </c>
      <c r="R830" s="2304"/>
      <c r="S830" s="2304"/>
      <c r="T830" s="2304"/>
      <c r="U830" s="2176"/>
      <c r="V830" s="2176"/>
      <c r="W830" s="2079"/>
      <c r="X830" s="2079"/>
      <c r="Y830" s="2261"/>
      <c r="Z830" s="2079"/>
      <c r="AA830" s="515"/>
      <c r="AB830" s="516"/>
      <c r="AC830" s="516"/>
      <c r="AD830" s="516"/>
      <c r="AE830" s="516"/>
      <c r="AF830" s="516"/>
      <c r="AG830" s="516"/>
      <c r="IK830" s="2250"/>
      <c r="IL830" s="2250"/>
      <c r="JB830" s="2250"/>
    </row>
    <row r="831" spans="1:262" ht="12" customHeight="1">
      <c r="C831" s="2176"/>
      <c r="D831" s="2176"/>
      <c r="E831" s="2261"/>
      <c r="F831" s="2079"/>
      <c r="H831" s="2309" t="s">
        <v>3544</v>
      </c>
      <c r="J831" s="2302">
        <f>GU791</f>
        <v>0</v>
      </c>
      <c r="K831" s="2302">
        <f>GV791</f>
        <v>0</v>
      </c>
      <c r="L831" s="2302">
        <f>GW791</f>
        <v>0</v>
      </c>
      <c r="M831" s="2302">
        <f>GX791</f>
        <v>0</v>
      </c>
      <c r="N831" s="2302">
        <f>GY791</f>
        <v>0</v>
      </c>
      <c r="O831" s="2302">
        <f t="shared" si="265"/>
        <v>0</v>
      </c>
      <c r="R831" s="2304"/>
      <c r="S831" s="2304"/>
      <c r="T831" s="2304"/>
      <c r="U831" s="2176"/>
      <c r="V831" s="2176"/>
      <c r="W831" s="2079"/>
      <c r="X831" s="2079"/>
      <c r="Y831" s="2261"/>
      <c r="Z831" s="2079"/>
      <c r="AA831" s="515"/>
      <c r="AB831" s="516"/>
      <c r="AC831" s="516"/>
      <c r="AD831" s="516"/>
      <c r="AE831" s="516"/>
      <c r="AF831" s="516"/>
      <c r="AG831" s="516"/>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5"/>
        <v>0</v>
      </c>
      <c r="R832" s="2304"/>
      <c r="S832" s="2304"/>
      <c r="T832" s="2304"/>
      <c r="U832" s="2176"/>
      <c r="V832" s="2176"/>
      <c r="W832" s="2079"/>
      <c r="X832" s="2079"/>
      <c r="Y832" s="2261"/>
      <c r="Z832" s="2079"/>
      <c r="AA832" s="515"/>
      <c r="AB832" s="516"/>
      <c r="AC832" s="516"/>
      <c r="AD832" s="516"/>
      <c r="AE832" s="516"/>
      <c r="AF832" s="516"/>
      <c r="AG832" s="516"/>
      <c r="IK832" s="2250"/>
      <c r="IL832" s="2250"/>
      <c r="JB832" s="2250"/>
    </row>
    <row r="833" spans="3:262" ht="12" customHeight="1">
      <c r="C833" s="2176"/>
      <c r="D833" s="2176"/>
      <c r="E833" s="2261"/>
      <c r="F833" s="2079"/>
      <c r="H833" s="2309" t="s">
        <v>3544</v>
      </c>
      <c r="J833" s="2302">
        <f>HE791</f>
        <v>0</v>
      </c>
      <c r="K833" s="2302">
        <f>HF791</f>
        <v>0</v>
      </c>
      <c r="L833" s="2302">
        <f>HG791</f>
        <v>0</v>
      </c>
      <c r="M833" s="2302">
        <f>HH791</f>
        <v>0</v>
      </c>
      <c r="N833" s="2302">
        <f>HI791</f>
        <v>0</v>
      </c>
      <c r="O833" s="2302">
        <f t="shared" si="265"/>
        <v>0</v>
      </c>
      <c r="R833" s="2304"/>
      <c r="S833" s="2304"/>
      <c r="T833" s="2304"/>
      <c r="U833" s="2176"/>
      <c r="V833" s="2176"/>
      <c r="W833" s="2079"/>
      <c r="X833" s="2079"/>
      <c r="Y833" s="2261"/>
      <c r="Z833" s="2079"/>
      <c r="AA833" s="515"/>
      <c r="AB833" s="516"/>
      <c r="AC833" s="516"/>
      <c r="AD833" s="516"/>
      <c r="AE833" s="516"/>
      <c r="AF833" s="516"/>
      <c r="AG833" s="516"/>
      <c r="IK833" s="2250"/>
      <c r="IL833" s="2250"/>
      <c r="JB833" s="2250"/>
    </row>
    <row r="834" spans="3:262" ht="12" customHeight="1">
      <c r="C834" s="2176"/>
      <c r="D834" s="2176"/>
      <c r="E834" s="2261"/>
      <c r="F834" s="2079"/>
      <c r="H834" s="2308" t="s">
        <v>2695</v>
      </c>
      <c r="J834" s="2302">
        <f>HJ791</f>
        <v>0</v>
      </c>
      <c r="K834" s="2302">
        <f>HK791</f>
        <v>12</v>
      </c>
      <c r="L834" s="2302">
        <f>HL791</f>
        <v>40</v>
      </c>
      <c r="M834" s="2302">
        <f>HM791</f>
        <v>20</v>
      </c>
      <c r="N834" s="2302">
        <f>HN791</f>
        <v>0</v>
      </c>
      <c r="O834" s="2302">
        <f t="shared" si="265"/>
        <v>72</v>
      </c>
      <c r="R834" s="2304"/>
      <c r="S834" s="2304"/>
      <c r="T834" s="2304"/>
      <c r="U834" s="2176"/>
      <c r="V834" s="2176"/>
      <c r="W834" s="2079"/>
      <c r="X834" s="2079"/>
      <c r="Y834" s="2261"/>
      <c r="Z834" s="2079"/>
      <c r="AA834" s="515"/>
      <c r="AB834" s="516"/>
      <c r="AC834" s="516"/>
      <c r="AD834" s="516"/>
      <c r="AE834" s="516"/>
      <c r="AF834" s="516"/>
      <c r="AG834" s="516"/>
      <c r="IK834" s="2250"/>
      <c r="IL834" s="2250"/>
      <c r="JB834" s="2250"/>
    </row>
    <row r="835" spans="3:262" ht="12" customHeight="1">
      <c r="C835" s="2176"/>
      <c r="D835" s="2176"/>
      <c r="E835" s="2261"/>
      <c r="F835" s="2079"/>
      <c r="H835" s="2309" t="s">
        <v>3544</v>
      </c>
      <c r="J835" s="2302">
        <f>HO791</f>
        <v>0</v>
      </c>
      <c r="K835" s="2302">
        <f>HP791</f>
        <v>0</v>
      </c>
      <c r="L835" s="2302">
        <f>HQ791</f>
        <v>0</v>
      </c>
      <c r="M835" s="2302">
        <f>HR791</f>
        <v>0</v>
      </c>
      <c r="N835" s="2302">
        <f>HS791</f>
        <v>0</v>
      </c>
      <c r="O835" s="2302">
        <f t="shared" si="265"/>
        <v>0</v>
      </c>
      <c r="R835" s="2304"/>
      <c r="S835" s="2304"/>
      <c r="T835" s="2304"/>
      <c r="U835" s="2176"/>
      <c r="V835" s="2176"/>
      <c r="W835" s="2079"/>
      <c r="X835" s="2079"/>
      <c r="Y835" s="2261"/>
      <c r="Z835" s="2079"/>
      <c r="AA835" s="515"/>
      <c r="AB835" s="516"/>
      <c r="AC835" s="516"/>
      <c r="AD835" s="516"/>
      <c r="AE835" s="516"/>
      <c r="AF835" s="516"/>
      <c r="AG835" s="516"/>
      <c r="IK835" s="2250"/>
      <c r="IL835" s="2250"/>
      <c r="JB835" s="2250"/>
    </row>
    <row r="836" spans="3:262" ht="12" customHeight="1">
      <c r="E836" s="2261"/>
      <c r="F836" s="2079"/>
      <c r="H836" s="2308" t="s">
        <v>2694</v>
      </c>
      <c r="J836" s="2302">
        <f>HT791</f>
        <v>0</v>
      </c>
      <c r="K836" s="2302">
        <f>HU791</f>
        <v>0</v>
      </c>
      <c r="L836" s="2302">
        <f>HV791</f>
        <v>0</v>
      </c>
      <c r="M836" s="2302">
        <f>HW791</f>
        <v>0</v>
      </c>
      <c r="N836" s="2302">
        <f>HX791</f>
        <v>0</v>
      </c>
      <c r="O836" s="2302">
        <f t="shared" si="265"/>
        <v>0</v>
      </c>
      <c r="R836" s="2304"/>
      <c r="S836" s="2304"/>
      <c r="T836" s="2304"/>
      <c r="U836" s="2176"/>
      <c r="V836" s="2176"/>
      <c r="W836" s="2079"/>
      <c r="X836" s="2079"/>
      <c r="Y836" s="2261"/>
      <c r="Z836" s="2079"/>
      <c r="AA836" s="515"/>
      <c r="AB836" s="516"/>
      <c r="AC836" s="516"/>
      <c r="AD836" s="516"/>
      <c r="AE836" s="516"/>
      <c r="AF836" s="516"/>
      <c r="AG836" s="516"/>
      <c r="IK836" s="2250"/>
      <c r="IL836" s="2250"/>
      <c r="JB836" s="2250"/>
    </row>
    <row r="837" spans="3:262" ht="12" customHeight="1">
      <c r="E837" s="2261"/>
      <c r="F837" s="2079"/>
      <c r="H837" s="2309" t="s">
        <v>3544</v>
      </c>
      <c r="J837" s="2302">
        <f>HY791</f>
        <v>0</v>
      </c>
      <c r="K837" s="2302">
        <f>HZ791</f>
        <v>0</v>
      </c>
      <c r="L837" s="2302">
        <f>IA791</f>
        <v>0</v>
      </c>
      <c r="M837" s="2302">
        <f>IB791</f>
        <v>0</v>
      </c>
      <c r="N837" s="2302">
        <f>IC791</f>
        <v>0</v>
      </c>
      <c r="O837" s="2302">
        <f t="shared" si="265"/>
        <v>0</v>
      </c>
      <c r="R837" s="2304"/>
      <c r="S837" s="2304"/>
      <c r="T837" s="2304"/>
      <c r="U837" s="2176"/>
      <c r="V837" s="2176"/>
      <c r="W837" s="2079"/>
      <c r="X837" s="2079"/>
      <c r="Y837" s="2261"/>
      <c r="Z837" s="2079"/>
      <c r="AA837" s="515"/>
      <c r="AB837" s="516"/>
      <c r="AC837" s="516"/>
      <c r="AD837" s="516"/>
      <c r="AE837" s="516"/>
      <c r="AF837" s="516"/>
      <c r="AG837" s="516"/>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5"/>
        <v>0</v>
      </c>
      <c r="R838" s="2304"/>
      <c r="S838" s="2304"/>
      <c r="T838" s="2304"/>
      <c r="U838" s="2176"/>
      <c r="V838" s="2176"/>
      <c r="W838" s="2079"/>
      <c r="X838" s="2079"/>
      <c r="Y838" s="2261"/>
      <c r="Z838" s="2079"/>
      <c r="AA838" s="515"/>
      <c r="AB838" s="516"/>
      <c r="AC838" s="516"/>
      <c r="AD838" s="516"/>
      <c r="AE838" s="516"/>
      <c r="AF838" s="516"/>
      <c r="AG838" s="516"/>
      <c r="AH838" s="500"/>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3544</v>
      </c>
      <c r="J839" s="2302">
        <f>FG791</f>
        <v>0</v>
      </c>
      <c r="K839" s="2302">
        <f>FH791</f>
        <v>0</v>
      </c>
      <c r="L839" s="2302">
        <f>FI791</f>
        <v>0</v>
      </c>
      <c r="M839" s="2302">
        <f>FJ791</f>
        <v>0</v>
      </c>
      <c r="N839" s="2302">
        <f>FK791</f>
        <v>0</v>
      </c>
      <c r="O839" s="2302">
        <f t="shared" si="265"/>
        <v>0</v>
      </c>
      <c r="R839" s="2304"/>
      <c r="S839" s="2304"/>
      <c r="T839" s="2304"/>
      <c r="U839" s="2176"/>
      <c r="V839" s="2176"/>
      <c r="W839" s="2079"/>
      <c r="X839" s="2079"/>
      <c r="Y839" s="2261"/>
      <c r="Z839" s="2079"/>
      <c r="AA839" s="515"/>
      <c r="AB839" s="516"/>
      <c r="AC839" s="516"/>
      <c r="AD839" s="516"/>
      <c r="AE839" s="516"/>
      <c r="AF839" s="516"/>
      <c r="AG839" s="516"/>
      <c r="AH839" s="500"/>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5"/>
        <v>0</v>
      </c>
      <c r="R840" s="2304"/>
      <c r="S840" s="2304"/>
      <c r="T840" s="2304"/>
      <c r="U840" s="2176"/>
      <c r="V840" s="2176"/>
      <c r="W840" s="2079"/>
      <c r="X840" s="2079"/>
      <c r="Y840" s="2261"/>
      <c r="Z840" s="2079"/>
      <c r="AA840" s="515"/>
      <c r="AB840" s="516"/>
      <c r="AC840" s="516"/>
      <c r="AD840" s="516"/>
      <c r="AE840" s="516"/>
      <c r="AF840" s="516"/>
      <c r="AG840" s="516"/>
      <c r="IK840" s="2250"/>
      <c r="IL840" s="2250"/>
      <c r="JB840" s="2250"/>
    </row>
    <row r="841" spans="3:262" ht="12" customHeight="1">
      <c r="C841" s="2079"/>
      <c r="D841" s="2079"/>
      <c r="E841" s="2261"/>
      <c r="F841" s="2079"/>
      <c r="H841" s="2309" t="s">
        <v>3544</v>
      </c>
      <c r="J841" s="2302">
        <f>GK791</f>
        <v>0</v>
      </c>
      <c r="K841" s="2302">
        <f>GL791</f>
        <v>0</v>
      </c>
      <c r="L841" s="2302">
        <f>GM791</f>
        <v>0</v>
      </c>
      <c r="M841" s="2302">
        <f>GN791</f>
        <v>0</v>
      </c>
      <c r="N841" s="2302">
        <f>GO791</f>
        <v>0</v>
      </c>
      <c r="O841" s="2302">
        <f t="shared" si="265"/>
        <v>0</v>
      </c>
      <c r="R841" s="2304"/>
      <c r="S841" s="2304"/>
      <c r="T841" s="2304"/>
      <c r="U841" s="2176"/>
      <c r="V841" s="2176"/>
      <c r="W841" s="2079"/>
      <c r="X841" s="2079"/>
      <c r="Y841" s="2261"/>
      <c r="Z841" s="2079"/>
      <c r="AA841" s="515"/>
      <c r="AB841" s="516"/>
      <c r="AC841" s="516"/>
      <c r="AD841" s="516"/>
      <c r="AE841" s="516"/>
      <c r="AF841" s="516"/>
      <c r="AG841" s="516"/>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5"/>
        <v>0</v>
      </c>
      <c r="R842" s="2304"/>
      <c r="S842" s="2304"/>
      <c r="T842" s="2304"/>
      <c r="U842" s="2176"/>
      <c r="V842" s="2176"/>
      <c r="W842" s="2079"/>
      <c r="X842" s="2079"/>
      <c r="Y842" s="2261"/>
      <c r="Z842" s="2079"/>
      <c r="AA842" s="515"/>
      <c r="AB842" s="516"/>
      <c r="AC842" s="516"/>
      <c r="AD842" s="516"/>
      <c r="AE842" s="516"/>
      <c r="AF842" s="516"/>
      <c r="AG842" s="516"/>
      <c r="AH842" s="500"/>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3544</v>
      </c>
      <c r="J843" s="2302">
        <f>GA791</f>
        <v>0</v>
      </c>
      <c r="K843" s="2302">
        <f>GB791</f>
        <v>0</v>
      </c>
      <c r="L843" s="2302">
        <f>GC791</f>
        <v>0</v>
      </c>
      <c r="M843" s="2302">
        <f>GD791</f>
        <v>0</v>
      </c>
      <c r="N843" s="2302">
        <f>GE791</f>
        <v>0</v>
      </c>
      <c r="O843" s="2302">
        <f t="shared" si="265"/>
        <v>0</v>
      </c>
      <c r="R843" s="2304"/>
      <c r="S843" s="2304"/>
      <c r="T843" s="2304"/>
      <c r="U843" s="2176"/>
      <c r="V843" s="2176"/>
      <c r="W843" s="2079"/>
      <c r="X843" s="2079"/>
      <c r="Y843" s="2261"/>
      <c r="Z843" s="2079"/>
      <c r="AA843" s="515"/>
      <c r="AB843" s="516"/>
      <c r="AC843" s="516"/>
      <c r="AD843" s="516"/>
      <c r="AE843" s="516"/>
      <c r="AF843" s="516"/>
      <c r="AG843" s="516"/>
      <c r="AH843" s="500"/>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5"/>
        <v>0</v>
      </c>
      <c r="R844" s="2304"/>
      <c r="S844" s="2304"/>
      <c r="T844" s="2304"/>
      <c r="U844" s="2176"/>
      <c r="V844" s="2176"/>
      <c r="W844" s="2079"/>
      <c r="X844" s="2079"/>
      <c r="Y844" s="2259"/>
      <c r="Z844" s="2079"/>
      <c r="AA844" s="515"/>
      <c r="AB844" s="516"/>
      <c r="AC844" s="516"/>
      <c r="AD844" s="516"/>
      <c r="AE844" s="516"/>
      <c r="AF844" s="516"/>
      <c r="AG844" s="516"/>
      <c r="IK844" s="2250"/>
      <c r="IL844" s="2250"/>
      <c r="JB844" s="2250"/>
    </row>
    <row r="845" spans="3:262" ht="12" customHeight="1">
      <c r="C845" s="2079"/>
      <c r="D845" s="2079"/>
      <c r="E845" s="2259"/>
      <c r="F845" s="2079"/>
      <c r="H845" s="2309" t="s">
        <v>3544</v>
      </c>
      <c r="J845" s="2302">
        <f>FQ791</f>
        <v>0</v>
      </c>
      <c r="K845" s="2302">
        <f>FR791</f>
        <v>0</v>
      </c>
      <c r="L845" s="2302">
        <f>FS791</f>
        <v>0</v>
      </c>
      <c r="M845" s="2302">
        <f>FT791</f>
        <v>0</v>
      </c>
      <c r="N845" s="2302">
        <f>FU791</f>
        <v>0</v>
      </c>
      <c r="O845" s="2302">
        <f t="shared" si="265"/>
        <v>0</v>
      </c>
      <c r="R845" s="2304"/>
      <c r="S845" s="2304"/>
      <c r="T845" s="2304"/>
      <c r="U845" s="2176"/>
      <c r="V845" s="2176"/>
      <c r="W845" s="2079"/>
      <c r="X845" s="2079"/>
      <c r="Y845" s="2259"/>
      <c r="Z845" s="2079"/>
      <c r="AA845" s="515"/>
      <c r="AB845" s="516"/>
      <c r="AC845" s="516"/>
      <c r="AD845" s="516"/>
      <c r="AE845" s="516"/>
      <c r="AF845" s="516"/>
      <c r="AG845" s="516"/>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4441</v>
      </c>
      <c r="D847" s="2176"/>
      <c r="E847" s="2261" t="s">
        <v>3539</v>
      </c>
      <c r="F847" s="2074"/>
      <c r="H847" s="2308"/>
      <c r="J847" s="2302">
        <f t="shared" ref="J847:N848" si="266">J838+J842+J844</f>
        <v>0</v>
      </c>
      <c r="K847" s="2302">
        <f t="shared" si="266"/>
        <v>0</v>
      </c>
      <c r="L847" s="2302">
        <f t="shared" si="266"/>
        <v>0</v>
      </c>
      <c r="M847" s="2302">
        <f t="shared" si="266"/>
        <v>0</v>
      </c>
      <c r="N847" s="2302">
        <f t="shared" si="266"/>
        <v>0</v>
      </c>
      <c r="O847" s="2302">
        <f t="shared" ref="O847:O854" si="267">SUM(J847:N847)</f>
        <v>0</v>
      </c>
      <c r="R847" s="2304"/>
      <c r="S847" s="2304"/>
      <c r="T847" s="2304"/>
      <c r="U847" s="2176">
        <f>'Part VI-Revenues &amp; Expenses'!U104</f>
        <v>0</v>
      </c>
      <c r="V847" s="2176"/>
      <c r="W847" s="2079"/>
      <c r="X847" s="2079"/>
      <c r="Y847" s="2259"/>
      <c r="Z847" s="2079"/>
      <c r="AA847" s="515"/>
      <c r="AB847" s="516"/>
      <c r="AC847" s="516"/>
      <c r="AD847" s="516"/>
      <c r="AE847" s="516"/>
      <c r="AF847" s="516"/>
      <c r="AG847" s="516"/>
      <c r="IK847" s="2250"/>
      <c r="IL847" s="2250"/>
      <c r="JB847" s="2250"/>
    </row>
    <row r="848" spans="3:262" ht="12" customHeight="1">
      <c r="C848" s="2176"/>
      <c r="D848" s="2176"/>
      <c r="E848" s="2261"/>
      <c r="F848" s="2074"/>
      <c r="H848" s="2309" t="s">
        <v>3544</v>
      </c>
      <c r="J848" s="2302">
        <f t="shared" si="266"/>
        <v>0</v>
      </c>
      <c r="K848" s="2302">
        <f t="shared" si="266"/>
        <v>0</v>
      </c>
      <c r="L848" s="2302">
        <f t="shared" si="266"/>
        <v>0</v>
      </c>
      <c r="M848" s="2302">
        <f t="shared" si="266"/>
        <v>0</v>
      </c>
      <c r="N848" s="2302">
        <f t="shared" si="266"/>
        <v>0</v>
      </c>
      <c r="O848" s="2302">
        <f t="shared" si="267"/>
        <v>0</v>
      </c>
      <c r="R848" s="2304"/>
      <c r="S848" s="2304"/>
      <c r="T848" s="2304"/>
      <c r="U848" s="2176"/>
      <c r="V848" s="2176"/>
      <c r="W848" s="2079"/>
      <c r="X848" s="2079"/>
      <c r="Y848" s="2259"/>
      <c r="Z848" s="2079"/>
      <c r="AA848" s="515"/>
      <c r="AB848" s="516"/>
      <c r="AC848" s="516"/>
      <c r="AD848" s="516"/>
      <c r="AE848" s="516"/>
      <c r="AF848" s="516"/>
      <c r="AG848" s="516"/>
      <c r="IK848" s="2250"/>
      <c r="IL848" s="2250"/>
      <c r="JB848" s="2250"/>
    </row>
    <row r="849" spans="1:263" ht="12" customHeight="1">
      <c r="C849" s="2176"/>
      <c r="D849" s="2176"/>
      <c r="E849" s="2261" t="s">
        <v>3540</v>
      </c>
      <c r="F849" s="2074"/>
      <c r="H849" s="2074"/>
      <c r="J849" s="2302">
        <f>J830+J840</f>
        <v>0</v>
      </c>
      <c r="K849" s="2302">
        <f t="shared" ref="K849:N850" si="268">K830+K840</f>
        <v>0</v>
      </c>
      <c r="L849" s="2302">
        <f t="shared" si="268"/>
        <v>0</v>
      </c>
      <c r="M849" s="2302">
        <f t="shared" si="268"/>
        <v>0</v>
      </c>
      <c r="N849" s="2302">
        <f t="shared" si="268"/>
        <v>0</v>
      </c>
      <c r="O849" s="2302">
        <f t="shared" si="267"/>
        <v>0</v>
      </c>
      <c r="R849" s="2304"/>
      <c r="S849" s="2304"/>
      <c r="T849" s="2304"/>
      <c r="U849" s="2176"/>
      <c r="V849" s="2176"/>
      <c r="W849" s="2079"/>
      <c r="X849" s="2079"/>
      <c r="Y849" s="2259"/>
      <c r="Z849" s="2079"/>
      <c r="AA849" s="515"/>
      <c r="AB849" s="516"/>
      <c r="AC849" s="516"/>
      <c r="AD849" s="516"/>
      <c r="AE849" s="516"/>
      <c r="AF849" s="516"/>
      <c r="AG849" s="516"/>
      <c r="IK849" s="2250"/>
      <c r="IL849" s="2250"/>
      <c r="JB849" s="2250"/>
    </row>
    <row r="850" spans="1:263" ht="12" customHeight="1">
      <c r="C850" s="2176"/>
      <c r="D850" s="2176"/>
      <c r="E850" s="2261"/>
      <c r="F850" s="2074"/>
      <c r="H850" s="2309" t="s">
        <v>3544</v>
      </c>
      <c r="J850" s="2302">
        <f>J831+J841</f>
        <v>0</v>
      </c>
      <c r="K850" s="2302">
        <f t="shared" si="268"/>
        <v>0</v>
      </c>
      <c r="L850" s="2302">
        <f t="shared" si="268"/>
        <v>0</v>
      </c>
      <c r="M850" s="2302">
        <f t="shared" si="268"/>
        <v>0</v>
      </c>
      <c r="N850" s="2302">
        <f t="shared" si="268"/>
        <v>0</v>
      </c>
      <c r="O850" s="2302">
        <f t="shared" si="267"/>
        <v>0</v>
      </c>
      <c r="R850" s="2304"/>
      <c r="S850" s="2304"/>
      <c r="T850" s="2304"/>
      <c r="U850" s="2176"/>
      <c r="V850" s="2176"/>
      <c r="W850" s="2079"/>
      <c r="X850" s="2079"/>
      <c r="Y850" s="2259"/>
      <c r="Z850" s="2079"/>
      <c r="AA850" s="515"/>
      <c r="AB850" s="516"/>
      <c r="AC850" s="516"/>
      <c r="AD850" s="516"/>
      <c r="AE850" s="516"/>
      <c r="AF850" s="516"/>
      <c r="AG850" s="516"/>
      <c r="IK850" s="2250"/>
      <c r="IL850" s="2250"/>
      <c r="JB850" s="2250"/>
    </row>
    <row r="851" spans="1:263" ht="12" customHeight="1">
      <c r="C851" s="2176"/>
      <c r="D851" s="2176"/>
      <c r="E851" s="2261" t="s">
        <v>3541</v>
      </c>
      <c r="F851" s="2074"/>
      <c r="H851" s="2308"/>
      <c r="J851" s="2302">
        <f>J834</f>
        <v>0</v>
      </c>
      <c r="K851" s="2302">
        <f t="shared" ref="K851:N852" si="269">K834</f>
        <v>12</v>
      </c>
      <c r="L851" s="2302">
        <f t="shared" si="269"/>
        <v>40</v>
      </c>
      <c r="M851" s="2302">
        <f t="shared" si="269"/>
        <v>20</v>
      </c>
      <c r="N851" s="2302">
        <f t="shared" si="269"/>
        <v>0</v>
      </c>
      <c r="O851" s="2302">
        <f t="shared" si="267"/>
        <v>72</v>
      </c>
      <c r="R851" s="2304"/>
      <c r="S851" s="2304"/>
      <c r="T851" s="2304"/>
      <c r="U851" s="2176"/>
      <c r="V851" s="2176"/>
      <c r="W851" s="2079"/>
      <c r="X851" s="2079"/>
      <c r="Y851" s="2259"/>
      <c r="Z851" s="2079"/>
      <c r="AA851" s="515"/>
      <c r="AB851" s="516"/>
      <c r="AC851" s="516"/>
      <c r="AD851" s="516"/>
      <c r="AE851" s="516"/>
      <c r="AF851" s="516"/>
      <c r="AG851" s="516"/>
      <c r="IK851" s="2250"/>
      <c r="IL851" s="2250"/>
      <c r="JB851" s="2250"/>
    </row>
    <row r="852" spans="1:263" ht="12" customHeight="1">
      <c r="C852" s="2176"/>
      <c r="D852" s="2176"/>
      <c r="E852" s="2261"/>
      <c r="F852" s="2074"/>
      <c r="H852" s="2309" t="s">
        <v>3544</v>
      </c>
      <c r="J852" s="2302">
        <f>J835</f>
        <v>0</v>
      </c>
      <c r="K852" s="2302">
        <f t="shared" si="269"/>
        <v>0</v>
      </c>
      <c r="L852" s="2302">
        <f t="shared" si="269"/>
        <v>0</v>
      </c>
      <c r="M852" s="2302">
        <f t="shared" si="269"/>
        <v>0</v>
      </c>
      <c r="N852" s="2302">
        <f t="shared" si="269"/>
        <v>0</v>
      </c>
      <c r="O852" s="2302">
        <f t="shared" si="267"/>
        <v>0</v>
      </c>
      <c r="R852" s="2304"/>
      <c r="S852" s="2304"/>
      <c r="T852" s="2304"/>
      <c r="U852" s="2176"/>
      <c r="V852" s="2176"/>
      <c r="W852" s="2079"/>
      <c r="X852" s="2079"/>
      <c r="Y852" s="2259"/>
      <c r="Z852" s="2079"/>
      <c r="AA852" s="515"/>
      <c r="AB852" s="516"/>
      <c r="AC852" s="516"/>
      <c r="AD852" s="516"/>
      <c r="AE852" s="516"/>
      <c r="AF852" s="516"/>
      <c r="AG852" s="516"/>
      <c r="IK852" s="2250"/>
      <c r="IL852" s="2250"/>
      <c r="JB852" s="2250"/>
    </row>
    <row r="853" spans="1:263" ht="12" customHeight="1">
      <c r="C853" s="2176"/>
      <c r="D853" s="2176"/>
      <c r="E853" s="2261" t="s">
        <v>3542</v>
      </c>
      <c r="F853" s="2074"/>
      <c r="H853" s="2308"/>
      <c r="J853" s="2302">
        <f>J832+J836</f>
        <v>0</v>
      </c>
      <c r="K853" s="2302">
        <f t="shared" ref="K853:N854" si="270">K832+K836</f>
        <v>0</v>
      </c>
      <c r="L853" s="2302">
        <f t="shared" si="270"/>
        <v>0</v>
      </c>
      <c r="M853" s="2302">
        <f t="shared" si="270"/>
        <v>0</v>
      </c>
      <c r="N853" s="2302">
        <f t="shared" si="270"/>
        <v>0</v>
      </c>
      <c r="O853" s="2302">
        <f t="shared" si="267"/>
        <v>0</v>
      </c>
      <c r="R853" s="2304"/>
      <c r="S853" s="2304"/>
      <c r="T853" s="2304"/>
      <c r="U853" s="2176"/>
      <c r="V853" s="2176"/>
      <c r="W853" s="2079"/>
      <c r="X853" s="2079"/>
      <c r="Y853" s="2259"/>
      <c r="Z853" s="2079"/>
      <c r="AA853" s="515"/>
      <c r="AB853" s="516"/>
      <c r="AC853" s="516"/>
      <c r="AD853" s="516"/>
      <c r="AE853" s="516"/>
      <c r="AF853" s="516"/>
      <c r="AG853" s="516"/>
      <c r="IK853" s="2250"/>
      <c r="IL853" s="2250"/>
      <c r="JB853" s="2250"/>
    </row>
    <row r="854" spans="1:263" ht="12" customHeight="1">
      <c r="C854" s="2079"/>
      <c r="D854" s="2079"/>
      <c r="E854" s="2312"/>
      <c r="F854" s="2074"/>
      <c r="H854" s="2309" t="s">
        <v>3544</v>
      </c>
      <c r="J854" s="2302">
        <f>J833+J837</f>
        <v>0</v>
      </c>
      <c r="K854" s="2302">
        <f t="shared" si="270"/>
        <v>0</v>
      </c>
      <c r="L854" s="2302">
        <f t="shared" si="270"/>
        <v>0</v>
      </c>
      <c r="M854" s="2302">
        <f t="shared" si="270"/>
        <v>0</v>
      </c>
      <c r="N854" s="2302">
        <f t="shared" si="270"/>
        <v>0</v>
      </c>
      <c r="O854" s="2302">
        <f t="shared" si="267"/>
        <v>0</v>
      </c>
      <c r="R854" s="2304"/>
      <c r="S854" s="2304"/>
      <c r="T854" s="2304"/>
      <c r="U854" s="2176"/>
      <c r="V854" s="2176"/>
      <c r="W854" s="2079"/>
      <c r="X854" s="2079"/>
      <c r="Y854" s="2259"/>
      <c r="Z854" s="2079"/>
      <c r="AA854" s="515"/>
      <c r="AB854" s="516"/>
      <c r="AC854" s="516"/>
      <c r="AD854" s="516"/>
      <c r="AE854" s="516"/>
      <c r="AF854" s="516"/>
      <c r="AG854" s="516"/>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5"/>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2490</v>
      </c>
      <c r="L856" s="2314">
        <f>CB791</f>
        <v>34656</v>
      </c>
      <c r="M856" s="2314">
        <f>CC791</f>
        <v>20816</v>
      </c>
      <c r="N856" s="2314">
        <f>CD791</f>
        <v>0</v>
      </c>
      <c r="O856" s="2314">
        <f t="shared" ref="O856:O862" si="271">SUM(J856:N856)</f>
        <v>57962</v>
      </c>
      <c r="R856" s="2304"/>
      <c r="S856" s="2304"/>
      <c r="T856" s="2304"/>
      <c r="U856" s="2176">
        <f>'Part VI-Revenues &amp; Expenses'!U113</f>
        <v>0</v>
      </c>
      <c r="V856" s="2176"/>
      <c r="W856" s="2079"/>
      <c r="X856" s="2079"/>
      <c r="Y856" s="2079"/>
      <c r="Z856" s="2079"/>
      <c r="AA856" s="515"/>
      <c r="AB856" s="516"/>
      <c r="AC856" s="516"/>
      <c r="AD856" s="516"/>
      <c r="AE856" s="516"/>
      <c r="AF856" s="516"/>
      <c r="AG856" s="516"/>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7470</v>
      </c>
      <c r="L857" s="2314">
        <f>CG791</f>
        <v>8664</v>
      </c>
      <c r="M857" s="2314">
        <f>CH791</f>
        <v>5204</v>
      </c>
      <c r="N857" s="2314">
        <f>CI791</f>
        <v>0</v>
      </c>
      <c r="O857" s="2314">
        <f t="shared" si="271"/>
        <v>21338</v>
      </c>
      <c r="R857" s="2304"/>
      <c r="S857" s="2304"/>
      <c r="T857" s="2304"/>
      <c r="U857" s="2176"/>
      <c r="V857" s="2176"/>
      <c r="W857" s="2078"/>
      <c r="X857" s="2079"/>
      <c r="Y857" s="2079"/>
      <c r="Z857" s="2079"/>
      <c r="AA857" s="515"/>
      <c r="AB857" s="516"/>
      <c r="AC857" s="516"/>
      <c r="AD857" s="516"/>
      <c r="AE857" s="516"/>
      <c r="AF857" s="516"/>
      <c r="AG857" s="516"/>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9960</v>
      </c>
      <c r="L858" s="2314">
        <f>SUM(L856:L857)</f>
        <v>43320</v>
      </c>
      <c r="M858" s="2314">
        <f>SUM(M856:M857)</f>
        <v>26020</v>
      </c>
      <c r="N858" s="2314">
        <f>SUM(N856:N857)</f>
        <v>0</v>
      </c>
      <c r="O858" s="2314">
        <f t="shared" si="271"/>
        <v>79300</v>
      </c>
      <c r="R858" s="2304"/>
      <c r="S858" s="2304"/>
      <c r="T858" s="2304"/>
      <c r="U858" s="2176"/>
      <c r="V858" s="2176"/>
      <c r="W858" s="2078"/>
      <c r="X858" s="2079"/>
      <c r="Y858" s="2079"/>
      <c r="Z858" s="2079"/>
      <c r="AA858" s="515"/>
      <c r="AB858" s="516"/>
      <c r="AC858" s="516"/>
      <c r="AD858" s="516"/>
      <c r="AE858" s="516"/>
      <c r="AF858" s="516"/>
      <c r="AG858" s="516"/>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0</v>
      </c>
      <c r="M859" s="2314">
        <f>CR791</f>
        <v>0</v>
      </c>
      <c r="N859" s="2314">
        <f>CS791</f>
        <v>0</v>
      </c>
      <c r="O859" s="2314">
        <f t="shared" si="271"/>
        <v>0</v>
      </c>
      <c r="R859" s="2304"/>
      <c r="S859" s="2304"/>
      <c r="T859" s="2304"/>
      <c r="U859" s="2176"/>
      <c r="V859" s="2176"/>
      <c r="W859" s="2079"/>
      <c r="X859" s="2079"/>
      <c r="Y859" s="2079"/>
      <c r="Z859" s="2079"/>
      <c r="AA859" s="2079"/>
      <c r="AB859" s="516"/>
      <c r="AC859" s="516"/>
      <c r="AD859" s="516"/>
      <c r="AE859" s="516"/>
      <c r="AF859" s="516"/>
      <c r="AG859" s="516"/>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9960</v>
      </c>
      <c r="L860" s="2314">
        <f>SUM(L858:L859)</f>
        <v>43320</v>
      </c>
      <c r="M860" s="2314">
        <f>SUM(M858:M859)</f>
        <v>26020</v>
      </c>
      <c r="N860" s="2314">
        <f>SUM(N858:N859)</f>
        <v>0</v>
      </c>
      <c r="O860" s="2314">
        <f t="shared" si="271"/>
        <v>79300</v>
      </c>
      <c r="R860" s="2304"/>
      <c r="S860" s="2304"/>
      <c r="T860" s="2304"/>
      <c r="U860" s="2176"/>
      <c r="V860" s="2176"/>
      <c r="W860" s="2079"/>
      <c r="X860" s="2079"/>
      <c r="Y860" s="2079"/>
      <c r="Z860" s="2079"/>
      <c r="AA860" s="2079"/>
      <c r="AB860" s="516"/>
      <c r="AC860" s="516"/>
      <c r="AD860" s="516"/>
      <c r="AE860" s="516"/>
      <c r="AF860" s="516"/>
      <c r="AG860" s="516"/>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1"/>
        <v>0</v>
      </c>
      <c r="R861" s="2304"/>
      <c r="S861" s="2304"/>
      <c r="T861" s="2304"/>
      <c r="U861" s="2176"/>
      <c r="V861" s="2176"/>
      <c r="W861" s="2079"/>
      <c r="X861" s="2079"/>
      <c r="Y861" s="2079"/>
      <c r="Z861" s="2079"/>
      <c r="AA861" s="2079"/>
      <c r="AB861" s="516"/>
      <c r="AC861" s="516"/>
      <c r="AD861" s="516"/>
      <c r="AE861" s="516"/>
      <c r="AF861" s="516"/>
      <c r="AG861" s="516"/>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9960</v>
      </c>
      <c r="L862" s="2314">
        <f>SUM(L860:L861)</f>
        <v>43320</v>
      </c>
      <c r="M862" s="2314">
        <f>SUM(M860:M861)</f>
        <v>26020</v>
      </c>
      <c r="N862" s="2314">
        <f>SUM(N860:N861)</f>
        <v>0</v>
      </c>
      <c r="O862" s="2314">
        <f t="shared" si="271"/>
        <v>79300</v>
      </c>
      <c r="R862" s="2304"/>
      <c r="S862" s="2304"/>
      <c r="T862" s="2304"/>
      <c r="U862" s="2176"/>
      <c r="V862" s="2176"/>
      <c r="W862" s="2079"/>
      <c r="X862" s="2079"/>
      <c r="Y862" s="2079"/>
      <c r="Z862" s="2079"/>
      <c r="AA862" s="2079"/>
      <c r="AB862" s="516"/>
      <c r="AC862" s="516"/>
      <c r="AD862" s="516"/>
      <c r="AE862" s="516"/>
      <c r="AF862" s="516"/>
      <c r="AG862" s="516"/>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4442</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9336.9600000000009</v>
      </c>
      <c r="I865" s="2316"/>
      <c r="J865" s="2259"/>
      <c r="K865" s="2317" t="s">
        <v>4443</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2">SUM(G869:G870)</f>
        <v>0</v>
      </c>
      <c r="H871" s="2327">
        <f t="shared" si="272"/>
        <v>0</v>
      </c>
      <c r="I871" s="2327">
        <f t="shared" si="272"/>
        <v>0</v>
      </c>
      <c r="J871" s="2327">
        <f t="shared" si="272"/>
        <v>0</v>
      </c>
      <c r="K871" s="2327">
        <f t="shared" si="272"/>
        <v>0</v>
      </c>
      <c r="L871" s="2327">
        <f t="shared" si="272"/>
        <v>0</v>
      </c>
      <c r="M871" s="2327">
        <f t="shared" si="272"/>
        <v>0</v>
      </c>
      <c r="N871" s="2327">
        <f t="shared" si="272"/>
        <v>0</v>
      </c>
      <c r="O871" s="2327">
        <f t="shared" si="272"/>
        <v>0</v>
      </c>
      <c r="P871" s="2327">
        <f t="shared" si="272"/>
        <v>0</v>
      </c>
      <c r="Q871" s="516"/>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4444</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4445</v>
      </c>
      <c r="D875" s="2261"/>
      <c r="E875" s="2261"/>
      <c r="F875" s="2261"/>
      <c r="G875" s="2327">
        <f t="shared" ref="G875:P875" si="273">SUM(G873:G874)</f>
        <v>0</v>
      </c>
      <c r="H875" s="2327">
        <f t="shared" si="273"/>
        <v>0</v>
      </c>
      <c r="I875" s="2327">
        <f t="shared" si="273"/>
        <v>0</v>
      </c>
      <c r="J875" s="2327">
        <f t="shared" si="273"/>
        <v>0</v>
      </c>
      <c r="K875" s="2327">
        <f t="shared" si="273"/>
        <v>0</v>
      </c>
      <c r="L875" s="2327">
        <f t="shared" si="273"/>
        <v>0</v>
      </c>
      <c r="M875" s="2327">
        <f t="shared" si="273"/>
        <v>0</v>
      </c>
      <c r="N875" s="2327">
        <f t="shared" si="273"/>
        <v>0</v>
      </c>
      <c r="O875" s="2327">
        <f t="shared" si="273"/>
        <v>0</v>
      </c>
      <c r="P875" s="2327">
        <f t="shared" si="273"/>
        <v>0</v>
      </c>
      <c r="Q875" s="516"/>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4">SUM(G878:G879)</f>
        <v>0</v>
      </c>
      <c r="H880" s="2327">
        <f t="shared" si="274"/>
        <v>0</v>
      </c>
      <c r="I880" s="2327">
        <f t="shared" si="274"/>
        <v>0</v>
      </c>
      <c r="J880" s="2327">
        <f t="shared" si="274"/>
        <v>0</v>
      </c>
      <c r="K880" s="2327">
        <f t="shared" si="274"/>
        <v>0</v>
      </c>
      <c r="L880" s="2327">
        <f t="shared" si="274"/>
        <v>0</v>
      </c>
      <c r="M880" s="2327">
        <f t="shared" si="274"/>
        <v>0</v>
      </c>
      <c r="N880" s="2327">
        <f t="shared" si="274"/>
        <v>0</v>
      </c>
      <c r="O880" s="2327">
        <f t="shared" si="274"/>
        <v>0</v>
      </c>
      <c r="P880" s="2327">
        <f t="shared" si="274"/>
        <v>0</v>
      </c>
      <c r="Q880" s="516"/>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4444</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4445</v>
      </c>
      <c r="D884" s="2261"/>
      <c r="E884" s="2261"/>
      <c r="F884" s="2261"/>
      <c r="G884" s="2327">
        <f t="shared" ref="G884:P884" si="275">SUM(G882:G883)</f>
        <v>0</v>
      </c>
      <c r="H884" s="2327">
        <f t="shared" si="275"/>
        <v>0</v>
      </c>
      <c r="I884" s="2327">
        <f t="shared" si="275"/>
        <v>0</v>
      </c>
      <c r="J884" s="2327">
        <f t="shared" si="275"/>
        <v>0</v>
      </c>
      <c r="K884" s="2327">
        <f t="shared" si="275"/>
        <v>0</v>
      </c>
      <c r="L884" s="2327">
        <f t="shared" si="275"/>
        <v>0</v>
      </c>
      <c r="M884" s="2327">
        <f t="shared" si="275"/>
        <v>0</v>
      </c>
      <c r="N884" s="2327">
        <f t="shared" si="275"/>
        <v>0</v>
      </c>
      <c r="O884" s="2327">
        <f t="shared" si="275"/>
        <v>0</v>
      </c>
      <c r="P884" s="2327">
        <f t="shared" si="275"/>
        <v>0</v>
      </c>
      <c r="Q884" s="516"/>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6">SUM(G887:G888)</f>
        <v>0</v>
      </c>
      <c r="H889" s="2327">
        <f t="shared" si="276"/>
        <v>0</v>
      </c>
      <c r="I889" s="2327">
        <f t="shared" si="276"/>
        <v>0</v>
      </c>
      <c r="J889" s="2327">
        <f t="shared" si="276"/>
        <v>0</v>
      </c>
      <c r="K889" s="2327">
        <f t="shared" si="276"/>
        <v>0</v>
      </c>
      <c r="L889" s="2327">
        <f t="shared" si="276"/>
        <v>0</v>
      </c>
      <c r="M889" s="2327">
        <f t="shared" si="276"/>
        <v>0</v>
      </c>
      <c r="N889" s="2327">
        <f t="shared" si="276"/>
        <v>0</v>
      </c>
      <c r="O889" s="2327">
        <f t="shared" si="276"/>
        <v>0</v>
      </c>
      <c r="P889" s="2327">
        <f t="shared" si="276"/>
        <v>0</v>
      </c>
      <c r="Q889" s="516"/>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4444</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4445</v>
      </c>
      <c r="D893" s="2261"/>
      <c r="E893" s="2261"/>
      <c r="F893" s="2261"/>
      <c r="G893" s="2327">
        <f t="shared" ref="G893:P893" si="277">SUM(G891:G892)</f>
        <v>0</v>
      </c>
      <c r="H893" s="2327">
        <f t="shared" si="277"/>
        <v>0</v>
      </c>
      <c r="I893" s="2327">
        <f t="shared" si="277"/>
        <v>0</v>
      </c>
      <c r="J893" s="2327">
        <f t="shared" si="277"/>
        <v>0</v>
      </c>
      <c r="K893" s="2327">
        <f t="shared" si="277"/>
        <v>0</v>
      </c>
      <c r="L893" s="2327">
        <f t="shared" si="277"/>
        <v>0</v>
      </c>
      <c r="M893" s="2327">
        <f t="shared" si="277"/>
        <v>0</v>
      </c>
      <c r="N893" s="2327">
        <f t="shared" si="277"/>
        <v>0</v>
      </c>
      <c r="O893" s="2327">
        <f t="shared" si="277"/>
        <v>0</v>
      </c>
      <c r="P893" s="2327">
        <f t="shared" si="277"/>
        <v>0</v>
      </c>
      <c r="Q893" s="516"/>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4444</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4445</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3"/>
      <c r="W904" s="873"/>
      <c r="X904" s="873"/>
      <c r="Y904" s="873"/>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3"/>
      <c r="G906" s="873"/>
      <c r="I906" s="2078" t="s">
        <v>1427</v>
      </c>
      <c r="N906" s="2078" t="s">
        <v>1426</v>
      </c>
      <c r="U906" s="2176">
        <f>'Part VI-Revenues &amp; Expenses'!U163</f>
        <v>0</v>
      </c>
      <c r="V906" s="2176"/>
      <c r="W906" s="873"/>
      <c r="X906" s="873"/>
      <c r="Y906" s="873"/>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36000</v>
      </c>
      <c r="G907" s="2314"/>
      <c r="I907" s="2079" t="s">
        <v>1428</v>
      </c>
      <c r="K907" s="2314">
        <f>'Part VI-Revenues &amp; Expenses'!K164</f>
        <v>0</v>
      </c>
      <c r="L907" s="2314"/>
      <c r="N907" s="2079" t="s">
        <v>962</v>
      </c>
      <c r="P907" s="2326">
        <f>'Part VI-Revenues &amp; Expenses'!P164</f>
        <v>79050</v>
      </c>
      <c r="Q907" s="2326"/>
      <c r="U907" s="2176"/>
      <c r="V907" s="2176"/>
      <c r="W907" s="873"/>
      <c r="X907" s="873"/>
      <c r="Y907" s="873"/>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18720</v>
      </c>
      <c r="G908" s="2314"/>
      <c r="I908" s="2079" t="s">
        <v>1429</v>
      </c>
      <c r="K908" s="2314">
        <f>'Part VI-Revenues &amp; Expenses'!K165</f>
        <v>720</v>
      </c>
      <c r="L908" s="2314"/>
      <c r="N908" s="2079" t="s">
        <v>152</v>
      </c>
      <c r="P908" s="2326">
        <f>'Part VI-Revenues &amp; Expenses'!P165</f>
        <v>17700</v>
      </c>
      <c r="Q908" s="2326"/>
      <c r="U908" s="2176"/>
      <c r="V908" s="2176"/>
      <c r="W908" s="873"/>
      <c r="X908" s="873"/>
      <c r="Y908" s="873"/>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3600</v>
      </c>
      <c r="G909" s="2314"/>
      <c r="J909" s="2331" t="s">
        <v>197</v>
      </c>
      <c r="K909" s="2314">
        <f>SUM(K907:L908)</f>
        <v>720</v>
      </c>
      <c r="L909" s="2314"/>
      <c r="N909" s="2332" t="str">
        <f>'Part VI-Revenues &amp; Expenses'!N166</f>
        <v>Other (Business License)</v>
      </c>
      <c r="O909" s="2332"/>
      <c r="P909" s="2326">
        <f>'Part VI-Revenues &amp; Expenses'!P166</f>
        <v>720</v>
      </c>
      <c r="Q909" s="2326"/>
      <c r="U909" s="2176"/>
      <c r="V909" s="2176"/>
      <c r="W909" s="873"/>
      <c r="X909" s="873"/>
      <c r="Y909" s="873"/>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5" t="str">
        <f>'Part VI-Revenues &amp; Expenses'!B167</f>
        <v>Other (describe here)</v>
      </c>
      <c r="C910" s="515"/>
      <c r="D910" s="515"/>
      <c r="E910" s="515"/>
      <c r="F910" s="2314">
        <f>'Part VI-Revenues &amp; Expenses'!F167</f>
        <v>0</v>
      </c>
      <c r="G910" s="2314"/>
      <c r="N910" s="2331" t="s">
        <v>197</v>
      </c>
      <c r="P910" s="2326">
        <f>SUM(P907:P909)</f>
        <v>97470</v>
      </c>
      <c r="Q910" s="2326"/>
      <c r="U910" s="2176"/>
      <c r="V910" s="2176"/>
      <c r="W910" s="873"/>
      <c r="X910" s="873"/>
      <c r="Y910" s="873"/>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58320</v>
      </c>
      <c r="G911" s="2314"/>
      <c r="J911" s="2302"/>
      <c r="U911" s="2176"/>
      <c r="V911" s="2176"/>
      <c r="W911" s="873"/>
      <c r="X911" s="873"/>
      <c r="Y911" s="873"/>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39857</v>
      </c>
      <c r="Q913" s="2334"/>
      <c r="U913" s="2176"/>
      <c r="V913" s="2176"/>
      <c r="W913" s="873"/>
      <c r="X913" s="873"/>
      <c r="Y913" s="873"/>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5328</v>
      </c>
      <c r="G914" s="2314"/>
      <c r="I914" s="2079" t="s">
        <v>1660</v>
      </c>
      <c r="K914" s="2314">
        <f>'Part VI-Revenues &amp; Expenses'!K171</f>
        <v>11592</v>
      </c>
      <c r="L914" s="2314"/>
      <c r="N914" s="2335">
        <f>+P913/(O805*0.93)</f>
        <v>595.23596176821979</v>
      </c>
      <c r="O914" s="2336" t="s">
        <v>2871</v>
      </c>
      <c r="U914" s="2176"/>
      <c r="V914" s="2176"/>
      <c r="W914" s="873"/>
      <c r="X914" s="873"/>
      <c r="Y914" s="873"/>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2088</v>
      </c>
      <c r="G915" s="2314"/>
      <c r="I915" s="2079" t="s">
        <v>2127</v>
      </c>
      <c r="K915" s="2314">
        <f>'Part VI-Revenues &amp; Expenses'!K172</f>
        <v>4800</v>
      </c>
      <c r="L915" s="2314"/>
      <c r="N915" s="2335">
        <f>+P913/(O805*0.93)/12</f>
        <v>49.602996814018319</v>
      </c>
      <c r="O915" s="2336" t="s">
        <v>2872</v>
      </c>
      <c r="U915" s="2176"/>
      <c r="V915" s="2176"/>
      <c r="W915" s="873"/>
      <c r="X915" s="873"/>
      <c r="Y915" s="873"/>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1080</v>
      </c>
      <c r="G916" s="2314"/>
      <c r="I916" s="2079" t="s">
        <v>1661</v>
      </c>
      <c r="K916" s="2314">
        <f>'Part VI-Revenues &amp; Expenses'!K173</f>
        <v>2000</v>
      </c>
      <c r="L916" s="2314"/>
      <c r="N916" s="2337" t="s">
        <v>2546</v>
      </c>
      <c r="O916" s="2337"/>
      <c r="P916" s="2337"/>
      <c r="Q916" s="2303"/>
      <c r="U916" s="2176"/>
      <c r="V916" s="2176"/>
      <c r="W916" s="873"/>
      <c r="X916" s="873"/>
      <c r="Y916" s="873"/>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Other (DCA Compliance Fee)</v>
      </c>
      <c r="J917" s="2332"/>
      <c r="K917" s="2314">
        <f>'Part VI-Revenues &amp; Expenses'!K174</f>
        <v>750</v>
      </c>
      <c r="L917" s="2314"/>
      <c r="N917" s="2337"/>
      <c r="O917" s="2337"/>
      <c r="P917" s="2337"/>
      <c r="Q917" s="2303"/>
      <c r="U917" s="2176"/>
      <c r="V917" s="2176"/>
      <c r="W917" s="873"/>
      <c r="X917" s="873"/>
      <c r="Y917" s="873"/>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1080</v>
      </c>
      <c r="G918" s="2314"/>
      <c r="I918" s="2078"/>
      <c r="J918" s="2331" t="s">
        <v>197</v>
      </c>
      <c r="K918" s="2326">
        <f>SUM(K914:K917)</f>
        <v>19142</v>
      </c>
      <c r="L918" s="2326"/>
      <c r="U918" s="2176"/>
      <c r="V918" s="2176"/>
      <c r="W918" s="873"/>
      <c r="X918" s="873"/>
      <c r="Y918" s="873"/>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5" t="str">
        <f>'Part VI-Revenues &amp; Expenses'!B176</f>
        <v>Other-Training/Dues/Subscr</v>
      </c>
      <c r="C919" s="515"/>
      <c r="D919" s="515"/>
      <c r="E919" s="515"/>
      <c r="F919" s="2314">
        <f>'Part VI-Revenues &amp; Expenses'!F176</f>
        <v>4320</v>
      </c>
      <c r="G919" s="2314"/>
      <c r="J919" s="2302"/>
      <c r="N919" s="2078" t="s">
        <v>2265</v>
      </c>
      <c r="P919" s="2326">
        <f>F911+F920+F931+K909+K918+K928+P910+P913</f>
        <v>290209</v>
      </c>
      <c r="Q919" s="2326"/>
      <c r="U919" s="2176">
        <f>'Part VI-Revenues &amp; Expenses'!U176</f>
        <v>0</v>
      </c>
      <c r="V919" s="2176"/>
      <c r="W919" s="873"/>
      <c r="X919" s="873"/>
      <c r="Y919" s="873"/>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13896</v>
      </c>
      <c r="G920" s="2314"/>
      <c r="J920" s="2302"/>
      <c r="N920" s="2335">
        <f>+P919/O805</f>
        <v>4030.6805555555557</v>
      </c>
      <c r="O920" s="2336" t="s">
        <v>2873</v>
      </c>
      <c r="U920" s="2176"/>
      <c r="V920" s="2176"/>
      <c r="W920" s="873"/>
      <c r="X920" s="873"/>
      <c r="Y920" s="873"/>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2870</v>
      </c>
      <c r="N922" s="2078" t="s">
        <v>3751</v>
      </c>
      <c r="O922" s="2078"/>
      <c r="P922" s="2334">
        <f>P923*O805</f>
        <v>18000</v>
      </c>
      <c r="Q922" s="2334"/>
      <c r="U922" s="2176"/>
      <c r="V922" s="2176"/>
      <c r="W922" s="873"/>
      <c r="X922" s="873"/>
      <c r="Y922" s="873"/>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3240</v>
      </c>
      <c r="G923" s="2314"/>
      <c r="I923" s="2079" t="s">
        <v>1418</v>
      </c>
      <c r="J923" s="2205">
        <f>K923/12/O805</f>
        <v>7.291666666666667</v>
      </c>
      <c r="K923" s="2314">
        <f>'Part VI-Revenues &amp; Expenses'!K180</f>
        <v>6300</v>
      </c>
      <c r="L923" s="2314"/>
      <c r="N923" s="2261" t="s">
        <v>3752</v>
      </c>
      <c r="P923" s="2338">
        <f>'Part VI-Revenues &amp; Expenses'!P180</f>
        <v>250</v>
      </c>
      <c r="Q923" s="2339"/>
      <c r="U923" s="2176"/>
      <c r="V923" s="2176"/>
      <c r="W923" s="873"/>
      <c r="X923" s="873"/>
      <c r="Y923" s="873"/>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2160</v>
      </c>
      <c r="G924" s="2314"/>
      <c r="I924" s="2079" t="s">
        <v>1419</v>
      </c>
      <c r="J924" s="2205">
        <f>K924/12/O805</f>
        <v>0</v>
      </c>
      <c r="K924" s="2314">
        <f>'Part VI-Revenues &amp; Expenses'!K181</f>
        <v>0</v>
      </c>
      <c r="L924" s="2314"/>
      <c r="N924" s="2340">
        <f>ROUND(P931/O805,0)</f>
        <v>250</v>
      </c>
      <c r="O924" s="2336" t="s">
        <v>2873</v>
      </c>
      <c r="R924" s="2341"/>
      <c r="U924" s="2176"/>
      <c r="V924" s="2176"/>
      <c r="W924" s="873"/>
      <c r="X924" s="873"/>
      <c r="Y924" s="873"/>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6840</v>
      </c>
      <c r="G925" s="2314"/>
      <c r="I925" s="2079" t="s">
        <v>2434</v>
      </c>
      <c r="J925" s="2205">
        <f>K925/12/O805</f>
        <v>6.083333333333333</v>
      </c>
      <c r="K925" s="2314">
        <f>'Part VI-Revenues &amp; Expenses'!K182</f>
        <v>5256</v>
      </c>
      <c r="L925" s="2314"/>
      <c r="N925" s="2341" t="s">
        <v>2820</v>
      </c>
      <c r="O925" s="2342" t="s">
        <v>3678</v>
      </c>
      <c r="P925" s="2342" t="s">
        <v>3679</v>
      </c>
      <c r="Q925" s="2342"/>
      <c r="U925" s="2176"/>
      <c r="V925" s="2176"/>
      <c r="W925" s="873"/>
      <c r="X925" s="873"/>
      <c r="Y925" s="873"/>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6336</v>
      </c>
      <c r="G926" s="2314"/>
      <c r="I926" s="2079" t="s">
        <v>1421</v>
      </c>
      <c r="K926" s="2314">
        <f>'Part VI-Revenues &amp; Expenses'!K183</f>
        <v>8640</v>
      </c>
      <c r="L926" s="2314"/>
      <c r="N926" s="2343" t="s">
        <v>41</v>
      </c>
      <c r="U926" s="2176"/>
      <c r="V926" s="2176"/>
      <c r="W926" s="873"/>
      <c r="X926" s="873"/>
      <c r="Y926" s="873"/>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8280</v>
      </c>
      <c r="G927" s="2314"/>
      <c r="I927" s="2332" t="str">
        <f>'Part VI-Revenues &amp; Expenses'!I184</f>
        <v>Other (Cable/Internet)</v>
      </c>
      <c r="J927" s="2332"/>
      <c r="K927" s="2314">
        <f>'Part VI-Revenues &amp; Expenses'!K184</f>
        <v>1512</v>
      </c>
      <c r="L927" s="2314"/>
      <c r="N927" s="2074" t="s">
        <v>3670</v>
      </c>
      <c r="O927" s="2344" t="str">
        <f>CONCATENATE(SUM(JC791:JG791)," units x $",'DCA Underwriting Assumptions'!$Q$62," =")</f>
        <v>0 units x $350 =</v>
      </c>
      <c r="P927" s="2344">
        <f>SUM(JC791:JG791)*'DCA Underwriting Assumptions'!$Q$62</f>
        <v>0</v>
      </c>
      <c r="Q927" s="2344"/>
      <c r="U927" s="2176"/>
      <c r="V927" s="2176"/>
      <c r="W927" s="873"/>
      <c r="X927" s="873"/>
      <c r="Y927" s="873"/>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21708</v>
      </c>
      <c r="L928" s="2326"/>
      <c r="N928" s="2074" t="s">
        <v>3669</v>
      </c>
      <c r="O928" s="2344" t="str">
        <f>CONCATENATE(SUM(JH791:JL791)," units x $",'DCA Underwriting Assumptions'!$Q$63," =")</f>
        <v>72 units x $250 =</v>
      </c>
      <c r="P928" s="2344">
        <f>SUM(JH791:JL791)*'DCA Underwriting Assumptions'!$Q$63</f>
        <v>18000</v>
      </c>
      <c r="Q928" s="2344"/>
      <c r="U928" s="2176"/>
      <c r="V928" s="2176"/>
      <c r="W928" s="873"/>
      <c r="X928" s="873"/>
      <c r="Y928" s="873"/>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0</v>
      </c>
      <c r="G929" s="2314"/>
      <c r="J929" s="2302"/>
      <c r="N929" s="2219" t="s">
        <v>3673</v>
      </c>
      <c r="O929" s="2344" t="str">
        <f>CONCATENATE(SUM(JM791:JQ791)," units x $",'DCA Underwriting Assumptions'!$Q$64," =")</f>
        <v>0 units x $420 =</v>
      </c>
      <c r="P929" s="2344">
        <f>SUM(JM791:JQ791)*'DCA Underwriting Assumptions'!$Q$64</f>
        <v>0</v>
      </c>
      <c r="Q929" s="2344"/>
      <c r="U929" s="2176"/>
      <c r="V929" s="2176"/>
      <c r="W929" s="873"/>
      <c r="X929" s="873"/>
      <c r="Y929" s="873"/>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5" t="str">
        <f>'Part VI-Revenues &amp; Expenses'!B187</f>
        <v>Other-Unit/CB Cleaning</v>
      </c>
      <c r="C930" s="515"/>
      <c r="D930" s="515"/>
      <c r="E930" s="515"/>
      <c r="F930" s="2314">
        <f>'Part VI-Revenues &amp; Expenses'!F187</f>
        <v>12240</v>
      </c>
      <c r="G930" s="2314"/>
      <c r="J930" s="2302"/>
      <c r="N930" s="2219" t="s">
        <v>3668</v>
      </c>
      <c r="O930" s="2344" t="str">
        <f>CONCATENATE(O827," units x $",'DCA Underwriting Assumptions'!$Q$64," =")</f>
        <v>0 units x $420 =</v>
      </c>
      <c r="P930" s="2344">
        <f>O827*'DCA Underwriting Assumptions'!$Q$64</f>
        <v>0</v>
      </c>
      <c r="Q930" s="2344"/>
      <c r="U930" s="2176"/>
      <c r="V930" s="2176"/>
      <c r="W930" s="873"/>
      <c r="X930" s="873"/>
      <c r="Y930" s="873"/>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39096</v>
      </c>
      <c r="G931" s="2314"/>
      <c r="J931" s="2302"/>
      <c r="N931" s="2345" t="s">
        <v>2823</v>
      </c>
      <c r="O931" s="2344">
        <f>SUM(JC791:JG791)+SUM(JH791:JL791)+SUM(JM791:JQ791)+O827</f>
        <v>72</v>
      </c>
      <c r="P931" s="2344">
        <f>SUM(P927:P930)</f>
        <v>18000</v>
      </c>
      <c r="Q931" s="2344"/>
      <c r="U931" s="2176"/>
      <c r="V931" s="2176"/>
      <c r="W931" s="873"/>
      <c r="X931" s="873"/>
      <c r="Y931" s="873"/>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3"/>
      <c r="X932" s="873"/>
      <c r="Y932" s="873"/>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308209</v>
      </c>
      <c r="Q933" s="2326"/>
      <c r="W933" s="873"/>
      <c r="X933" s="873"/>
      <c r="Y933" s="873"/>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Please Note: Taxes and Insurance methodology is located in Tab 1: Feasibility.</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2016-010 The Preserve at Newport, ,  County</v>
      </c>
      <c r="B942" s="2251"/>
      <c r="C942" s="2251"/>
      <c r="D942" s="2251"/>
      <c r="E942" s="2251"/>
      <c r="F942" s="2251"/>
      <c r="G942" s="2251"/>
      <c r="H942" s="2251"/>
      <c r="I942" s="2251"/>
      <c r="J942" s="2251"/>
      <c r="K942" s="2251"/>
      <c r="L942" s="2078"/>
      <c r="M942" s="2078" t="str">
        <f>A942</f>
        <v>DRAFT PART SEVEN - OPERATING PRO FORMA  -  2016-010 The Preserve at Newport,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4446</v>
      </c>
      <c r="M944" s="2250" t="str">
        <f>A944</f>
        <v>I.  OPERATING ASSUMPTIONS</v>
      </c>
      <c r="N944" s="2254"/>
    </row>
    <row r="946" spans="1:14" ht="12.75" customHeight="1">
      <c r="A946" s="873" t="s">
        <v>2267</v>
      </c>
      <c r="B946" s="2347">
        <v>0.02</v>
      </c>
      <c r="D946" s="2176" t="s">
        <v>4447</v>
      </c>
      <c r="E946" s="2176"/>
      <c r="F946" s="2176"/>
      <c r="G946" s="2348">
        <f>'Part VII-Pro Forma'!G5</f>
        <v>3000</v>
      </c>
      <c r="H946" s="2310" t="s">
        <v>1981</v>
      </c>
      <c r="K946" s="2349" t="str">
        <f>IF(($B$14+$B$15+$B$16+$B$17)=0,"",B969/($B$14+$B$15+$B$16+$B$17))</f>
        <v/>
      </c>
      <c r="M946" s="2176">
        <f>'Part VII-Pro Forma'!M5</f>
        <v>0</v>
      </c>
      <c r="N946" s="2176"/>
    </row>
    <row r="947" spans="1:14">
      <c r="A947" s="873" t="s">
        <v>2268</v>
      </c>
      <c r="B947" s="2347">
        <v>0.03</v>
      </c>
      <c r="D947" s="2176"/>
      <c r="E947" s="2176"/>
      <c r="F947" s="2176"/>
      <c r="M947" s="2176"/>
      <c r="N947" s="2176"/>
    </row>
    <row r="948" spans="1:14">
      <c r="A948" s="873" t="s">
        <v>2270</v>
      </c>
      <c r="B948" s="2347">
        <v>0.03</v>
      </c>
      <c r="D948" s="2079" t="s">
        <v>282</v>
      </c>
      <c r="G948" s="2350"/>
      <c r="H948" s="2310" t="s">
        <v>2459</v>
      </c>
      <c r="K948" s="2349" t="str">
        <f>IF(($B$14+$B$15+$B$16+$B$17)=0,"",-B961/($B$14+$B$15+$B$16+$B$17))</f>
        <v/>
      </c>
      <c r="M948" s="2176"/>
      <c r="N948" s="2176"/>
    </row>
    <row r="949" spans="1:14">
      <c r="A949" s="873" t="s">
        <v>2269</v>
      </c>
      <c r="B949" s="2347">
        <f>'Part VII-Pro Forma'!B8</f>
        <v>7.0000000000000007E-2</v>
      </c>
      <c r="D949" s="2079" t="s">
        <v>2595</v>
      </c>
      <c r="G949" s="2351">
        <f>'Part VII-Pro Forma'!G8</f>
        <v>0</v>
      </c>
      <c r="H949" s="2352" t="s">
        <v>1500</v>
      </c>
      <c r="K949" s="2353">
        <f>'Part VII-Pro Forma'!K8</f>
        <v>0</v>
      </c>
      <c r="M949" s="2176"/>
      <c r="N949" s="2176"/>
    </row>
    <row r="950" spans="1:14">
      <c r="A950" s="873" t="s">
        <v>1472</v>
      </c>
      <c r="B950" s="2347">
        <v>0.02</v>
      </c>
      <c r="D950" s="2079" t="s">
        <v>1784</v>
      </c>
      <c r="G950" s="2351" t="str">
        <f>'Part VII-Pro Forma'!G9</f>
        <v>Yes</v>
      </c>
      <c r="H950" s="2352" t="s">
        <v>2439</v>
      </c>
      <c r="K950" s="2354">
        <f>'Part VII-Pro Forma'!K9</f>
        <v>0.09</v>
      </c>
      <c r="M950" s="2176"/>
      <c r="N950" s="2176"/>
    </row>
    <row r="952" spans="1:14">
      <c r="A952" s="2250" t="s">
        <v>93</v>
      </c>
      <c r="M952" s="2250" t="str">
        <f>A952</f>
        <v>II.  OPERATING PRO FORMA</v>
      </c>
    </row>
    <row r="954" spans="1:14">
      <c r="A954" s="2250" t="s">
        <v>2566</v>
      </c>
      <c r="B954" s="2250">
        <v>1</v>
      </c>
      <c r="C954" s="2250">
        <f t="shared" ref="C954:K954" si="278">B954+1</f>
        <v>2</v>
      </c>
      <c r="D954" s="2250">
        <f t="shared" si="278"/>
        <v>3</v>
      </c>
      <c r="E954" s="2250">
        <f t="shared" si="278"/>
        <v>4</v>
      </c>
      <c r="F954" s="2250">
        <f t="shared" si="278"/>
        <v>5</v>
      </c>
      <c r="G954" s="2250">
        <f t="shared" si="278"/>
        <v>6</v>
      </c>
      <c r="H954" s="2250">
        <f t="shared" si="278"/>
        <v>7</v>
      </c>
      <c r="I954" s="2250">
        <f t="shared" si="278"/>
        <v>8</v>
      </c>
      <c r="J954" s="2250">
        <f t="shared" si="278"/>
        <v>9</v>
      </c>
      <c r="K954" s="2250">
        <f t="shared" si="278"/>
        <v>10</v>
      </c>
      <c r="M954" s="2254" t="s">
        <v>2712</v>
      </c>
      <c r="N954" s="2254"/>
    </row>
    <row r="955" spans="1:14">
      <c r="A955" s="873" t="s">
        <v>2489</v>
      </c>
      <c r="B955" s="2355">
        <f>'Part VII-Pro Forma'!B14</f>
        <v>466848</v>
      </c>
      <c r="C955" s="2355">
        <f>'Part VII-Pro Forma'!C14</f>
        <v>476184.96</v>
      </c>
      <c r="D955" s="2355">
        <f>'Part VII-Pro Forma'!D14</f>
        <v>485708.65919999999</v>
      </c>
      <c r="E955" s="2355">
        <f>'Part VII-Pro Forma'!E14</f>
        <v>495422.83238399995</v>
      </c>
      <c r="F955" s="2355">
        <f>'Part VII-Pro Forma'!F14</f>
        <v>505331.28903167997</v>
      </c>
      <c r="G955" s="2355">
        <f>'Part VII-Pro Forma'!G14</f>
        <v>515437.91481231363</v>
      </c>
      <c r="H955" s="2355">
        <f>'Part VII-Pro Forma'!H14</f>
        <v>525746.67310855992</v>
      </c>
      <c r="I955" s="2355">
        <f>'Part VII-Pro Forma'!I14</f>
        <v>536261.60657073103</v>
      </c>
      <c r="J955" s="2355">
        <f>'Part VII-Pro Forma'!J14</f>
        <v>546986.83870214561</v>
      </c>
      <c r="K955" s="2355">
        <f>'Part VII-Pro Forma'!K14</f>
        <v>557926.57547618856</v>
      </c>
      <c r="M955" s="2176">
        <f>'Part VII-Pro Forma'!M14</f>
        <v>0</v>
      </c>
      <c r="N955" s="2176"/>
    </row>
    <row r="956" spans="1:14">
      <c r="A956" s="873" t="s">
        <v>1053</v>
      </c>
      <c r="B956" s="2355">
        <f>'Part VII-Pro Forma'!B15</f>
        <v>9336.9600000000009</v>
      </c>
      <c r="C956" s="2355">
        <f>'Part VII-Pro Forma'!C15</f>
        <v>9523.6992000000009</v>
      </c>
      <c r="D956" s="2355">
        <f>'Part VII-Pro Forma'!D15</f>
        <v>9714.1731840000011</v>
      </c>
      <c r="E956" s="2355">
        <f>'Part VII-Pro Forma'!E15</f>
        <v>9908.456647680001</v>
      </c>
      <c r="F956" s="2355">
        <f>'Part VII-Pro Forma'!F15</f>
        <v>10106.625780633602</v>
      </c>
      <c r="G956" s="2355">
        <f>'Part VII-Pro Forma'!G15</f>
        <v>10308.758296246273</v>
      </c>
      <c r="H956" s="2355">
        <f>'Part VII-Pro Forma'!H15</f>
        <v>10514.933462171199</v>
      </c>
      <c r="I956" s="2355">
        <f>'Part VII-Pro Forma'!I15</f>
        <v>10725.232131414621</v>
      </c>
      <c r="J956" s="2355">
        <f>'Part VII-Pro Forma'!J15</f>
        <v>10939.736774042914</v>
      </c>
      <c r="K956" s="2355">
        <f>'Part VII-Pro Forma'!K15</f>
        <v>11158.531509523773</v>
      </c>
      <c r="M956" s="2176"/>
      <c r="N956" s="2176"/>
    </row>
    <row r="957" spans="1:14">
      <c r="A957" s="873" t="s">
        <v>2490</v>
      </c>
      <c r="B957" s="2355">
        <f>'Part VII-Pro Forma'!B16</f>
        <v>-33332.947200000002</v>
      </c>
      <c r="C957" s="2355">
        <f>'Part VII-Pro Forma'!C16</f>
        <v>-33999.606144000005</v>
      </c>
      <c r="D957" s="2355">
        <f>'Part VII-Pro Forma'!D16</f>
        <v>-34679.598266880006</v>
      </c>
      <c r="E957" s="2355">
        <f>'Part VII-Pro Forma'!E16</f>
        <v>-35373.190232217603</v>
      </c>
      <c r="F957" s="2355">
        <f>'Part VII-Pro Forma'!F16</f>
        <v>-36080.654036861954</v>
      </c>
      <c r="G957" s="2355">
        <f>'Part VII-Pro Forma'!G16</f>
        <v>-36802.2671175992</v>
      </c>
      <c r="H957" s="2355">
        <f>'Part VII-Pro Forma'!H16</f>
        <v>-37538.312459951187</v>
      </c>
      <c r="I957" s="2355">
        <f>'Part VII-Pro Forma'!I16</f>
        <v>-38289.078709150199</v>
      </c>
      <c r="J957" s="2355">
        <f>'Part VII-Pro Forma'!J16</f>
        <v>-39054.860283333204</v>
      </c>
      <c r="K957" s="2355">
        <f>'Part VII-Pro Forma'!K16</f>
        <v>-39835.957488999862</v>
      </c>
      <c r="M957" s="2176"/>
      <c r="N957" s="2176"/>
    </row>
    <row r="958" spans="1:14">
      <c r="A958" s="873"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3"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3" t="s">
        <v>638</v>
      </c>
      <c r="B960" s="2355">
        <f>'Part VII-Pro Forma'!B19</f>
        <v>-250352</v>
      </c>
      <c r="C960" s="2355">
        <f>'Part VII-Pro Forma'!C19</f>
        <v>-257862.56</v>
      </c>
      <c r="D960" s="2355">
        <f>'Part VII-Pro Forma'!D19</f>
        <v>-265598.43679999997</v>
      </c>
      <c r="E960" s="2355">
        <f>'Part VII-Pro Forma'!E19</f>
        <v>-273566.38990399998</v>
      </c>
      <c r="F960" s="2355">
        <f>'Part VII-Pro Forma'!F19</f>
        <v>-281773.38160112</v>
      </c>
      <c r="G960" s="2355">
        <f>'Part VII-Pro Forma'!G19</f>
        <v>-290226.58304915356</v>
      </c>
      <c r="H960" s="2355">
        <f>'Part VII-Pro Forma'!H19</f>
        <v>-298933.38054062816</v>
      </c>
      <c r="I960" s="2355">
        <f>'Part VII-Pro Forma'!I19</f>
        <v>-307901.38195684704</v>
      </c>
      <c r="J960" s="2355">
        <f>'Part VII-Pro Forma'!J19</f>
        <v>-317138.42341555242</v>
      </c>
      <c r="K960" s="2355">
        <f>'Part VII-Pro Forma'!K19</f>
        <v>-326652.576118019</v>
      </c>
      <c r="M960" s="2176"/>
      <c r="N960" s="2176"/>
    </row>
    <row r="961" spans="1:14">
      <c r="A961" s="873" t="s">
        <v>1153</v>
      </c>
      <c r="B961" s="2355">
        <f>'Part VII-Pro Forma'!B20</f>
        <v>-39857</v>
      </c>
      <c r="C961" s="2355">
        <f>'Part VII-Pro Forma'!C20</f>
        <v>-40654</v>
      </c>
      <c r="D961" s="2355">
        <f>'Part VII-Pro Forma'!D20</f>
        <v>-41467</v>
      </c>
      <c r="E961" s="2355">
        <f>'Part VII-Pro Forma'!E20</f>
        <v>-42296</v>
      </c>
      <c r="F961" s="2355">
        <f>'Part VII-Pro Forma'!F20</f>
        <v>-43142</v>
      </c>
      <c r="G961" s="2355">
        <f>'Part VII-Pro Forma'!G20</f>
        <v>-44005</v>
      </c>
      <c r="H961" s="2355">
        <f>'Part VII-Pro Forma'!H20</f>
        <v>-44885</v>
      </c>
      <c r="I961" s="2355">
        <f>'Part VII-Pro Forma'!I20</f>
        <v>-45783</v>
      </c>
      <c r="J961" s="2355">
        <f>'Part VII-Pro Forma'!J20</f>
        <v>-46698</v>
      </c>
      <c r="K961" s="2355">
        <f>'Part VII-Pro Forma'!K20</f>
        <v>-47632</v>
      </c>
      <c r="M961" s="2176"/>
      <c r="N961" s="2176"/>
    </row>
    <row r="962" spans="1:14">
      <c r="A962" s="873" t="s">
        <v>1247</v>
      </c>
      <c r="B962" s="2355">
        <f>'Part VII-Pro Forma'!B21</f>
        <v>-18000</v>
      </c>
      <c r="C962" s="2355">
        <f>'Part VII-Pro Forma'!C21</f>
        <v>-18540</v>
      </c>
      <c r="D962" s="2355">
        <f>'Part VII-Pro Forma'!D21</f>
        <v>-19096.2</v>
      </c>
      <c r="E962" s="2355">
        <f>'Part VII-Pro Forma'!E21</f>
        <v>-19669.085999999999</v>
      </c>
      <c r="F962" s="2355">
        <f>'Part VII-Pro Forma'!F21</f>
        <v>-20259.158579999999</v>
      </c>
      <c r="G962" s="2355">
        <f>'Part VII-Pro Forma'!G21</f>
        <v>-20866.933337399998</v>
      </c>
      <c r="H962" s="2355">
        <f>'Part VII-Pro Forma'!H21</f>
        <v>-21492.941337521999</v>
      </c>
      <c r="I962" s="2355">
        <f>'Part VII-Pro Forma'!I21</f>
        <v>-22137.72957764766</v>
      </c>
      <c r="J962" s="2355">
        <f>'Part VII-Pro Forma'!J21</f>
        <v>-22801.861464977086</v>
      </c>
      <c r="K962" s="2355">
        <f>'Part VII-Pro Forma'!K21</f>
        <v>-23485.9173089264</v>
      </c>
      <c r="M962" s="2176"/>
      <c r="N962" s="2176"/>
    </row>
    <row r="963" spans="1:14">
      <c r="A963" s="873" t="s">
        <v>1248</v>
      </c>
      <c r="B963" s="2355">
        <f>'Part VII-Pro Forma'!B22</f>
        <v>134643.01280000003</v>
      </c>
      <c r="C963" s="2355">
        <f>'Part VII-Pro Forma'!C22</f>
        <v>134652.49305599998</v>
      </c>
      <c r="D963" s="2355">
        <f>'Part VII-Pro Forma'!D22</f>
        <v>134581.59731712</v>
      </c>
      <c r="E963" s="2355">
        <f>'Part VII-Pro Forma'!E22</f>
        <v>134426.62289546238</v>
      </c>
      <c r="F963" s="2355">
        <f>'Part VII-Pro Forma'!F22</f>
        <v>134182.72059433162</v>
      </c>
      <c r="G963" s="2355">
        <f>'Part VII-Pro Forma'!G22</f>
        <v>133845.88960440716</v>
      </c>
      <c r="H963" s="2355">
        <f>'Part VII-Pro Forma'!H22</f>
        <v>133411.97223262978</v>
      </c>
      <c r="I963" s="2355">
        <f>'Part VII-Pro Forma'!I22</f>
        <v>132875.64845850071</v>
      </c>
      <c r="J963" s="2355">
        <f>'Part VII-Pro Forma'!J22</f>
        <v>132233.43031232583</v>
      </c>
      <c r="K963" s="2355">
        <f>'Part VII-Pro Forma'!K22</f>
        <v>131478.65606976708</v>
      </c>
      <c r="M963" s="2176"/>
      <c r="N963" s="2176"/>
    </row>
    <row r="964" spans="1:14">
      <c r="A964" s="873" t="s">
        <v>1648</v>
      </c>
      <c r="B964" s="2355">
        <f>'Part VII-Pro Forma'!B23</f>
        <v>-89781.287292572873</v>
      </c>
      <c r="C964" s="2355">
        <f>'Part VII-Pro Forma'!C23</f>
        <v>-89781.287292572873</v>
      </c>
      <c r="D964" s="2355">
        <f>'Part VII-Pro Forma'!D23</f>
        <v>-89781.287292572873</v>
      </c>
      <c r="E964" s="2355">
        <f>'Part VII-Pro Forma'!E23</f>
        <v>-89781.287292572873</v>
      </c>
      <c r="F964" s="2355">
        <f>'Part VII-Pro Forma'!F23</f>
        <v>-89781.287292572873</v>
      </c>
      <c r="G964" s="2355">
        <f>'Part VII-Pro Forma'!G23</f>
        <v>-89781.287292572873</v>
      </c>
      <c r="H964" s="2355">
        <f>'Part VII-Pro Forma'!H23</f>
        <v>-89781.287292572873</v>
      </c>
      <c r="I964" s="2355">
        <f>'Part VII-Pro Forma'!I23</f>
        <v>-89781.287292572873</v>
      </c>
      <c r="J964" s="2355">
        <f>'Part VII-Pro Forma'!J23</f>
        <v>-89781.287292572873</v>
      </c>
      <c r="K964" s="2355">
        <f>'Part VII-Pro Forma'!K23</f>
        <v>-89781.287292572873</v>
      </c>
      <c r="M964" s="2176"/>
      <c r="N964" s="2176"/>
    </row>
    <row r="965" spans="1:14">
      <c r="A965" s="873"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3"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3"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3"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3" t="s">
        <v>1206</v>
      </c>
      <c r="B969" s="2355">
        <f>'Part VII-Pro Forma'!B28</f>
        <v>-3000</v>
      </c>
      <c r="C969" s="2355">
        <f>'Part VII-Pro Forma'!C28</f>
        <v>-3000</v>
      </c>
      <c r="D969" s="2355">
        <f>'Part VII-Pro Forma'!D28</f>
        <v>-3000</v>
      </c>
      <c r="E969" s="2355">
        <f>'Part VII-Pro Forma'!E28</f>
        <v>-3000</v>
      </c>
      <c r="F969" s="2355">
        <f>'Part VII-Pro Forma'!F28</f>
        <v>-3000</v>
      </c>
      <c r="G969" s="2355">
        <f>'Part VII-Pro Forma'!G28</f>
        <v>-3000</v>
      </c>
      <c r="H969" s="2355">
        <f>'Part VII-Pro Forma'!H28</f>
        <v>-3000</v>
      </c>
      <c r="I969" s="2355">
        <f>'Part VII-Pro Forma'!I28</f>
        <v>-3000</v>
      </c>
      <c r="J969" s="2355">
        <f>'Part VII-Pro Forma'!J28</f>
        <v>-3000</v>
      </c>
      <c r="K969" s="2355">
        <f>'Part VII-Pro Forma'!K28</f>
        <v>-3000</v>
      </c>
      <c r="M969" s="2176"/>
      <c r="N969" s="2176"/>
    </row>
    <row r="970" spans="1:14">
      <c r="A970" s="873" t="s">
        <v>1249</v>
      </c>
      <c r="B970" s="2355">
        <f>'Part VII-Pro Forma'!B29</f>
        <v>0</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3" t="s">
        <v>1207</v>
      </c>
      <c r="B971" s="2355">
        <f>'Part VII-Pro Forma'!B30</f>
        <v>41861.725507427152</v>
      </c>
      <c r="C971" s="2355">
        <f>'Part VII-Pro Forma'!C30</f>
        <v>41871.205763427104</v>
      </c>
      <c r="D971" s="2355">
        <f>'Part VII-Pro Forma'!D30</f>
        <v>41800.310024547129</v>
      </c>
      <c r="E971" s="2355">
        <f>'Part VII-Pro Forma'!E30</f>
        <v>41645.335602889507</v>
      </c>
      <c r="F971" s="2355">
        <f>'Part VII-Pro Forma'!F30</f>
        <v>41401.433301758749</v>
      </c>
      <c r="G971" s="2355">
        <f>'Part VII-Pro Forma'!G30</f>
        <v>41064.602311834286</v>
      </c>
      <c r="H971" s="2355">
        <f>'Part VII-Pro Forma'!H30</f>
        <v>40630.684940056904</v>
      </c>
      <c r="I971" s="2355">
        <f>'Part VII-Pro Forma'!I30</f>
        <v>40094.361165927839</v>
      </c>
      <c r="J971" s="2355">
        <f>'Part VII-Pro Forma'!J30</f>
        <v>39452.143019752955</v>
      </c>
      <c r="K971" s="2355">
        <f>'Part VII-Pro Forma'!K30</f>
        <v>38697.368777194206</v>
      </c>
      <c r="M971" s="2176"/>
      <c r="N971" s="2176"/>
    </row>
    <row r="972" spans="1:14">
      <c r="A972" s="873" t="str">
        <f>IF('Part III-Sources of Funds'!$E$37 = "Neither", "", "DCR Mortgage A")</f>
        <v>DCR Mortgage A</v>
      </c>
      <c r="B972" s="2356">
        <f>IF(B964=0,"",-B963/B964)</f>
        <v>1.4996779046087294</v>
      </c>
      <c r="C972" s="2356">
        <f t="shared" ref="C972:K972" si="279">IF(C964=0,"",-C963/C964)</f>
        <v>1.4997834973918787</v>
      </c>
      <c r="D972" s="2356">
        <f t="shared" si="279"/>
        <v>1.4989938480003642</v>
      </c>
      <c r="E972" s="2356">
        <f t="shared" si="279"/>
        <v>1.4972677152356089</v>
      </c>
      <c r="F972" s="2356">
        <f t="shared" si="279"/>
        <v>1.4945510878794432</v>
      </c>
      <c r="G972" s="2356">
        <f t="shared" si="279"/>
        <v>1.490799404203681</v>
      </c>
      <c r="H972" s="2356">
        <f t="shared" si="279"/>
        <v>1.4859663550810576</v>
      </c>
      <c r="I972" s="2356">
        <f t="shared" si="279"/>
        <v>1.4799926851738603</v>
      </c>
      <c r="J972" s="2356">
        <f t="shared" si="279"/>
        <v>1.4728395448531824</v>
      </c>
      <c r="K972" s="2356">
        <f t="shared" si="279"/>
        <v>1.4644327346445121</v>
      </c>
      <c r="M972" s="2176"/>
      <c r="N972" s="2176"/>
    </row>
    <row r="973" spans="1:14">
      <c r="A973" s="873" t="str">
        <f>IF('Part III-Sources of Funds'!$E$37 = "Neither", "", "DCR Mortgage B")</f>
        <v>DCR Mortgage B</v>
      </c>
      <c r="B973" s="2356" t="str">
        <f>IF(B965=0,"",-(B963+B964)/B965)</f>
        <v/>
      </c>
      <c r="C973" s="2356" t="str">
        <f t="shared" ref="C973:K973" si="280">IF(C965=0,"",-(C963+C964)/C965)</f>
        <v/>
      </c>
      <c r="D973" s="2356" t="str">
        <f t="shared" si="280"/>
        <v/>
      </c>
      <c r="E973" s="2356" t="str">
        <f t="shared" si="280"/>
        <v/>
      </c>
      <c r="F973" s="2356" t="str">
        <f t="shared" si="280"/>
        <v/>
      </c>
      <c r="G973" s="2356" t="str">
        <f t="shared" si="280"/>
        <v/>
      </c>
      <c r="H973" s="2356" t="str">
        <f t="shared" si="280"/>
        <v/>
      </c>
      <c r="I973" s="2356" t="str">
        <f t="shared" si="280"/>
        <v/>
      </c>
      <c r="J973" s="2356" t="str">
        <f t="shared" si="280"/>
        <v/>
      </c>
      <c r="K973" s="2356" t="str">
        <f t="shared" si="280"/>
        <v/>
      </c>
      <c r="M973" s="2176"/>
      <c r="N973" s="2176"/>
    </row>
    <row r="974" spans="1:14">
      <c r="A974" s="873" t="str">
        <f>IF('Part III-Sources of Funds'!$E$37 = "Neither", "DCR First Mortgage", "DCR Mortgage C")</f>
        <v>DCR Mortgage C</v>
      </c>
      <c r="B974" s="2356" t="str">
        <f>IF(B966=0,"",-(B963+B964+B965)/B966)</f>
        <v/>
      </c>
      <c r="C974" s="2356" t="str">
        <f t="shared" ref="C974:K974" si="281">IF(C966=0,"",-(C963+C964+C965)/C966)</f>
        <v/>
      </c>
      <c r="D974" s="2356" t="str">
        <f t="shared" si="281"/>
        <v/>
      </c>
      <c r="E974" s="2356" t="str">
        <f t="shared" si="281"/>
        <v/>
      </c>
      <c r="F974" s="2356" t="str">
        <f t="shared" si="281"/>
        <v/>
      </c>
      <c r="G974" s="2356" t="str">
        <f t="shared" si="281"/>
        <v/>
      </c>
      <c r="H974" s="2356" t="str">
        <f t="shared" si="281"/>
        <v/>
      </c>
      <c r="I974" s="2356" t="str">
        <f t="shared" si="281"/>
        <v/>
      </c>
      <c r="J974" s="2356" t="str">
        <f t="shared" si="281"/>
        <v/>
      </c>
      <c r="K974" s="2356" t="str">
        <f t="shared" si="281"/>
        <v/>
      </c>
      <c r="M974" s="2176"/>
      <c r="N974" s="2176"/>
    </row>
    <row r="975" spans="1:14">
      <c r="A975" s="873" t="s">
        <v>815</v>
      </c>
      <c r="B975" s="2356" t="str">
        <f>IF(B967=0,"",-(B963+B964+B965+B966)/B967)</f>
        <v/>
      </c>
      <c r="C975" s="2356" t="str">
        <f t="shared" ref="C975:K975" si="282">IF(C967=0,"",-(C963+C964+C965+C966)/C967)</f>
        <v/>
      </c>
      <c r="D975" s="2356" t="str">
        <f t="shared" si="282"/>
        <v/>
      </c>
      <c r="E975" s="2356" t="str">
        <f t="shared" si="282"/>
        <v/>
      </c>
      <c r="F975" s="2356" t="str">
        <f t="shared" si="282"/>
        <v/>
      </c>
      <c r="G975" s="2356" t="str">
        <f t="shared" si="282"/>
        <v/>
      </c>
      <c r="H975" s="2356" t="str">
        <f t="shared" si="282"/>
        <v/>
      </c>
      <c r="I975" s="2356" t="str">
        <f t="shared" si="282"/>
        <v/>
      </c>
      <c r="J975" s="2356" t="str">
        <f t="shared" si="282"/>
        <v/>
      </c>
      <c r="K975" s="2356" t="str">
        <f t="shared" si="282"/>
        <v/>
      </c>
      <c r="M975" s="2176"/>
      <c r="N975" s="2176"/>
    </row>
    <row r="976" spans="1:14">
      <c r="A976" s="2357" t="s">
        <v>4190</v>
      </c>
      <c r="B976" s="2356">
        <f>IF(AND(B964=0,B965=0,B966=0,B967=0),"",-B963/(B964+B965+B966+B967))</f>
        <v>1.4996779046087294</v>
      </c>
      <c r="C976" s="2356">
        <f t="shared" ref="C976:K976" si="283">IF(AND(C964=0,C965=0,C966=0,C967=0),"",-C963/(C964+C965+C966+C967))</f>
        <v>1.4997834973918787</v>
      </c>
      <c r="D976" s="2356">
        <f t="shared" si="283"/>
        <v>1.4989938480003642</v>
      </c>
      <c r="E976" s="2356">
        <f t="shared" si="283"/>
        <v>1.4972677152356089</v>
      </c>
      <c r="F976" s="2356">
        <f t="shared" si="283"/>
        <v>1.4945510878794432</v>
      </c>
      <c r="G976" s="2356">
        <f t="shared" si="283"/>
        <v>1.490799404203681</v>
      </c>
      <c r="H976" s="2356">
        <f t="shared" si="283"/>
        <v>1.4859663550810576</v>
      </c>
      <c r="I976" s="2356">
        <f t="shared" si="283"/>
        <v>1.4799926851738603</v>
      </c>
      <c r="J976" s="2356">
        <f t="shared" si="283"/>
        <v>1.4728395448531824</v>
      </c>
      <c r="K976" s="2356">
        <f t="shared" si="283"/>
        <v>1.4644327346445121</v>
      </c>
      <c r="M976" s="2176"/>
      <c r="N976" s="2176"/>
    </row>
    <row r="977" spans="1:14">
      <c r="A977" s="873" t="s">
        <v>801</v>
      </c>
      <c r="B977" s="2358">
        <f>IF(OR(B961="Choose mgt fee",B961="Choose One!"),"",(B955+B956+B957+B958+B959) / -(B960+B961+B962))</f>
        <v>1.4368562008247652</v>
      </c>
      <c r="C977" s="2358">
        <f t="shared" ref="C977:K977" si="284">IF(OR(C961="Choose mgt fee",C961="Choose One!"),"",(C955+C956+C957+C958+C959) / -(C960+C961+C962))</f>
        <v>1.4246954961474381</v>
      </c>
      <c r="D977" s="2358">
        <f t="shared" si="284"/>
        <v>1.4126223998552119</v>
      </c>
      <c r="E977" s="2358">
        <f t="shared" si="284"/>
        <v>1.4006378910750048</v>
      </c>
      <c r="F977" s="2358">
        <f t="shared" si="284"/>
        <v>1.3887387538024192</v>
      </c>
      <c r="G977" s="2358">
        <f t="shared" si="284"/>
        <v>1.3769260738299032</v>
      </c>
      <c r="H977" s="2358">
        <f t="shared" si="284"/>
        <v>1.3652007595787832</v>
      </c>
      <c r="I977" s="2358">
        <f t="shared" si="284"/>
        <v>1.3535599539791974</v>
      </c>
      <c r="J977" s="2358">
        <f t="shared" si="284"/>
        <v>1.3420081132244461</v>
      </c>
      <c r="K977" s="2358">
        <f t="shared" si="284"/>
        <v>1.3305389872864324</v>
      </c>
      <c r="M977" s="2176"/>
      <c r="N977" s="2176"/>
    </row>
    <row r="978" spans="1:14">
      <c r="A978" s="873" t="s">
        <v>2705</v>
      </c>
      <c r="B978" s="2355">
        <f>'Part VII-Pro Forma'!B37</f>
        <v>1172463.5156049128</v>
      </c>
      <c r="C978" s="2355">
        <f>'Part VII-Pro Forma'!C37</f>
        <v>1094048.1081701349</v>
      </c>
      <c r="D978" s="2355">
        <f>'Part VII-Pro Forma'!D37</f>
        <v>1014844.942619315</v>
      </c>
      <c r="E978" s="2355">
        <f>'Part VII-Pro Forma'!E37</f>
        <v>934846.10516523069</v>
      </c>
      <c r="F978" s="2355">
        <f>'Part VII-Pro Forma'!F37</f>
        <v>854043.60251906281</v>
      </c>
      <c r="G978" s="2355">
        <f>'Part VII-Pro Forma'!G37</f>
        <v>772429.36109172518</v>
      </c>
      <c r="H978" s="2355">
        <f>'Part VII-Pro Forma'!H37</f>
        <v>689995.22618717165</v>
      </c>
      <c r="I978" s="2355">
        <f>'Part VII-Pro Forma'!I37</f>
        <v>606732.96118759841</v>
      </c>
      <c r="J978" s="2355">
        <f>'Part VII-Pro Forma'!J37</f>
        <v>522634.24673046137</v>
      </c>
      <c r="K978" s="2355">
        <f>'Part VII-Pro Forma'!K37</f>
        <v>437690.67987722578</v>
      </c>
      <c r="M978" s="2176"/>
      <c r="N978" s="2176"/>
    </row>
    <row r="979" spans="1:14">
      <c r="A979" s="873"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3"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3"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3" t="s">
        <v>1284</v>
      </c>
      <c r="B982" s="2355" t="str">
        <f>'Part VII-Pro Forma'!B41</f>
        <v/>
      </c>
      <c r="C982" s="2355" t="str">
        <f>'Part VII-Pro Forma'!C41</f>
        <v/>
      </c>
      <c r="D982" s="2355" t="str">
        <f>'Part VII-Pro Forma'!D41</f>
        <v/>
      </c>
      <c r="E982" s="2355" t="str">
        <f>'Part VII-Pro Forma'!E41</f>
        <v/>
      </c>
      <c r="F982" s="2355" t="str">
        <f>'Part VII-Pro Forma'!F41</f>
        <v/>
      </c>
      <c r="G982" s="2355" t="str">
        <f>'Part VII-Pro Forma'!G41</f>
        <v/>
      </c>
      <c r="H982" s="2355" t="str">
        <f>'Part VII-Pro Forma'!H41</f>
        <v/>
      </c>
      <c r="I982" s="2355" t="str">
        <f>'Part VII-Pro Forma'!I41</f>
        <v/>
      </c>
      <c r="J982" s="2355" t="str">
        <f>'Part VII-Pro Forma'!J41</f>
        <v/>
      </c>
      <c r="K982" s="2355" t="str">
        <f>'Part VII-Pro Forma'!K41</f>
        <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5">B984+1</f>
        <v>12</v>
      </c>
      <c r="D984" s="2359">
        <f t="shared" si="285"/>
        <v>13</v>
      </c>
      <c r="E984" s="2359">
        <f t="shared" si="285"/>
        <v>14</v>
      </c>
      <c r="F984" s="2359">
        <f t="shared" si="285"/>
        <v>15</v>
      </c>
      <c r="G984" s="2359">
        <f t="shared" si="285"/>
        <v>16</v>
      </c>
      <c r="H984" s="2359">
        <f t="shared" si="285"/>
        <v>17</v>
      </c>
      <c r="I984" s="2359">
        <f t="shared" si="285"/>
        <v>18</v>
      </c>
      <c r="J984" s="2359">
        <f t="shared" si="285"/>
        <v>19</v>
      </c>
      <c r="K984" s="2359">
        <f t="shared" si="285"/>
        <v>20</v>
      </c>
      <c r="M984" s="2254" t="s">
        <v>2710</v>
      </c>
      <c r="N984" s="2254"/>
    </row>
    <row r="985" spans="1:14">
      <c r="A985" s="873" t="s">
        <v>2489</v>
      </c>
      <c r="B985" s="2355">
        <f>'Part VII-Pro Forma'!B44</f>
        <v>569085.10698571231</v>
      </c>
      <c r="C985" s="2355">
        <f>'Part VII-Pro Forma'!C44</f>
        <v>580466.80912542646</v>
      </c>
      <c r="D985" s="2355">
        <f>'Part VII-Pro Forma'!D44</f>
        <v>592076.14530793508</v>
      </c>
      <c r="E985" s="2355">
        <f>'Part VII-Pro Forma'!E44</f>
        <v>603917.66821409378</v>
      </c>
      <c r="F985" s="2355">
        <f>'Part VII-Pro Forma'!F44</f>
        <v>615996.02157837572</v>
      </c>
      <c r="G985" s="2355">
        <f>'Part VII-Pro Forma'!G44</f>
        <v>628315.94200994307</v>
      </c>
      <c r="H985" s="2355">
        <f>'Part VII-Pro Forma'!H44</f>
        <v>640882.26085014211</v>
      </c>
      <c r="I985" s="2355">
        <f>'Part VII-Pro Forma'!I44</f>
        <v>653699.90606714494</v>
      </c>
      <c r="J985" s="2355">
        <f>'Part VII-Pro Forma'!J44</f>
        <v>666773.9041884878</v>
      </c>
      <c r="K985" s="2355">
        <f>'Part VII-Pro Forma'!K44</f>
        <v>680109.38227225747</v>
      </c>
      <c r="M985" s="2176">
        <f>'Part VII-Pro Forma'!M44</f>
        <v>0</v>
      </c>
      <c r="N985" s="2176"/>
    </row>
    <row r="986" spans="1:14">
      <c r="A986" s="873" t="s">
        <v>1053</v>
      </c>
      <c r="B986" s="2355">
        <f>'Part VII-Pro Forma'!B45</f>
        <v>11381.702139714249</v>
      </c>
      <c r="C986" s="2355">
        <f>'Part VII-Pro Forma'!C45</f>
        <v>11609.336182508532</v>
      </c>
      <c r="D986" s="2355">
        <f>'Part VII-Pro Forma'!D45</f>
        <v>11841.522906158703</v>
      </c>
      <c r="E986" s="2355">
        <f>'Part VII-Pro Forma'!E45</f>
        <v>12078.353364281877</v>
      </c>
      <c r="F986" s="2355">
        <f>'Part VII-Pro Forma'!F45</f>
        <v>12319.920431567516</v>
      </c>
      <c r="G986" s="2355">
        <f>'Part VII-Pro Forma'!G45</f>
        <v>12566.318840198863</v>
      </c>
      <c r="H986" s="2355">
        <f>'Part VII-Pro Forma'!H45</f>
        <v>12817.645217002842</v>
      </c>
      <c r="I986" s="2355">
        <f>'Part VII-Pro Forma'!I45</f>
        <v>13073.9981213429</v>
      </c>
      <c r="J986" s="2355">
        <f>'Part VII-Pro Forma'!J45</f>
        <v>13335.478083769756</v>
      </c>
      <c r="K986" s="2355">
        <f>'Part VII-Pro Forma'!K45</f>
        <v>13602.187645445152</v>
      </c>
      <c r="M986" s="2176"/>
      <c r="N986" s="2176"/>
    </row>
    <row r="987" spans="1:14">
      <c r="A987" s="873" t="s">
        <v>2490</v>
      </c>
      <c r="B987" s="2355">
        <f>'Part VII-Pro Forma'!B46</f>
        <v>-40632.676638779863</v>
      </c>
      <c r="C987" s="2355">
        <f>'Part VII-Pro Forma'!C46</f>
        <v>-41445.330171555448</v>
      </c>
      <c r="D987" s="2355">
        <f>'Part VII-Pro Forma'!D46</f>
        <v>-42274.236774986566</v>
      </c>
      <c r="E987" s="2355">
        <f>'Part VII-Pro Forma'!E46</f>
        <v>-43119.721510486299</v>
      </c>
      <c r="F987" s="2355">
        <f>'Part VII-Pro Forma'!F46</f>
        <v>-43982.115940696029</v>
      </c>
      <c r="G987" s="2355">
        <f>'Part VII-Pro Forma'!G46</f>
        <v>-44861.758259509945</v>
      </c>
      <c r="H987" s="2355">
        <f>'Part VII-Pro Forma'!H46</f>
        <v>-45758.993424700151</v>
      </c>
      <c r="I987" s="2355">
        <f>'Part VII-Pro Forma'!I46</f>
        <v>-46674.173293194151</v>
      </c>
      <c r="J987" s="2355">
        <f>'Part VII-Pro Forma'!J46</f>
        <v>-47607.656759058038</v>
      </c>
      <c r="K987" s="2355">
        <f>'Part VII-Pro Forma'!K46</f>
        <v>-48559.809894239188</v>
      </c>
      <c r="M987" s="2176"/>
      <c r="N987" s="2176"/>
    </row>
    <row r="988" spans="1:14">
      <c r="A988" s="873"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3"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3" t="s">
        <v>638</v>
      </c>
      <c r="B990" s="2355">
        <f>'Part VII-Pro Forma'!B49</f>
        <v>-336452.15340155957</v>
      </c>
      <c r="C990" s="2355">
        <f>'Part VII-Pro Forma'!C49</f>
        <v>-346545.71800360637</v>
      </c>
      <c r="D990" s="2355">
        <f>'Part VII-Pro Forma'!D49</f>
        <v>-356942.08954371454</v>
      </c>
      <c r="E990" s="2355">
        <f>'Part VII-Pro Forma'!E49</f>
        <v>-367650.35223002592</v>
      </c>
      <c r="F990" s="2355">
        <f>'Part VII-Pro Forma'!F49</f>
        <v>-378679.86279692675</v>
      </c>
      <c r="G990" s="2355">
        <f>'Part VII-Pro Forma'!G49</f>
        <v>-390040.25868083455</v>
      </c>
      <c r="H990" s="2355">
        <f>'Part VII-Pro Forma'!H49</f>
        <v>-401741.46644125954</v>
      </c>
      <c r="I990" s="2355">
        <f>'Part VII-Pro Forma'!I49</f>
        <v>-413793.71043449733</v>
      </c>
      <c r="J990" s="2355">
        <f>'Part VII-Pro Forma'!J49</f>
        <v>-426207.52174753224</v>
      </c>
      <c r="K990" s="2355">
        <f>'Part VII-Pro Forma'!K49</f>
        <v>-438993.7473999582</v>
      </c>
      <c r="M990" s="2176"/>
      <c r="N990" s="2176"/>
    </row>
    <row r="991" spans="1:14">
      <c r="A991" s="873" t="s">
        <v>1153</v>
      </c>
      <c r="B991" s="2355">
        <f>'Part VII-Pro Forma'!B50</f>
        <v>-48585</v>
      </c>
      <c r="C991" s="2355">
        <f>'Part VII-Pro Forma'!C50</f>
        <v>-49557</v>
      </c>
      <c r="D991" s="2355">
        <f>'Part VII-Pro Forma'!D50</f>
        <v>-50548</v>
      </c>
      <c r="E991" s="2355">
        <f>'Part VII-Pro Forma'!E50</f>
        <v>-51559</v>
      </c>
      <c r="F991" s="2355">
        <f>'Part VII-Pro Forma'!F50</f>
        <v>-52590</v>
      </c>
      <c r="G991" s="2355">
        <f>'Part VII-Pro Forma'!G50</f>
        <v>-53642</v>
      </c>
      <c r="H991" s="2355">
        <f>'Part VII-Pro Forma'!H50</f>
        <v>-54715</v>
      </c>
      <c r="I991" s="2355">
        <f>'Part VII-Pro Forma'!I50</f>
        <v>-55809</v>
      </c>
      <c r="J991" s="2355">
        <f>'Part VII-Pro Forma'!J50</f>
        <v>-56925</v>
      </c>
      <c r="K991" s="2355">
        <f>'Part VII-Pro Forma'!K50</f>
        <v>-58064</v>
      </c>
      <c r="M991" s="2176"/>
      <c r="N991" s="2176"/>
    </row>
    <row r="992" spans="1:14">
      <c r="A992" s="873" t="s">
        <v>1247</v>
      </c>
      <c r="B992" s="2355">
        <f>'Part VII-Pro Forma'!B51</f>
        <v>-24190.494828194191</v>
      </c>
      <c r="C992" s="2355">
        <f>'Part VII-Pro Forma'!C51</f>
        <v>-24916.209673040019</v>
      </c>
      <c r="D992" s="2355">
        <f>'Part VII-Pro Forma'!D51</f>
        <v>-25663.695963231214</v>
      </c>
      <c r="E992" s="2355">
        <f>'Part VII-Pro Forma'!E51</f>
        <v>-26433.606842128149</v>
      </c>
      <c r="F992" s="2355">
        <f>'Part VII-Pro Forma'!F51</f>
        <v>-27226.615047391999</v>
      </c>
      <c r="G992" s="2355">
        <f>'Part VII-Pro Forma'!G51</f>
        <v>-28043.413498813759</v>
      </c>
      <c r="H992" s="2355">
        <f>'Part VII-Pro Forma'!H51</f>
        <v>-28884.715903778168</v>
      </c>
      <c r="I992" s="2355">
        <f>'Part VII-Pro Forma'!I51</f>
        <v>-29751.257380891511</v>
      </c>
      <c r="J992" s="2355">
        <f>'Part VII-Pro Forma'!J51</f>
        <v>-30643.795102318258</v>
      </c>
      <c r="K992" s="2355">
        <f>'Part VII-Pro Forma'!K51</f>
        <v>-31563.108955387805</v>
      </c>
      <c r="M992" s="2176"/>
      <c r="N992" s="2176"/>
    </row>
    <row r="993" spans="1:14">
      <c r="A993" s="873" t="s">
        <v>1248</v>
      </c>
      <c r="B993" s="2355">
        <f>'Part VII-Pro Forma'!B52</f>
        <v>130606.484256893</v>
      </c>
      <c r="C993" s="2355">
        <f>'Part VII-Pro Forma'!C52</f>
        <v>129611.88745973317</v>
      </c>
      <c r="D993" s="2355">
        <f>'Part VII-Pro Forma'!D52</f>
        <v>128489.64593216142</v>
      </c>
      <c r="E993" s="2355">
        <f>'Part VII-Pro Forma'!E52</f>
        <v>127233.3409957352</v>
      </c>
      <c r="F993" s="2355">
        <f>'Part VII-Pro Forma'!F52</f>
        <v>125837.34822492846</v>
      </c>
      <c r="G993" s="2355">
        <f>'Part VII-Pro Forma'!G52</f>
        <v>124294.83041098376</v>
      </c>
      <c r="H993" s="2355">
        <f>'Part VII-Pro Forma'!H52</f>
        <v>122599.73029740712</v>
      </c>
      <c r="I993" s="2355">
        <f>'Part VII-Pro Forma'!I52</f>
        <v>120745.76307990481</v>
      </c>
      <c r="J993" s="2355">
        <f>'Part VII-Pro Forma'!J52</f>
        <v>118725.40866334908</v>
      </c>
      <c r="K993" s="2355">
        <f>'Part VII-Pro Forma'!K52</f>
        <v>116530.90366811739</v>
      </c>
      <c r="M993" s="2176"/>
      <c r="N993" s="2176"/>
    </row>
    <row r="994" spans="1:14">
      <c r="A994" s="873" t="str">
        <f>$A964</f>
        <v>Mortgage A</v>
      </c>
      <c r="B994" s="2355">
        <f>'Part VII-Pro Forma'!B53</f>
        <v>-89781.287292572873</v>
      </c>
      <c r="C994" s="2355">
        <f>'Part VII-Pro Forma'!C53</f>
        <v>-89781.287292572873</v>
      </c>
      <c r="D994" s="2355">
        <f>'Part VII-Pro Forma'!D53</f>
        <v>-89781.287292572873</v>
      </c>
      <c r="E994" s="2355">
        <f>'Part VII-Pro Forma'!E53</f>
        <v>-89781.287292572873</v>
      </c>
      <c r="F994" s="2355">
        <f>'Part VII-Pro Forma'!F53</f>
        <v>-89781.287292572873</v>
      </c>
      <c r="G994" s="2355">
        <f>'Part VII-Pro Forma'!G53</f>
        <v>0</v>
      </c>
      <c r="H994" s="2355">
        <f>'Part VII-Pro Forma'!H53</f>
        <v>0</v>
      </c>
      <c r="I994" s="2355">
        <f>'Part VII-Pro Forma'!I53</f>
        <v>0</v>
      </c>
      <c r="J994" s="2355">
        <f>'Part VII-Pro Forma'!J53</f>
        <v>0</v>
      </c>
      <c r="K994" s="2355">
        <f>'Part VII-Pro Forma'!K53</f>
        <v>0</v>
      </c>
      <c r="M994" s="2176"/>
      <c r="N994" s="2176"/>
    </row>
    <row r="995" spans="1:14">
      <c r="A995" s="873"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3"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3"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3"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3" t="s">
        <v>1206</v>
      </c>
      <c r="B999" s="2355">
        <f>'Part VII-Pro Forma'!B58</f>
        <v>-3000</v>
      </c>
      <c r="C999" s="2355">
        <f>'Part VII-Pro Forma'!C58</f>
        <v>-3000</v>
      </c>
      <c r="D999" s="2355">
        <f>'Part VII-Pro Forma'!D58</f>
        <v>-3000</v>
      </c>
      <c r="E999" s="2355">
        <f>'Part VII-Pro Forma'!E58</f>
        <v>-3000</v>
      </c>
      <c r="F999" s="2355">
        <f>'Part VII-Pro Forma'!F58</f>
        <v>-3000</v>
      </c>
      <c r="G999" s="2355">
        <f>'Part VII-Pro Forma'!G58</f>
        <v>-3000</v>
      </c>
      <c r="H999" s="2355">
        <f>'Part VII-Pro Forma'!H58</f>
        <v>-3000</v>
      </c>
      <c r="I999" s="2355">
        <f>'Part VII-Pro Forma'!I58</f>
        <v>-3000</v>
      </c>
      <c r="J999" s="2355">
        <f>'Part VII-Pro Forma'!J58</f>
        <v>-3000</v>
      </c>
      <c r="K999" s="2355">
        <f>'Part VII-Pro Forma'!K58</f>
        <v>-3000</v>
      </c>
      <c r="M999" s="2176"/>
      <c r="N999" s="2176"/>
    </row>
    <row r="1000" spans="1:14">
      <c r="A1000" s="873"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3" t="s">
        <v>1207</v>
      </c>
      <c r="B1001" s="2355">
        <f>'Part VII-Pro Forma'!B60</f>
        <v>37825.19696432013</v>
      </c>
      <c r="C1001" s="2355">
        <f>'Part VII-Pro Forma'!C60</f>
        <v>36830.600167160301</v>
      </c>
      <c r="D1001" s="2355">
        <f>'Part VII-Pro Forma'!D60</f>
        <v>35708.35863958855</v>
      </c>
      <c r="E1001" s="2355">
        <f>'Part VII-Pro Forma'!E60</f>
        <v>34452.053703162324</v>
      </c>
      <c r="F1001" s="2355">
        <f>'Part VII-Pro Forma'!F60</f>
        <v>33056.060932355584</v>
      </c>
      <c r="G1001" s="2355">
        <f>'Part VII-Pro Forma'!G60</f>
        <v>121294.83041098376</v>
      </c>
      <c r="H1001" s="2355">
        <f>'Part VII-Pro Forma'!H60</f>
        <v>119599.73029740712</v>
      </c>
      <c r="I1001" s="2355">
        <f>'Part VII-Pro Forma'!I60</f>
        <v>117745.76307990481</v>
      </c>
      <c r="J1001" s="2355">
        <f>'Part VII-Pro Forma'!J60</f>
        <v>115725.40866334908</v>
      </c>
      <c r="K1001" s="2355">
        <f>'Part VII-Pro Forma'!K60</f>
        <v>113530.90366811739</v>
      </c>
      <c r="M1001" s="2176"/>
      <c r="N1001" s="2176"/>
    </row>
    <row r="1002" spans="1:14">
      <c r="A1002" s="873" t="str">
        <f>$A972</f>
        <v>DCR Mortgage A</v>
      </c>
      <c r="B1002" s="2356">
        <f>IF(B994=0,"",-B993/B994)</f>
        <v>1.4547183293472044</v>
      </c>
      <c r="C1002" s="2356">
        <f t="shared" ref="C1002:K1002" si="286">IF(C994=0,"",-C993/C994)</f>
        <v>1.4436403327272773</v>
      </c>
      <c r="D1002" s="2356">
        <f t="shared" si="286"/>
        <v>1.4311406063208751</v>
      </c>
      <c r="E1002" s="2356">
        <f t="shared" si="286"/>
        <v>1.4171476577420441</v>
      </c>
      <c r="F1002" s="2356">
        <f t="shared" si="286"/>
        <v>1.4015988411355549</v>
      </c>
      <c r="G1002" s="2356" t="str">
        <f t="shared" si="286"/>
        <v/>
      </c>
      <c r="H1002" s="2356" t="str">
        <f t="shared" si="286"/>
        <v/>
      </c>
      <c r="I1002" s="2356" t="str">
        <f t="shared" si="286"/>
        <v/>
      </c>
      <c r="J1002" s="2356" t="str">
        <f t="shared" si="286"/>
        <v/>
      </c>
      <c r="K1002" s="2356" t="str">
        <f t="shared" si="286"/>
        <v/>
      </c>
      <c r="M1002" s="2176"/>
      <c r="N1002" s="2176"/>
    </row>
    <row r="1003" spans="1:14">
      <c r="A1003" s="873" t="str">
        <f>$A973</f>
        <v>DCR Mortgage B</v>
      </c>
      <c r="B1003" s="2356" t="str">
        <f>IF(B995=0,"",-(B993+B994)/B995)</f>
        <v/>
      </c>
      <c r="C1003" s="2356" t="str">
        <f t="shared" ref="C1003:K1003" si="287">IF(C995=0,"",-(C993+C994)/C995)</f>
        <v/>
      </c>
      <c r="D1003" s="2356" t="str">
        <f t="shared" si="287"/>
        <v/>
      </c>
      <c r="E1003" s="2356" t="str">
        <f t="shared" si="287"/>
        <v/>
      </c>
      <c r="F1003" s="2356" t="str">
        <f t="shared" si="287"/>
        <v/>
      </c>
      <c r="G1003" s="2356" t="str">
        <f t="shared" si="287"/>
        <v/>
      </c>
      <c r="H1003" s="2356" t="str">
        <f t="shared" si="287"/>
        <v/>
      </c>
      <c r="I1003" s="2356" t="str">
        <f t="shared" si="287"/>
        <v/>
      </c>
      <c r="J1003" s="2356" t="str">
        <f t="shared" si="287"/>
        <v/>
      </c>
      <c r="K1003" s="2356" t="str">
        <f t="shared" si="287"/>
        <v/>
      </c>
      <c r="M1003" s="2176"/>
      <c r="N1003" s="2176"/>
    </row>
    <row r="1004" spans="1:14">
      <c r="A1004" s="873" t="str">
        <f>$A974</f>
        <v>DCR Mortgage C</v>
      </c>
      <c r="B1004" s="2356" t="str">
        <f>IF(B996=0,"",-(B993+B994+B995)/B996)</f>
        <v/>
      </c>
      <c r="C1004" s="2356" t="str">
        <f t="shared" ref="C1004:K1004" si="288">IF(C996=0,"",-(C993+C994+C995)/C996)</f>
        <v/>
      </c>
      <c r="D1004" s="2356" t="str">
        <f t="shared" si="288"/>
        <v/>
      </c>
      <c r="E1004" s="2356" t="str">
        <f t="shared" si="288"/>
        <v/>
      </c>
      <c r="F1004" s="2356" t="str">
        <f t="shared" si="288"/>
        <v/>
      </c>
      <c r="G1004" s="2356" t="str">
        <f t="shared" si="288"/>
        <v/>
      </c>
      <c r="H1004" s="2356" t="str">
        <f t="shared" si="288"/>
        <v/>
      </c>
      <c r="I1004" s="2356" t="str">
        <f t="shared" si="288"/>
        <v/>
      </c>
      <c r="J1004" s="2356" t="str">
        <f t="shared" si="288"/>
        <v/>
      </c>
      <c r="K1004" s="2356" t="str">
        <f t="shared" si="288"/>
        <v/>
      </c>
      <c r="M1004" s="2176"/>
      <c r="N1004" s="2176"/>
    </row>
    <row r="1005" spans="1:14">
      <c r="A1005" s="873" t="str">
        <f>$A975</f>
        <v>DCR Other Source</v>
      </c>
      <c r="B1005" s="2356" t="str">
        <f>IF(B997=0,"",-(B993+B994+B995+B996)/B997)</f>
        <v/>
      </c>
      <c r="C1005" s="2356" t="str">
        <f t="shared" ref="C1005:K1005" si="289">IF(C997=0,"",-(C993+C994+C995+C996)/C997)</f>
        <v/>
      </c>
      <c r="D1005" s="2356" t="str">
        <f t="shared" si="289"/>
        <v/>
      </c>
      <c r="E1005" s="2356" t="str">
        <f t="shared" si="289"/>
        <v/>
      </c>
      <c r="F1005" s="2356" t="str">
        <f t="shared" si="289"/>
        <v/>
      </c>
      <c r="G1005" s="2356" t="str">
        <f t="shared" si="289"/>
        <v/>
      </c>
      <c r="H1005" s="2356" t="str">
        <f t="shared" si="289"/>
        <v/>
      </c>
      <c r="I1005" s="2356" t="str">
        <f t="shared" si="289"/>
        <v/>
      </c>
      <c r="J1005" s="2356" t="str">
        <f t="shared" si="289"/>
        <v/>
      </c>
      <c r="K1005" s="2356" t="str">
        <f t="shared" si="289"/>
        <v/>
      </c>
      <c r="M1005" s="2176"/>
      <c r="N1005" s="2176"/>
    </row>
    <row r="1006" spans="1:14">
      <c r="A1006" s="2357" t="s">
        <v>4190</v>
      </c>
      <c r="B1006" s="2356">
        <f>IF(AND(B994=0,B995=0,B996=0,B997=0),"",-B993/(B994+B995+B996+B997))</f>
        <v>1.4547183293472044</v>
      </c>
      <c r="C1006" s="2356">
        <f t="shared" ref="C1006:K1006" si="290">IF(AND(C994=0,C995=0,C996=0,C997=0),"",-C993/(C994+C995+C996+C997))</f>
        <v>1.4436403327272773</v>
      </c>
      <c r="D1006" s="2356">
        <f t="shared" si="290"/>
        <v>1.4311406063208751</v>
      </c>
      <c r="E1006" s="2356">
        <f t="shared" si="290"/>
        <v>1.4171476577420441</v>
      </c>
      <c r="F1006" s="2356">
        <f t="shared" si="290"/>
        <v>1.4015988411355549</v>
      </c>
      <c r="G1006" s="2356" t="str">
        <f t="shared" si="290"/>
        <v/>
      </c>
      <c r="H1006" s="2356" t="str">
        <f t="shared" si="290"/>
        <v/>
      </c>
      <c r="I1006" s="2356" t="str">
        <f t="shared" si="290"/>
        <v/>
      </c>
      <c r="J1006" s="2356" t="str">
        <f t="shared" si="290"/>
        <v/>
      </c>
      <c r="K1006" s="2356" t="str">
        <f t="shared" si="290"/>
        <v/>
      </c>
      <c r="M1006" s="2176"/>
      <c r="N1006" s="2176"/>
    </row>
    <row r="1007" spans="1:14">
      <c r="A1007" s="873" t="s">
        <v>801</v>
      </c>
      <c r="B1007" s="2358">
        <f>IF(OR(B991="Choose mgt fee",B991="Choose One!"),"",(B985+B986+B987+B988+B989) / -(B990+B991+B992))</f>
        <v>1.3191536173615674</v>
      </c>
      <c r="C1007" s="2358">
        <f t="shared" ref="C1007:K1007" si="291">IF(OR(C991="Choose mgt fee",C991="Choose One!"),"",(C985+C986+C987+C988+C989) / -(C990+C991+C992))</f>
        <v>1.3078528753445462</v>
      </c>
      <c r="D1007" s="2358">
        <f t="shared" si="291"/>
        <v>1.2966374766453497</v>
      </c>
      <c r="E1007" s="2358">
        <f t="shared" si="291"/>
        <v>1.2855051076328905</v>
      </c>
      <c r="F1007" s="2358">
        <f t="shared" si="291"/>
        <v>1.2744565210545766</v>
      </c>
      <c r="G1007" s="2358">
        <f t="shared" si="291"/>
        <v>1.2634896460832183</v>
      </c>
      <c r="H1007" s="2358">
        <f t="shared" si="291"/>
        <v>1.252605249167273</v>
      </c>
      <c r="I1007" s="2358">
        <f t="shared" si="291"/>
        <v>1.2418039524310829</v>
      </c>
      <c r="J1007" s="2358">
        <f t="shared" si="291"/>
        <v>1.2310838486898301</v>
      </c>
      <c r="K1007" s="2358">
        <f t="shared" si="291"/>
        <v>1.2204432577094229</v>
      </c>
      <c r="M1007" s="2176"/>
      <c r="N1007" s="2176"/>
    </row>
    <row r="1008" spans="1:14">
      <c r="A1008" s="873" t="s">
        <v>2705</v>
      </c>
      <c r="B1008" s="2355">
        <f>'Part VII-Pro Forma'!B67</f>
        <v>351893.77327376493</v>
      </c>
      <c r="C1008" s="2355">
        <f>'Part VII-Pro Forma'!C67</f>
        <v>265234.95430232462</v>
      </c>
      <c r="D1008" s="2355">
        <f>'Part VII-Pro Forma'!D67</f>
        <v>177705.56422496797</v>
      </c>
      <c r="E1008" s="2355">
        <f>'Part VII-Pro Forma'!E67</f>
        <v>89296.857318415423</v>
      </c>
      <c r="F1008" s="2355">
        <f>'Part VII-Pro Forma'!F67</f>
        <v>1.9345316104590893E-7</v>
      </c>
      <c r="G1008" s="2355">
        <f>'Part VII-Pro Forma'!G67</f>
        <v>1.9539658393527756E-7</v>
      </c>
      <c r="H1008" s="2355">
        <f>'Part VII-Pro Forma'!H67</f>
        <v>1.9735953037498006E-7</v>
      </c>
      <c r="I1008" s="2355">
        <f>'Part VII-Pro Forma'!I67</f>
        <v>1.9934219649783944E-7</v>
      </c>
      <c r="J1008" s="2355">
        <f>'Part VII-Pro Forma'!J67</f>
        <v>2.0134478040702141E-7</v>
      </c>
      <c r="K1008" s="2355">
        <f>'Part VII-Pro Forma'!K67</f>
        <v>2.033674821958283E-7</v>
      </c>
      <c r="M1008" s="2176"/>
      <c r="N1008" s="2176"/>
    </row>
    <row r="1009" spans="1:14">
      <c r="A1009" s="873"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3"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3"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3" t="s">
        <v>1284</v>
      </c>
      <c r="B1012" s="2355" t="str">
        <f>'Part VII-Pro Forma'!B71</f>
        <v/>
      </c>
      <c r="C1012" s="2355" t="str">
        <f>'Part VII-Pro Forma'!C71</f>
        <v/>
      </c>
      <c r="D1012" s="2355" t="str">
        <f>'Part VII-Pro Forma'!D71</f>
        <v/>
      </c>
      <c r="E1012" s="2355" t="str">
        <f>'Part VII-Pro Forma'!E71</f>
        <v/>
      </c>
      <c r="F1012" s="2355" t="str">
        <f>'Part VII-Pro Forma'!F71</f>
        <v/>
      </c>
      <c r="G1012" s="2355" t="str">
        <f>'Part VII-Pro Forma'!G71</f>
        <v/>
      </c>
      <c r="H1012" s="2355" t="str">
        <f>'Part VII-Pro Forma'!H71</f>
        <v/>
      </c>
      <c r="I1012" s="2355" t="str">
        <f>'Part VII-Pro Forma'!I71</f>
        <v/>
      </c>
      <c r="J1012" s="2355" t="str">
        <f>'Part VII-Pro Forma'!J71</f>
        <v/>
      </c>
      <c r="K1012" s="2355" t="str">
        <f>'Part VII-Pro Forma'!K71</f>
        <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2">B1014+1</f>
        <v>22</v>
      </c>
      <c r="D1014" s="2359">
        <f t="shared" si="292"/>
        <v>23</v>
      </c>
      <c r="E1014" s="2359">
        <f t="shared" si="292"/>
        <v>24</v>
      </c>
      <c r="F1014" s="2359">
        <f t="shared" si="292"/>
        <v>25</v>
      </c>
      <c r="G1014" s="2359">
        <f t="shared" si="292"/>
        <v>26</v>
      </c>
      <c r="H1014" s="2359">
        <f t="shared" si="292"/>
        <v>27</v>
      </c>
      <c r="I1014" s="2359">
        <f t="shared" si="292"/>
        <v>28</v>
      </c>
      <c r="J1014" s="2359">
        <f t="shared" si="292"/>
        <v>29</v>
      </c>
      <c r="K1014" s="2359">
        <f t="shared" si="292"/>
        <v>30</v>
      </c>
      <c r="M1014" s="2254" t="s">
        <v>2711</v>
      </c>
      <c r="N1014" s="2254"/>
    </row>
    <row r="1015" spans="1:14">
      <c r="A1015" s="873" t="s">
        <v>2489</v>
      </c>
      <c r="B1015" s="2355">
        <f>'Part VII-Pro Forma'!B74</f>
        <v>693711.5699177027</v>
      </c>
      <c r="C1015" s="2355">
        <f>'Part VII-Pro Forma'!C74</f>
        <v>707585.80131605675</v>
      </c>
      <c r="D1015" s="2355">
        <f>'Part VII-Pro Forma'!D74</f>
        <v>721737.51734237792</v>
      </c>
      <c r="E1015" s="2355">
        <f>'Part VII-Pro Forma'!E74</f>
        <v>736172.26768922526</v>
      </c>
      <c r="F1015" s="2355">
        <f>'Part VII-Pro Forma'!F74</f>
        <v>750895.71304300986</v>
      </c>
      <c r="G1015" s="2355">
        <f>'Part VII-Pro Forma'!G74</f>
        <v>765913.62730387005</v>
      </c>
      <c r="H1015" s="2355">
        <f>'Part VII-Pro Forma'!H74</f>
        <v>781231.89984994754</v>
      </c>
      <c r="I1015" s="2355">
        <f>'Part VII-Pro Forma'!I74</f>
        <v>796856.53784694639</v>
      </c>
      <c r="J1015" s="2355">
        <f>'Part VII-Pro Forma'!J74</f>
        <v>812793.66860388545</v>
      </c>
      <c r="K1015" s="2355">
        <f>'Part VII-Pro Forma'!K74</f>
        <v>829049.54197596305</v>
      </c>
      <c r="M1015" s="2176">
        <f>'Part VII-Pro Forma'!M74</f>
        <v>0</v>
      </c>
      <c r="N1015" s="2176"/>
    </row>
    <row r="1016" spans="1:14">
      <c r="A1016" s="873" t="s">
        <v>1053</v>
      </c>
      <c r="B1016" s="2355">
        <f>'Part VII-Pro Forma'!B75</f>
        <v>13874.231398354055</v>
      </c>
      <c r="C1016" s="2355">
        <f>'Part VII-Pro Forma'!C75</f>
        <v>14151.716026321135</v>
      </c>
      <c r="D1016" s="2355">
        <f>'Part VII-Pro Forma'!D75</f>
        <v>14434.750346847559</v>
      </c>
      <c r="E1016" s="2355">
        <f>'Part VII-Pro Forma'!E75</f>
        <v>14723.445353784507</v>
      </c>
      <c r="F1016" s="2355">
        <f>'Part VII-Pro Forma'!F75</f>
        <v>15017.914260860198</v>
      </c>
      <c r="G1016" s="2355">
        <f>'Part VII-Pro Forma'!G75</f>
        <v>15318.272546077404</v>
      </c>
      <c r="H1016" s="2355">
        <f>'Part VII-Pro Forma'!H75</f>
        <v>15624.637996998952</v>
      </c>
      <c r="I1016" s="2355">
        <f>'Part VII-Pro Forma'!I75</f>
        <v>15937.130756938928</v>
      </c>
      <c r="J1016" s="2355">
        <f>'Part VII-Pro Forma'!J75</f>
        <v>16255.873372077711</v>
      </c>
      <c r="K1016" s="2355">
        <f>'Part VII-Pro Forma'!K75</f>
        <v>16580.990839519261</v>
      </c>
      <c r="M1016" s="2176"/>
      <c r="N1016" s="2176"/>
    </row>
    <row r="1017" spans="1:14">
      <c r="A1017" s="873" t="s">
        <v>2490</v>
      </c>
      <c r="B1017" s="2355">
        <f>'Part VII-Pro Forma'!B76</f>
        <v>-49531.006092123978</v>
      </c>
      <c r="C1017" s="2355">
        <f>'Part VII-Pro Forma'!C76</f>
        <v>-50521.626213966461</v>
      </c>
      <c r="D1017" s="2355">
        <f>'Part VII-Pro Forma'!D76</f>
        <v>-51532.058738245789</v>
      </c>
      <c r="E1017" s="2355">
        <f>'Part VII-Pro Forma'!E76</f>
        <v>-52562.699913010685</v>
      </c>
      <c r="F1017" s="2355">
        <f>'Part VII-Pro Forma'!F76</f>
        <v>-53613.95391127091</v>
      </c>
      <c r="G1017" s="2355">
        <f>'Part VII-Pro Forma'!G76</f>
        <v>-54686.232989496326</v>
      </c>
      <c r="H1017" s="2355">
        <f>'Part VII-Pro Forma'!H76</f>
        <v>-55779.957649286262</v>
      </c>
      <c r="I1017" s="2355">
        <f>'Part VII-Pro Forma'!I76</f>
        <v>-56895.556802271982</v>
      </c>
      <c r="J1017" s="2355">
        <f>'Part VII-Pro Forma'!J76</f>
        <v>-58033.46793831743</v>
      </c>
      <c r="K1017" s="2355">
        <f>'Part VII-Pro Forma'!K76</f>
        <v>-59194.137297083769</v>
      </c>
      <c r="M1017" s="2176"/>
      <c r="N1017" s="2176"/>
    </row>
    <row r="1018" spans="1:14">
      <c r="A1018" s="873"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3"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3" t="s">
        <v>638</v>
      </c>
      <c r="B1020" s="2355">
        <f>'Part VII-Pro Forma'!B79</f>
        <v>-452163.55982195697</v>
      </c>
      <c r="C1020" s="2355">
        <f>'Part VII-Pro Forma'!C79</f>
        <v>-465728.46661661559</v>
      </c>
      <c r="D1020" s="2355">
        <f>'Part VII-Pro Forma'!D79</f>
        <v>-479700.32061511412</v>
      </c>
      <c r="E1020" s="2355">
        <f>'Part VII-Pro Forma'!E79</f>
        <v>-494091.33023356757</v>
      </c>
      <c r="F1020" s="2355">
        <f>'Part VII-Pro Forma'!F79</f>
        <v>-508914.07014057453</v>
      </c>
      <c r="G1020" s="2355">
        <f>'Part VII-Pro Forma'!G79</f>
        <v>-524181.49224479176</v>
      </c>
      <c r="H1020" s="2355">
        <f>'Part VII-Pro Forma'!H79</f>
        <v>-539906.93701213552</v>
      </c>
      <c r="I1020" s="2355">
        <f>'Part VII-Pro Forma'!I79</f>
        <v>-556104.14512249955</v>
      </c>
      <c r="J1020" s="2355">
        <f>'Part VII-Pro Forma'!J79</f>
        <v>-572787.26947617461</v>
      </c>
      <c r="K1020" s="2355">
        <f>'Part VII-Pro Forma'!K79</f>
        <v>-589970.88756045979</v>
      </c>
      <c r="M1020" s="2176"/>
      <c r="N1020" s="2176"/>
    </row>
    <row r="1021" spans="1:14">
      <c r="A1021" s="873" t="s">
        <v>1153</v>
      </c>
      <c r="B1021" s="2355">
        <f>'Part VII-Pro Forma'!B80</f>
        <v>-59225</v>
      </c>
      <c r="C1021" s="2355">
        <f>'Part VII-Pro Forma'!C80</f>
        <v>-60409</v>
      </c>
      <c r="D1021" s="2355">
        <f>'Part VII-Pro Forma'!D80</f>
        <v>-61618</v>
      </c>
      <c r="E1021" s="2355">
        <f>'Part VII-Pro Forma'!E80</f>
        <v>-62850</v>
      </c>
      <c r="F1021" s="2355">
        <f>'Part VII-Pro Forma'!F80</f>
        <v>-64107</v>
      </c>
      <c r="G1021" s="2355">
        <f>'Part VII-Pro Forma'!G80</f>
        <v>-65389</v>
      </c>
      <c r="H1021" s="2355">
        <f>'Part VII-Pro Forma'!H80</f>
        <v>-66697</v>
      </c>
      <c r="I1021" s="2355">
        <f>'Part VII-Pro Forma'!I80</f>
        <v>-68031</v>
      </c>
      <c r="J1021" s="2355">
        <f>'Part VII-Pro Forma'!J80</f>
        <v>-69391</v>
      </c>
      <c r="K1021" s="2355">
        <f>'Part VII-Pro Forma'!K80</f>
        <v>-70779</v>
      </c>
      <c r="M1021" s="2176"/>
      <c r="N1021" s="2176"/>
    </row>
    <row r="1022" spans="1:14">
      <c r="A1022" s="873" t="s">
        <v>1247</v>
      </c>
      <c r="B1022" s="2355">
        <f>'Part VII-Pro Forma'!B81</f>
        <v>-32510.00222404944</v>
      </c>
      <c r="C1022" s="2355">
        <f>'Part VII-Pro Forma'!C81</f>
        <v>-33485.302290770916</v>
      </c>
      <c r="D1022" s="2355">
        <f>'Part VII-Pro Forma'!D81</f>
        <v>-34489.861359494047</v>
      </c>
      <c r="E1022" s="2355">
        <f>'Part VII-Pro Forma'!E81</f>
        <v>-35524.557200278869</v>
      </c>
      <c r="F1022" s="2355">
        <f>'Part VII-Pro Forma'!F81</f>
        <v>-36590.293916287235</v>
      </c>
      <c r="G1022" s="2355">
        <f>'Part VII-Pro Forma'!G81</f>
        <v>-37688.002733775851</v>
      </c>
      <c r="H1022" s="2355">
        <f>'Part VII-Pro Forma'!H81</f>
        <v>-38818.642815789128</v>
      </c>
      <c r="I1022" s="2355">
        <f>'Part VII-Pro Forma'!I81</f>
        <v>-39983.202100262803</v>
      </c>
      <c r="J1022" s="2355">
        <f>'Part VII-Pro Forma'!J81</f>
        <v>-41182.698163270681</v>
      </c>
      <c r="K1022" s="2355">
        <f>'Part VII-Pro Forma'!K81</f>
        <v>-42418.179108168799</v>
      </c>
      <c r="M1022" s="2176"/>
      <c r="N1022" s="2176"/>
    </row>
    <row r="1023" spans="1:14">
      <c r="A1023" s="873" t="s">
        <v>1248</v>
      </c>
      <c r="B1023" s="2355">
        <f>'Part VII-Pro Forma'!B82</f>
        <v>114156.2331779263</v>
      </c>
      <c r="C1023" s="2355">
        <f>'Part VII-Pro Forma'!C82</f>
        <v>111593.122221025</v>
      </c>
      <c r="D1023" s="2355">
        <f>'Part VII-Pro Forma'!D82</f>
        <v>108832.02697637159</v>
      </c>
      <c r="E1023" s="2355">
        <f>'Part VII-Pro Forma'!E82</f>
        <v>105867.12569615261</v>
      </c>
      <c r="F1023" s="2355">
        <f>'Part VII-Pro Forma'!F82</f>
        <v>102688.30933573733</v>
      </c>
      <c r="G1023" s="2355">
        <f>'Part VII-Pro Forma'!G82</f>
        <v>99287.171881883492</v>
      </c>
      <c r="H1023" s="2355">
        <f>'Part VII-Pro Forma'!H82</f>
        <v>95654.000369735615</v>
      </c>
      <c r="I1023" s="2355">
        <f>'Part VII-Pro Forma'!I82</f>
        <v>91779.764578850998</v>
      </c>
      <c r="J1023" s="2355">
        <f>'Part VII-Pro Forma'!J82</f>
        <v>87655.106398200413</v>
      </c>
      <c r="K1023" s="2355">
        <f>'Part VII-Pro Forma'!K82</f>
        <v>83268.328849770027</v>
      </c>
      <c r="M1023" s="2176"/>
      <c r="N1023" s="2176"/>
    </row>
    <row r="1024" spans="1:14">
      <c r="A1024" s="873" t="str">
        <f>$A994</f>
        <v>Mortgage A</v>
      </c>
      <c r="B1024" s="2355">
        <f>'Part VII-Pro Forma'!B83</f>
        <v>0</v>
      </c>
      <c r="C1024" s="2355">
        <f>'Part VII-Pro Forma'!C83</f>
        <v>0</v>
      </c>
      <c r="D1024" s="2355">
        <f>'Part VII-Pro Forma'!D83</f>
        <v>0</v>
      </c>
      <c r="E1024" s="2355">
        <f>'Part VII-Pro Forma'!E83</f>
        <v>0</v>
      </c>
      <c r="F1024" s="2355">
        <f>'Part VII-Pro Forma'!F83</f>
        <v>0</v>
      </c>
      <c r="G1024" s="2355">
        <f>'Part VII-Pro Forma'!G83</f>
        <v>0</v>
      </c>
      <c r="H1024" s="2355">
        <f>'Part VII-Pro Forma'!H83</f>
        <v>0</v>
      </c>
      <c r="I1024" s="2355">
        <f>'Part VII-Pro Forma'!I83</f>
        <v>0</v>
      </c>
      <c r="J1024" s="2355">
        <f>'Part VII-Pro Forma'!J83</f>
        <v>0</v>
      </c>
      <c r="K1024" s="2355">
        <f>'Part VII-Pro Forma'!K83</f>
        <v>0</v>
      </c>
      <c r="M1024" s="2176"/>
      <c r="N1024" s="2176"/>
    </row>
    <row r="1025" spans="1:14">
      <c r="A1025" s="873"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3"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3"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3"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3" t="s">
        <v>1206</v>
      </c>
      <c r="B1029" s="2355">
        <f>'Part VII-Pro Forma'!B88</f>
        <v>-3000</v>
      </c>
      <c r="C1029" s="2355">
        <f>'Part VII-Pro Forma'!C88</f>
        <v>-3000</v>
      </c>
      <c r="D1029" s="2355">
        <f>'Part VII-Pro Forma'!D88</f>
        <v>-3000</v>
      </c>
      <c r="E1029" s="2355">
        <f>'Part VII-Pro Forma'!E88</f>
        <v>-3000</v>
      </c>
      <c r="F1029" s="2355">
        <f>'Part VII-Pro Forma'!F88</f>
        <v>-3000</v>
      </c>
      <c r="G1029" s="2355">
        <f>'Part VII-Pro Forma'!G88</f>
        <v>-3000</v>
      </c>
      <c r="H1029" s="2355">
        <f>'Part VII-Pro Forma'!H88</f>
        <v>-3000</v>
      </c>
      <c r="I1029" s="2355">
        <f>'Part VII-Pro Forma'!I88</f>
        <v>-3000</v>
      </c>
      <c r="J1029" s="2355">
        <f>'Part VII-Pro Forma'!J88</f>
        <v>-3000</v>
      </c>
      <c r="K1029" s="2355">
        <f>'Part VII-Pro Forma'!K88</f>
        <v>-3000</v>
      </c>
      <c r="M1029" s="2176"/>
      <c r="N1029" s="2176"/>
    </row>
    <row r="1030" spans="1:14">
      <c r="A1030" s="873"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3" t="s">
        <v>1207</v>
      </c>
      <c r="B1031" s="2355">
        <f>'Part VII-Pro Forma'!B90</f>
        <v>111156.2331779263</v>
      </c>
      <c r="C1031" s="2355">
        <f>'Part VII-Pro Forma'!C90</f>
        <v>108593.122221025</v>
      </c>
      <c r="D1031" s="2355">
        <f>'Part VII-Pro Forma'!D90</f>
        <v>105832.02697637159</v>
      </c>
      <c r="E1031" s="2355">
        <f>'Part VII-Pro Forma'!E90</f>
        <v>102867.12569615261</v>
      </c>
      <c r="F1031" s="2355">
        <f>'Part VII-Pro Forma'!F90</f>
        <v>99688.309335737329</v>
      </c>
      <c r="G1031" s="2355">
        <f>'Part VII-Pro Forma'!G90</f>
        <v>96287.171881883492</v>
      </c>
      <c r="H1031" s="2355">
        <f>'Part VII-Pro Forma'!H90</f>
        <v>92654.000369735615</v>
      </c>
      <c r="I1031" s="2355">
        <f>'Part VII-Pro Forma'!I90</f>
        <v>88779.764578850998</v>
      </c>
      <c r="J1031" s="2355">
        <f>'Part VII-Pro Forma'!J90</f>
        <v>84655.106398200413</v>
      </c>
      <c r="K1031" s="2355">
        <f>'Part VII-Pro Forma'!K90</f>
        <v>80268.328849770027</v>
      </c>
      <c r="M1031" s="2176"/>
      <c r="N1031" s="2176"/>
    </row>
    <row r="1032" spans="1:14">
      <c r="A1032" s="873" t="str">
        <f>$A1002</f>
        <v>DCR Mortgage A</v>
      </c>
      <c r="B1032" s="2356" t="str">
        <f>IF(B1024=0,"",-B1023/B1024)</f>
        <v/>
      </c>
      <c r="C1032" s="2356" t="str">
        <f t="shared" ref="C1032:K1032" si="293">IF(C1024=0,"",-C1023/C1024)</f>
        <v/>
      </c>
      <c r="D1032" s="2356" t="str">
        <f t="shared" si="293"/>
        <v/>
      </c>
      <c r="E1032" s="2356" t="str">
        <f t="shared" si="293"/>
        <v/>
      </c>
      <c r="F1032" s="2356" t="str">
        <f t="shared" si="293"/>
        <v/>
      </c>
      <c r="G1032" s="2356" t="str">
        <f t="shared" si="293"/>
        <v/>
      </c>
      <c r="H1032" s="2356" t="str">
        <f t="shared" si="293"/>
        <v/>
      </c>
      <c r="I1032" s="2356" t="str">
        <f t="shared" si="293"/>
        <v/>
      </c>
      <c r="J1032" s="2356" t="str">
        <f t="shared" si="293"/>
        <v/>
      </c>
      <c r="K1032" s="2356" t="str">
        <f t="shared" si="293"/>
        <v/>
      </c>
      <c r="M1032" s="2176"/>
      <c r="N1032" s="2176"/>
    </row>
    <row r="1033" spans="1:14">
      <c r="A1033" s="873" t="str">
        <f>$A1003</f>
        <v>DCR Mortgage B</v>
      </c>
      <c r="B1033" s="2356" t="str">
        <f>IF(B1025=0,"",-(B1023+B1024)/B1025)</f>
        <v/>
      </c>
      <c r="C1033" s="2356" t="str">
        <f t="shared" ref="C1033:K1033" si="294">IF(C1025=0,"",-(C1023+C1024)/C1025)</f>
        <v/>
      </c>
      <c r="D1033" s="2356" t="str">
        <f t="shared" si="294"/>
        <v/>
      </c>
      <c r="E1033" s="2356" t="str">
        <f t="shared" si="294"/>
        <v/>
      </c>
      <c r="F1033" s="2356" t="str">
        <f t="shared" si="294"/>
        <v/>
      </c>
      <c r="G1033" s="2356" t="str">
        <f t="shared" si="294"/>
        <v/>
      </c>
      <c r="H1033" s="2356" t="str">
        <f t="shared" si="294"/>
        <v/>
      </c>
      <c r="I1033" s="2356" t="str">
        <f t="shared" si="294"/>
        <v/>
      </c>
      <c r="J1033" s="2356" t="str">
        <f t="shared" si="294"/>
        <v/>
      </c>
      <c r="K1033" s="2356" t="str">
        <f t="shared" si="294"/>
        <v/>
      </c>
      <c r="M1033" s="2176"/>
      <c r="N1033" s="2176"/>
    </row>
    <row r="1034" spans="1:14">
      <c r="A1034" s="873" t="str">
        <f>$A1004</f>
        <v>DCR Mortgage C</v>
      </c>
      <c r="B1034" s="2356" t="str">
        <f>IF(B1026=0,"",-(B1023+B1024+B1025)/B1026)</f>
        <v/>
      </c>
      <c r="C1034" s="2356" t="str">
        <f t="shared" ref="C1034:K1034" si="295">IF(C1026=0,"",-(C1023+C1024+C1025)/C1026)</f>
        <v/>
      </c>
      <c r="D1034" s="2356" t="str">
        <f t="shared" si="295"/>
        <v/>
      </c>
      <c r="E1034" s="2356" t="str">
        <f t="shared" si="295"/>
        <v/>
      </c>
      <c r="F1034" s="2356" t="str">
        <f t="shared" si="295"/>
        <v/>
      </c>
      <c r="G1034" s="2356" t="str">
        <f t="shared" si="295"/>
        <v/>
      </c>
      <c r="H1034" s="2356" t="str">
        <f t="shared" si="295"/>
        <v/>
      </c>
      <c r="I1034" s="2356" t="str">
        <f t="shared" si="295"/>
        <v/>
      </c>
      <c r="J1034" s="2356" t="str">
        <f t="shared" si="295"/>
        <v/>
      </c>
      <c r="K1034" s="2356" t="str">
        <f t="shared" si="295"/>
        <v/>
      </c>
      <c r="M1034" s="2176"/>
      <c r="N1034" s="2176"/>
    </row>
    <row r="1035" spans="1:14">
      <c r="A1035" s="873" t="str">
        <f>$A1005</f>
        <v>DCR Other Source</v>
      </c>
      <c r="B1035" s="2356" t="str">
        <f>IF(B1027=0,"",-(B1023+B1024+B1025+B1026)/B1027)</f>
        <v/>
      </c>
      <c r="C1035" s="2356" t="str">
        <f t="shared" ref="C1035:K1035" si="296">IF(C1027=0,"",-(C1023+C1024+C1025+C1026)/C1027)</f>
        <v/>
      </c>
      <c r="D1035" s="2356" t="str">
        <f t="shared" si="296"/>
        <v/>
      </c>
      <c r="E1035" s="2356" t="str">
        <f t="shared" si="296"/>
        <v/>
      </c>
      <c r="F1035" s="2356" t="str">
        <f t="shared" si="296"/>
        <v/>
      </c>
      <c r="G1035" s="2356" t="str">
        <f t="shared" si="296"/>
        <v/>
      </c>
      <c r="H1035" s="2356" t="str">
        <f t="shared" si="296"/>
        <v/>
      </c>
      <c r="I1035" s="2356" t="str">
        <f t="shared" si="296"/>
        <v/>
      </c>
      <c r="J1035" s="2356" t="str">
        <f t="shared" si="296"/>
        <v/>
      </c>
      <c r="K1035" s="2356" t="str">
        <f t="shared" si="296"/>
        <v/>
      </c>
      <c r="M1035" s="2176"/>
      <c r="N1035" s="2176"/>
    </row>
    <row r="1036" spans="1:14">
      <c r="A1036" s="2357" t="s">
        <v>4190</v>
      </c>
      <c r="B1036" s="2356" t="str">
        <f>IF(AND(B1024=0,B1025=0,B1026=0,B1027=0),"",-B1023/(B1024+B1025+B1026+B1027))</f>
        <v/>
      </c>
      <c r="C1036" s="2356" t="str">
        <f t="shared" ref="C1036:K1036" si="297">IF(AND(C1024=0,C1025=0,C1026=0,C1027=0),"",-C1023/(C1024+C1025+C1026+C1027))</f>
        <v/>
      </c>
      <c r="D1036" s="2356" t="str">
        <f t="shared" si="297"/>
        <v/>
      </c>
      <c r="E1036" s="2356" t="str">
        <f t="shared" si="297"/>
        <v/>
      </c>
      <c r="F1036" s="2356" t="str">
        <f t="shared" si="297"/>
        <v/>
      </c>
      <c r="G1036" s="2356" t="str">
        <f t="shared" si="297"/>
        <v/>
      </c>
      <c r="H1036" s="2356" t="str">
        <f t="shared" si="297"/>
        <v/>
      </c>
      <c r="I1036" s="2356" t="str">
        <f t="shared" si="297"/>
        <v/>
      </c>
      <c r="J1036" s="2356" t="str">
        <f t="shared" si="297"/>
        <v/>
      </c>
      <c r="K1036" s="2356" t="str">
        <f t="shared" si="297"/>
        <v/>
      </c>
      <c r="M1036" s="2176"/>
      <c r="N1036" s="2176"/>
    </row>
    <row r="1037" spans="1:14">
      <c r="A1037" s="873" t="s">
        <v>801</v>
      </c>
      <c r="B1037" s="2358">
        <f>IF(OR(B1021="Choose mgt fee",B1021="Choose One!"),"",(B1015+B1016+B1017+B1018+B1019) / -(B1020+B1021+B1022))</f>
        <v>1.2098851534898345</v>
      </c>
      <c r="C1037" s="2358">
        <f t="shared" ref="C1037:K1037" si="298">IF(OR(C1021="Choose mgt fee",C1021="Choose One!"),"",(C1015+C1016+C1017+C1018+C1019) / -(C1020+C1021+C1022))</f>
        <v>1.1994077589782499</v>
      </c>
      <c r="D1037" s="2358">
        <f t="shared" si="298"/>
        <v>1.1890074340436705</v>
      </c>
      <c r="E1037" s="2358">
        <f t="shared" si="298"/>
        <v>1.1786889809887553</v>
      </c>
      <c r="F1037" s="2358">
        <f t="shared" si="298"/>
        <v>1.1684488108167206</v>
      </c>
      <c r="G1037" s="2358">
        <f t="shared" si="298"/>
        <v>1.1582874886138863</v>
      </c>
      <c r="H1037" s="2358">
        <f t="shared" si="298"/>
        <v>1.1482036782711225</v>
      </c>
      <c r="I1037" s="2358">
        <f t="shared" si="298"/>
        <v>1.1381979054827491</v>
      </c>
      <c r="J1037" s="2358">
        <f t="shared" si="298"/>
        <v>1.1282705781411397</v>
      </c>
      <c r="K1037" s="2358">
        <f t="shared" si="298"/>
        <v>1.1184188145008733</v>
      </c>
      <c r="M1037" s="2176"/>
      <c r="N1037" s="2176"/>
    </row>
    <row r="1038" spans="1:14">
      <c r="A1038" s="873" t="s">
        <v>2705</v>
      </c>
      <c r="B1038" s="2355">
        <f>'Part VII-Pro Forma'!B97</f>
        <v>2.0541050396769198E-7</v>
      </c>
      <c r="C1038" s="2355">
        <f>'Part VII-Pro Forma'!C97</f>
        <v>2.0747404985636745E-7</v>
      </c>
      <c r="D1038" s="2355">
        <f>'Part VII-Pro Forma'!D97</f>
        <v>2.0955832604632947E-7</v>
      </c>
      <c r="E1038" s="2355">
        <f>'Part VII-Pro Forma'!E97</f>
        <v>2.1166354079337392E-7</v>
      </c>
      <c r="F1038" s="2355">
        <f>'Part VII-Pro Forma'!F97</f>
        <v>2.1378990444542631E-7</v>
      </c>
      <c r="G1038" s="2355">
        <f>'Part VII-Pro Forma'!G97</f>
        <v>2.1593762946355912E-7</v>
      </c>
      <c r="H1038" s="2355">
        <f>'Part VII-Pro Forma'!H97</f>
        <v>2.1810693044322052E-7</v>
      </c>
      <c r="I1038" s="2355">
        <f>'Part VII-Pro Forma'!I97</f>
        <v>2.2029802413567614E-7</v>
      </c>
      <c r="J1038" s="2355">
        <f>'Part VII-Pro Forma'!J97</f>
        <v>2.2251112946966629E-7</v>
      </c>
      <c r="K1038" s="2355">
        <f>'Part VII-Pro Forma'!K97</f>
        <v>2.2474646757328092E-7</v>
      </c>
      <c r="M1038" s="2176"/>
      <c r="N1038" s="2176"/>
    </row>
    <row r="1039" spans="1:14">
      <c r="A1039" s="873"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3"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3"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3" t="s">
        <v>1284</v>
      </c>
      <c r="B1042" s="2355" t="str">
        <f>'Part VII-Pro Forma'!B101</f>
        <v/>
      </c>
      <c r="C1042" s="2355" t="str">
        <f>'Part VII-Pro Forma'!C101</f>
        <v/>
      </c>
      <c r="D1042" s="2355" t="str">
        <f>'Part VII-Pro Forma'!D101</f>
        <v/>
      </c>
      <c r="E1042" s="2355" t="str">
        <f>'Part VII-Pro Forma'!E101</f>
        <v/>
      </c>
      <c r="F1042" s="2355" t="str">
        <f>'Part VII-Pro Forma'!F101</f>
        <v/>
      </c>
      <c r="G1042" s="2355" t="str">
        <f>'Part VII-Pro Forma'!G101</f>
        <v/>
      </c>
      <c r="H1042" s="2355" t="str">
        <f>'Part VII-Pro Forma'!H101</f>
        <v/>
      </c>
      <c r="I1042" s="2355" t="str">
        <f>'Part VII-Pro Forma'!I101</f>
        <v/>
      </c>
      <c r="J1042" s="2355" t="str">
        <f>'Part VII-Pro Forma'!J101</f>
        <v/>
      </c>
      <c r="K1042" s="2355" t="str">
        <f>'Part VII-Pro Forma'!K101</f>
        <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4154</v>
      </c>
      <c r="N1044" s="2254"/>
    </row>
    <row r="1045" spans="1:14">
      <c r="A1045" s="873" t="s">
        <v>2489</v>
      </c>
      <c r="B1045" s="2355">
        <f>'Part VII-Pro Forma'!B104</f>
        <v>845630.53281548235</v>
      </c>
      <c r="C1045" s="2355">
        <f>'Part VII-Pro Forma'!C104</f>
        <v>862543.14347179176</v>
      </c>
      <c r="D1045" s="2355">
        <f>'Part VII-Pro Forma'!D104</f>
        <v>879794.0063412278</v>
      </c>
      <c r="E1045" s="2355">
        <f>'Part VII-Pro Forma'!E104</f>
        <v>897389.8864680524</v>
      </c>
      <c r="F1045" s="2355">
        <f>'Part VII-Pro Forma'!F104</f>
        <v>915337.68419741339</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3" t="s">
        <v>1053</v>
      </c>
      <c r="B1046" s="2355">
        <f>'Part VII-Pro Forma'!B105</f>
        <v>16912.610656309647</v>
      </c>
      <c r="C1046" s="2355">
        <f>'Part VII-Pro Forma'!C105</f>
        <v>17250.862869435838</v>
      </c>
      <c r="D1046" s="2355">
        <f>'Part VII-Pro Forma'!D105</f>
        <v>17595.880126824559</v>
      </c>
      <c r="E1046" s="2355">
        <f>'Part VII-Pro Forma'!E105</f>
        <v>17947.797729361049</v>
      </c>
      <c r="F1046" s="2355">
        <f>'Part VII-Pro Forma'!F105</f>
        <v>18306.753683948271</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3" t="s">
        <v>2490</v>
      </c>
      <c r="B1047" s="2355">
        <f>'Part VII-Pro Forma'!B106</f>
        <v>-60378.020043025448</v>
      </c>
      <c r="C1047" s="2355">
        <f>'Part VII-Pro Forma'!C106</f>
        <v>-61585.580443885934</v>
      </c>
      <c r="D1047" s="2355">
        <f>'Part VII-Pro Forma'!D106</f>
        <v>-62817.292052763674</v>
      </c>
      <c r="E1047" s="2355">
        <f>'Part VII-Pro Forma'!E106</f>
        <v>-64073.637893818952</v>
      </c>
      <c r="F1047" s="2355">
        <f>'Part VII-Pro Forma'!F106</f>
        <v>-65355.110651695322</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3"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3"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3" t="s">
        <v>638</v>
      </c>
      <c r="B1050" s="2355">
        <f>'Part VII-Pro Forma'!B109</f>
        <v>-607670.01418727357</v>
      </c>
      <c r="C1050" s="2355">
        <f>'Part VII-Pro Forma'!C109</f>
        <v>-625900.1146128918</v>
      </c>
      <c r="D1050" s="2355">
        <f>'Part VII-Pro Forma'!D109</f>
        <v>-644677.11805127852</v>
      </c>
      <c r="E1050" s="2355">
        <f>'Part VII-Pro Forma'!E109</f>
        <v>-664017.43159281684</v>
      </c>
      <c r="F1050" s="2355">
        <f>'Part VII-Pro Forma'!F109</f>
        <v>-683937.95454060123</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3" t="s">
        <v>1153</v>
      </c>
      <c r="B1051" s="2355">
        <f>'Part VII-Pro Forma'!B110</f>
        <v>-72195</v>
      </c>
      <c r="C1051" s="2355">
        <f>'Part VII-Pro Forma'!C110</f>
        <v>-73639</v>
      </c>
      <c r="D1051" s="2355">
        <f>'Part VII-Pro Forma'!D110</f>
        <v>-75112</v>
      </c>
      <c r="E1051" s="2355">
        <f>'Part VII-Pro Forma'!E110</f>
        <v>-76614</v>
      </c>
      <c r="F1051" s="2355">
        <f>'Part VII-Pro Forma'!F110</f>
        <v>-78146</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3" t="s">
        <v>1247</v>
      </c>
      <c r="B1052" s="2355">
        <f>'Part VII-Pro Forma'!B111</f>
        <v>-43690.724481413861</v>
      </c>
      <c r="C1052" s="2355">
        <f>'Part VII-Pro Forma'!C111</f>
        <v>-45001.446215856289</v>
      </c>
      <c r="D1052" s="2355">
        <f>'Part VII-Pro Forma'!D111</f>
        <v>-46351.489602331967</v>
      </c>
      <c r="E1052" s="2355">
        <f>'Part VII-Pro Forma'!E111</f>
        <v>-47742.034290401927</v>
      </c>
      <c r="F1052" s="2355">
        <f>'Part VII-Pro Forma'!F111</f>
        <v>-49174.295319113975</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3" t="s">
        <v>1248</v>
      </c>
      <c r="B1053" s="2355">
        <f>'Part VII-Pro Forma'!B112</f>
        <v>78609.384760079061</v>
      </c>
      <c r="C1053" s="2355">
        <f>'Part VII-Pro Forma'!C112</f>
        <v>73667.865068593586</v>
      </c>
      <c r="D1053" s="2355">
        <f>'Part VII-Pro Forma'!D112</f>
        <v>68431.986761678272</v>
      </c>
      <c r="E1053" s="2355">
        <f>'Part VII-Pro Forma'!E112</f>
        <v>62890.580420375838</v>
      </c>
      <c r="F1053" s="2355">
        <f>'Part VII-Pro Forma'!F112</f>
        <v>57031.077369951199</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3" t="str">
        <f>$A1024</f>
        <v>Mortgage A</v>
      </c>
      <c r="B1054" s="2355">
        <f>'Part VII-Pro Forma'!B113</f>
        <v>0</v>
      </c>
      <c r="C1054" s="2355">
        <f>'Part VII-Pro Forma'!C113</f>
        <v>0</v>
      </c>
      <c r="D1054" s="2355">
        <f>'Part VII-Pro Forma'!D113</f>
        <v>0</v>
      </c>
      <c r="E1054" s="2355">
        <f>'Part VII-Pro Forma'!E113</f>
        <v>0</v>
      </c>
      <c r="F1054" s="2355">
        <f>'Part VII-Pro Forma'!F113</f>
        <v>0</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3"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3"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3"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3"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3" t="s">
        <v>1206</v>
      </c>
      <c r="B1059" s="2355">
        <f>'Part VII-Pro Forma'!B118</f>
        <v>-3000</v>
      </c>
      <c r="C1059" s="2355">
        <f>'Part VII-Pro Forma'!C118</f>
        <v>-3000</v>
      </c>
      <c r="D1059" s="2355">
        <f>'Part VII-Pro Forma'!D118</f>
        <v>-3000</v>
      </c>
      <c r="E1059" s="2355">
        <f>'Part VII-Pro Forma'!E118</f>
        <v>-3000</v>
      </c>
      <c r="F1059" s="2355">
        <f>'Part VII-Pro Forma'!F118</f>
        <v>-3000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3"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3" t="s">
        <v>1207</v>
      </c>
      <c r="B1061" s="2355">
        <f>'Part VII-Pro Forma'!B120</f>
        <v>75609.384760079061</v>
      </c>
      <c r="C1061" s="2355">
        <f>'Part VII-Pro Forma'!C120</f>
        <v>70667.865068593586</v>
      </c>
      <c r="D1061" s="2355">
        <f>'Part VII-Pro Forma'!D120</f>
        <v>65431.986761678272</v>
      </c>
      <c r="E1061" s="2355">
        <f>'Part VII-Pro Forma'!E120</f>
        <v>59890.580420375838</v>
      </c>
      <c r="F1061" s="2355">
        <f>'Part VII-Pro Forma'!F120</f>
        <v>54031.077369951199</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3" t="str">
        <f>$A1032</f>
        <v>DCR Mortgage A</v>
      </c>
      <c r="B1062" s="2356" t="str">
        <f>IF(B1054=0,"",-B1053/B1054)</f>
        <v/>
      </c>
      <c r="C1062" s="2356" t="str">
        <f>IF(C1054=0,"",-C1053/C1054)</f>
        <v/>
      </c>
      <c r="D1062" s="2356" t="str">
        <f>IF(D1054=0,"",-D1053/D1054)</f>
        <v/>
      </c>
      <c r="E1062" s="2356" t="str">
        <f>IF(E1054=0,"",-E1053/E1054)</f>
        <v/>
      </c>
      <c r="F1062" s="2356" t="str">
        <f>IF(F1054=0,"",-F1053/F1054)</f>
        <v/>
      </c>
      <c r="G1062" s="2355"/>
      <c r="H1062" s="2355"/>
      <c r="I1062" s="2355"/>
      <c r="J1062" s="2355"/>
      <c r="K1062" s="2355"/>
      <c r="M1062" s="2176"/>
      <c r="N1062" s="2176"/>
    </row>
    <row r="1063" spans="1:14">
      <c r="A1063" s="873" t="str">
        <f>$A1033</f>
        <v>DCR Mortgage B</v>
      </c>
      <c r="B1063" s="2356" t="str">
        <f t="shared" ref="B1063:G1063" si="299">IF(B1055=0,"",-(B1053+B1054)/B1055)</f>
        <v/>
      </c>
      <c r="C1063" s="2356" t="str">
        <f t="shared" si="299"/>
        <v/>
      </c>
      <c r="D1063" s="2356" t="str">
        <f t="shared" si="299"/>
        <v/>
      </c>
      <c r="E1063" s="2356" t="str">
        <f t="shared" si="299"/>
        <v/>
      </c>
      <c r="F1063" s="2356" t="str">
        <f t="shared" si="299"/>
        <v/>
      </c>
      <c r="G1063" s="2355" t="str">
        <f t="shared" si="299"/>
        <v/>
      </c>
      <c r="H1063" s="2355"/>
      <c r="I1063" s="2355"/>
      <c r="J1063" s="2355"/>
      <c r="K1063" s="2355"/>
      <c r="M1063" s="2176"/>
      <c r="N1063" s="2176"/>
    </row>
    <row r="1064" spans="1:14">
      <c r="A1064" s="873" t="str">
        <f>$A1034</f>
        <v>DCR Mortgage C</v>
      </c>
      <c r="B1064" s="2356" t="str">
        <f t="shared" ref="B1064:G1064" si="300">IF(B1056=0,"",-(B1053+B1054+B1055)/B1056)</f>
        <v/>
      </c>
      <c r="C1064" s="2356" t="str">
        <f t="shared" si="300"/>
        <v/>
      </c>
      <c r="D1064" s="2356" t="str">
        <f t="shared" si="300"/>
        <v/>
      </c>
      <c r="E1064" s="2356" t="str">
        <f t="shared" si="300"/>
        <v/>
      </c>
      <c r="F1064" s="2356" t="str">
        <f t="shared" si="300"/>
        <v/>
      </c>
      <c r="G1064" s="2355" t="str">
        <f t="shared" si="300"/>
        <v/>
      </c>
      <c r="H1064" s="2355"/>
      <c r="I1064" s="2355"/>
      <c r="J1064" s="2355"/>
      <c r="K1064" s="2355"/>
      <c r="M1064" s="2176"/>
      <c r="N1064" s="2176"/>
    </row>
    <row r="1065" spans="1:14">
      <c r="A1065" s="873" t="str">
        <f>$A1035</f>
        <v>DCR Other Source</v>
      </c>
      <c r="B1065" s="2356" t="str">
        <f t="shared" ref="B1065:G1065" si="301">IF(B1057=0,"",-(B1053+B1054+B1055+B1056)/B1057)</f>
        <v/>
      </c>
      <c r="C1065" s="2356" t="str">
        <f t="shared" si="301"/>
        <v/>
      </c>
      <c r="D1065" s="2356" t="str">
        <f t="shared" si="301"/>
        <v/>
      </c>
      <c r="E1065" s="2356" t="str">
        <f t="shared" si="301"/>
        <v/>
      </c>
      <c r="F1065" s="2356" t="str">
        <f t="shared" si="301"/>
        <v/>
      </c>
      <c r="G1065" s="2355" t="str">
        <f t="shared" si="301"/>
        <v/>
      </c>
      <c r="H1065" s="2355"/>
      <c r="I1065" s="2355"/>
      <c r="J1065" s="2355"/>
      <c r="K1065" s="2355"/>
      <c r="M1065" s="2176"/>
      <c r="N1065" s="2176"/>
    </row>
    <row r="1066" spans="1:14">
      <c r="A1066" s="2357" t="s">
        <v>4190</v>
      </c>
      <c r="B1066" s="2356" t="str">
        <f>IF(AND(B1054=0,B1055=0,B1056=0,B1057=0),"",-B1053/(B1054+B1055+B1056+B1057))</f>
        <v/>
      </c>
      <c r="C1066" s="2356" t="str">
        <f>IF(AND(C1054=0,C1055=0,C1056=0,C1057=0),"",-C1053/(C1054+C1055+C1056+C1057))</f>
        <v/>
      </c>
      <c r="D1066" s="2356" t="str">
        <f>IF(AND(D1054=0,D1055=0,D1056=0,D1057=0),"",-D1053/(D1054+D1055+D1056+D1057))</f>
        <v/>
      </c>
      <c r="E1066" s="2356" t="str">
        <f>IF(AND(E1054=0,E1055=0,E1056=0,E1057=0),"",-E1053/(E1054+E1055+E1056+E1057))</f>
        <v/>
      </c>
      <c r="F1066" s="2356" t="str">
        <f>IF(AND(F1054=0,F1055=0,F1056=0,F1057=0),"",-F1053/(F1054+F1055+F1056+F1057))</f>
        <v/>
      </c>
      <c r="G1066" s="2355"/>
      <c r="H1066" s="2355"/>
      <c r="I1066" s="2355"/>
      <c r="J1066" s="2355"/>
      <c r="K1066" s="2355"/>
      <c r="M1066" s="2176"/>
      <c r="N1066" s="2176"/>
    </row>
    <row r="1067" spans="1:14">
      <c r="A1067" s="873" t="s">
        <v>801</v>
      </c>
      <c r="B1067" s="2358">
        <f>IF(OR(B1051="Choose mgt fee",B1051="Choose One!"),"",(B1045+B1046+B1047+B1048+B1049) / -(B1050+B1051+B1052))</f>
        <v>1.1086431639734031</v>
      </c>
      <c r="C1067" s="2358">
        <f>IF(OR(C1051="Choose mgt fee",C1051="Choose One!"),"",(C1045+C1046+C1047+C1048+C1049) / -(C1050+C1051+C1052))</f>
        <v>1.0989440588523396</v>
      </c>
      <c r="D1067" s="2358">
        <f>IF(OR(D1051="Choose mgt fee",D1051="Choose One!"),"",(D1045+D1046+D1047+D1048+D1049) / -(D1050+D1051+D1052))</f>
        <v>1.0893204016052076</v>
      </c>
      <c r="E1067" s="2358">
        <f>IF(OR(E1051="Choose mgt fee",E1051="Choose One!"),"",(E1045+E1046+E1047+E1048+E1049) / -(E1050+E1051+E1052))</f>
        <v>1.0797725737127888</v>
      </c>
      <c r="F1067" s="2358">
        <f>IF(OR(F1051="Choose mgt fee",F1051="Choose One!"),"",(F1045+F1046+F1047+F1048+F1049) / -(F1050+F1051+F1052))</f>
        <v>1.0702995345561208</v>
      </c>
      <c r="G1067" s="2355"/>
      <c r="H1067" s="2355"/>
      <c r="I1067" s="2355"/>
      <c r="J1067" s="2355"/>
      <c r="K1067" s="2355"/>
      <c r="M1067" s="2176"/>
      <c r="N1067" s="2176"/>
    </row>
    <row r="1068" spans="1:14">
      <c r="A1068" s="873" t="s">
        <v>2705</v>
      </c>
      <c r="B1068" s="2355">
        <f>'Part VII-Pro Forma'!B127</f>
        <v>2.2700426179605409E-7</v>
      </c>
      <c r="C1068" s="2355">
        <f>'Part VII-Pro Forma'!C127</f>
        <v>2.2928473773128055E-7</v>
      </c>
      <c r="D1068" s="2355">
        <f>'Part VII-Pro Forma'!D127</f>
        <v>2.3158812323855645E-7</v>
      </c>
      <c r="E1068" s="2355">
        <f>'Part VII-Pro Forma'!E127</f>
        <v>2.3391464846654655E-7</v>
      </c>
      <c r="F1068" s="2355">
        <f>'Part VII-Pro Forma'!F127</f>
        <v>2.3626454587598006E-7</v>
      </c>
      <c r="G1068" s="2355"/>
      <c r="H1068" s="2355"/>
      <c r="I1068" s="2355"/>
      <c r="J1068" s="2355"/>
      <c r="K1068" s="2355"/>
      <c r="M1068" s="2176"/>
      <c r="N1068" s="2176"/>
    </row>
    <row r="1069" spans="1:14">
      <c r="A1069" s="873"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3"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3"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3" t="s">
        <v>1284</v>
      </c>
      <c r="B1072" s="2355" t="str">
        <f>'Part VII-Pro Forma'!B131</f>
        <v/>
      </c>
      <c r="C1072" s="2355" t="str">
        <f>'Part VII-Pro Forma'!C131</f>
        <v/>
      </c>
      <c r="D1072" s="2355" t="str">
        <f>'Part VII-Pro Forma'!D131</f>
        <v/>
      </c>
      <c r="E1072" s="2355" t="str">
        <f>'Part VII-Pro Forma'!E131</f>
        <v/>
      </c>
      <c r="F1072" s="2355" t="str">
        <f>'Part VII-Pro Forma'!F131</f>
        <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(Part III)  Georgia DCA HOME Loan is structured as a amortizing loan with hard payments based on a 1.50 DCR, and fully amortizes out the repayment of the HOME loan in year 15.</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2016-010 The Preserve at Newport,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3694</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5" t="s">
        <v>4162</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5"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101.25">
      <c r="A1119" s="2374" t="str">
        <f>'Part VIII-Threshold Criteria'!A34</f>
        <v>There are no commitments that are "Under Consideration." All Commitments are firm.</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4448</v>
      </c>
      <c r="B1124" s="2379"/>
      <c r="C1124" s="2379"/>
      <c r="D1124" s="2379"/>
      <c r="E1124" s="2379"/>
      <c r="F1124" s="2379"/>
      <c r="G1124" s="2219" t="s">
        <v>2821</v>
      </c>
      <c r="H1124" s="2219"/>
      <c r="I1124" s="2368"/>
      <c r="J1124" s="2079"/>
      <c r="K1124" s="2368" t="s">
        <v>4045</v>
      </c>
      <c r="L1124" s="2368"/>
      <c r="M1124" s="2368"/>
      <c r="N1124" s="2368"/>
    </row>
    <row r="1125" spans="1:17" ht="13.5">
      <c r="A1125" s="2379"/>
      <c r="B1125" s="2379"/>
      <c r="C1125" s="2379"/>
      <c r="D1125" s="2379"/>
      <c r="E1125" s="2379"/>
      <c r="F1125" s="2379"/>
      <c r="G1125" s="2219" t="s">
        <v>359</v>
      </c>
      <c r="H1125" s="2219"/>
      <c r="I1125" s="2368"/>
      <c r="J1125" s="2079"/>
      <c r="K1125" s="515" t="s">
        <v>4046</v>
      </c>
      <c r="L1125" s="515"/>
      <c r="M1125" s="515"/>
      <c r="N1125" s="515"/>
      <c r="P1125" s="2380" t="s">
        <v>2849</v>
      </c>
      <c r="Q1125" s="2372" t="str">
        <f>'Part VIII-Threshold Criteria'!Q40</f>
        <v>Yes</v>
      </c>
    </row>
    <row r="1126" spans="1:17">
      <c r="A1126" s="2379"/>
      <c r="B1126" s="2379"/>
      <c r="C1126" s="2379"/>
      <c r="D1126" s="2379"/>
      <c r="E1126" s="2379"/>
      <c r="F1126" s="2379"/>
      <c r="G1126" s="2368"/>
      <c r="H1126" s="2368"/>
      <c r="I1126" s="2368"/>
      <c r="J1126" s="2079"/>
      <c r="K1126" s="515"/>
      <c r="L1126" s="515"/>
      <c r="M1126" s="515"/>
      <c r="N1126" s="515"/>
    </row>
    <row r="1127" spans="1:17" ht="13.5" customHeight="1">
      <c r="D1127" s="2381" t="s">
        <v>2820</v>
      </c>
      <c r="F1127" s="2382" t="s">
        <v>3697</v>
      </c>
      <c r="G1127" s="2382" t="s">
        <v>3696</v>
      </c>
      <c r="H1127" s="2382"/>
      <c r="I1127" s="2382"/>
      <c r="K1127" s="2382" t="s">
        <v>3697</v>
      </c>
      <c r="L1127" s="2382" t="s">
        <v>3696</v>
      </c>
      <c r="M1127" s="2382"/>
      <c r="N1127" s="2382"/>
    </row>
    <row r="1128" spans="1:17" ht="12.75" customHeight="1">
      <c r="A1128" s="2383" t="s">
        <v>3545</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3547</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3556</v>
      </c>
      <c r="F1133" s="2390">
        <f>SUM(F1128:F1132)</f>
        <v>0</v>
      </c>
      <c r="G1133" s="2391"/>
      <c r="H1133" s="2392"/>
      <c r="I1133" s="2393" t="e">
        <f>SUM(I1128:I1132)</f>
        <v>#N/A</v>
      </c>
      <c r="J1133" s="2394"/>
      <c r="K1133" s="2390">
        <f>SUM(K1128:K1132)</f>
        <v>0</v>
      </c>
      <c r="L1133" s="2394"/>
      <c r="M1133" s="2392"/>
      <c r="N1133" s="2393" t="e">
        <f>SUM(N1128:N1132)</f>
        <v>#N/A</v>
      </c>
      <c r="O1133" s="2377"/>
      <c r="P1133" s="2374" t="s">
        <v>4040</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3540</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11097534</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4047</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3556</v>
      </c>
      <c r="F1140" s="2390">
        <f>SUM(F1135:F1139)</f>
        <v>0</v>
      </c>
      <c r="G1140" s="2391"/>
      <c r="H1140" s="2392"/>
      <c r="I1140" s="2393" t="e">
        <f>SUM(I1135:I1139)</f>
        <v>#N/A</v>
      </c>
      <c r="J1140" s="2394"/>
      <c r="K1140" s="2390">
        <f>SUM(K1135:K1139)</f>
        <v>0</v>
      </c>
      <c r="L1140" s="2394"/>
      <c r="M1140" s="2392"/>
      <c r="N1140" s="2393" t="e">
        <f>SUM(N1135:N1139)</f>
        <v>#N/A</v>
      </c>
      <c r="O1140" s="2399"/>
      <c r="P1140" s="515" t="s">
        <v>4038</v>
      </c>
      <c r="Q1140" s="515"/>
    </row>
    <row r="1141" spans="1:17">
      <c r="C1141" s="2079"/>
      <c r="D1141" s="2395"/>
      <c r="E1141" s="2395"/>
      <c r="F1141" s="2396"/>
      <c r="G1141" s="2397"/>
      <c r="I1141" s="2396"/>
      <c r="K1141" s="2396"/>
      <c r="M1141" s="2377"/>
      <c r="N1141" s="2396"/>
      <c r="O1141" s="2399"/>
    </row>
    <row r="1142" spans="1:17">
      <c r="A1142" s="2219" t="s">
        <v>3541</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12</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12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5" t="s">
        <v>4039</v>
      </c>
      <c r="Q1143" s="515"/>
    </row>
    <row r="1144" spans="1:17">
      <c r="C1144" s="2079"/>
      <c r="D1144" s="2384" t="s">
        <v>2526</v>
      </c>
      <c r="E1144" s="2369">
        <v>2</v>
      </c>
      <c r="F1144" s="2385">
        <f>'Part VI-Revenues &amp; Expenses'!$L$108</f>
        <v>40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40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20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20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79"/>
      <c r="D1147" s="2389" t="s">
        <v>3556</v>
      </c>
      <c r="F1147" s="2390">
        <f>SUM(F1142:F1146)</f>
        <v>72</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3542</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0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11865716</v>
      </c>
      <c r="Q1150" s="2402"/>
    </row>
    <row r="1151" spans="1:17" ht="12.75" customHeight="1">
      <c r="C1151" s="2079"/>
      <c r="D1151" s="2384" t="s">
        <v>2526</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0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2846</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3556</v>
      </c>
      <c r="F1154" s="2390">
        <f>SUM(F1149:F1153)</f>
        <v>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5"/>
      <c r="H1155" s="2403"/>
      <c r="I1155" s="2403"/>
      <c r="J1155" s="2403"/>
      <c r="K1155" s="2403"/>
      <c r="L1155" s="2403"/>
      <c r="M1155" s="2403"/>
      <c r="N1155" s="2404"/>
      <c r="O1155" s="2399"/>
      <c r="P1155" s="2220"/>
      <c r="Q1155" s="2220"/>
    </row>
    <row r="1156" spans="1:17" ht="13.5">
      <c r="A1156" s="2405" t="s">
        <v>3557</v>
      </c>
      <c r="B1156" s="2079"/>
      <c r="C1156" s="2079"/>
      <c r="D1156" s="2079"/>
      <c r="E1156" s="2261"/>
      <c r="F1156" s="2406">
        <f>F1133+F1140+F1147+F1154</f>
        <v>72</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33.75">
      <c r="A1158" s="2374" t="str">
        <f>'Part VIII-Threshold Criteria'!A73</f>
        <v>The project is a 2-story walkup.</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Family</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78.75">
      <c r="A1162" s="2374" t="str">
        <f>'Part VIII-Threshold Criteria'!A77</f>
        <v>The proposed development consists of 72 units targeting families.</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4146</v>
      </c>
      <c r="D1166" s="2397"/>
      <c r="E1166" s="2397"/>
      <c r="F1166" s="2397"/>
      <c r="G1166" s="2397"/>
      <c r="H1166" s="2397"/>
      <c r="I1166" s="2397"/>
      <c r="J1166" s="2409" t="s">
        <v>4147</v>
      </c>
      <c r="K1166" s="2397"/>
      <c r="L1166" s="2397"/>
      <c r="M1166" s="2397"/>
      <c r="O1166" s="2374"/>
      <c r="P1166" s="2372" t="str">
        <f>'Part VIII-Threshold Criteria'!P81</f>
        <v>Agree</v>
      </c>
    </row>
    <row r="1167" spans="1:17">
      <c r="B1167" s="2405" t="s">
        <v>2061</v>
      </c>
      <c r="C1167" s="2308" t="s">
        <v>3886</v>
      </c>
      <c r="D1167" s="2308"/>
      <c r="E1167" s="2308"/>
      <c r="F1167" s="2308"/>
      <c r="G1167" s="2308"/>
      <c r="H1167" s="2308"/>
      <c r="I1167" s="2308"/>
      <c r="J1167" s="2308"/>
      <c r="K1167" s="2308"/>
      <c r="L1167" s="2308"/>
      <c r="M1167" s="2308"/>
      <c r="O1167" s="2308"/>
      <c r="P1167" s="2308"/>
      <c r="Q1167" s="2308"/>
    </row>
    <row r="1168" spans="1:17" ht="22.5">
      <c r="A1168" s="2410"/>
      <c r="B1168" s="2345" t="s">
        <v>1803</v>
      </c>
      <c r="C1168" s="2308" t="s">
        <v>3754</v>
      </c>
      <c r="E1168" s="2303"/>
      <c r="F1168" s="2303"/>
      <c r="G1168" s="2303"/>
      <c r="H1168" s="2079"/>
      <c r="I1168" s="515" t="s">
        <v>2809</v>
      </c>
      <c r="J1168" s="2411" t="str">
        <f>'Part VIII-Threshold Criteria'!J83</f>
        <v>Movie Night</v>
      </c>
      <c r="K1168" s="2411"/>
      <c r="L1168" s="2411"/>
      <c r="M1168" s="2411"/>
      <c r="N1168" s="2411"/>
      <c r="O1168" s="2411"/>
      <c r="P1168" s="2411"/>
      <c r="Q1168" s="2411"/>
    </row>
    <row r="1169" spans="1:17" ht="33.75">
      <c r="A1169" s="2410"/>
      <c r="B1169" s="2345" t="s">
        <v>1804</v>
      </c>
      <c r="C1169" s="2308" t="s">
        <v>3884</v>
      </c>
      <c r="E1169" s="2303"/>
      <c r="F1169" s="2303"/>
      <c r="G1169" s="2303"/>
      <c r="H1169" s="2079"/>
      <c r="I1169" s="515" t="s">
        <v>2809</v>
      </c>
      <c r="J1169" s="2411" t="str">
        <f>'Part VIII-Threshold Criteria'!J84</f>
        <v>Household Safety Classes</v>
      </c>
      <c r="K1169" s="2411"/>
      <c r="L1169" s="2411"/>
      <c r="M1169" s="2411"/>
      <c r="N1169" s="2411"/>
      <c r="O1169" s="2411"/>
      <c r="P1169" s="2411"/>
      <c r="Q1169" s="2411"/>
    </row>
    <row r="1170" spans="1:17">
      <c r="A1170" s="2410"/>
      <c r="B1170" s="2345" t="s">
        <v>1805</v>
      </c>
      <c r="C1170" s="2308" t="s">
        <v>3885</v>
      </c>
      <c r="E1170" s="2303"/>
      <c r="F1170" s="2303"/>
      <c r="G1170" s="2303"/>
      <c r="H1170" s="2079"/>
      <c r="I1170" s="515" t="s">
        <v>2809</v>
      </c>
      <c r="J1170" s="2411">
        <f>'Part VIII-Threshold Criteria'!J85</f>
        <v>0</v>
      </c>
      <c r="K1170" s="2411"/>
      <c r="L1170" s="2411"/>
      <c r="M1170" s="2411"/>
      <c r="N1170" s="2411"/>
      <c r="O1170" s="2411"/>
      <c r="P1170" s="2411"/>
      <c r="Q1170" s="2411"/>
    </row>
    <row r="1171" spans="1:17">
      <c r="A1171" s="2410"/>
      <c r="B1171" s="2345" t="s">
        <v>2448</v>
      </c>
      <c r="C1171" s="2308" t="s">
        <v>3558</v>
      </c>
      <c r="E1171" s="2303"/>
      <c r="I1171" s="515" t="s">
        <v>2809</v>
      </c>
      <c r="J1171" s="2411">
        <f>'Part VIII-Threshold Criteria'!J86</f>
        <v>0</v>
      </c>
      <c r="K1171" s="2411"/>
      <c r="L1171" s="2411"/>
      <c r="M1171" s="2411"/>
      <c r="N1171" s="2411"/>
      <c r="O1171" s="2411"/>
      <c r="P1171" s="2411"/>
      <c r="Q1171" s="2411"/>
    </row>
    <row r="1172" spans="1:17">
      <c r="A1172" s="2410"/>
      <c r="B1172" s="2405" t="s">
        <v>779</v>
      </c>
      <c r="C1172" s="2308" t="s">
        <v>3853</v>
      </c>
      <c r="D1172" s="2308"/>
      <c r="E1172" s="2303"/>
      <c r="J1172" s="515"/>
      <c r="K1172" s="515"/>
      <c r="L1172" s="515"/>
      <c r="M1172" s="515"/>
      <c r="N1172" s="515"/>
      <c r="O1172" s="515"/>
      <c r="P1172" s="515"/>
      <c r="Q1172" s="515"/>
    </row>
    <row r="1173" spans="1:17">
      <c r="A1173" s="2410"/>
      <c r="B1173" s="2373"/>
      <c r="C1173" s="500" t="s">
        <v>3887</v>
      </c>
      <c r="D1173" s="2337"/>
      <c r="E1173" s="2337"/>
      <c r="F1173" s="2337"/>
      <c r="G1173" s="2337"/>
      <c r="H1173" s="2337"/>
      <c r="I1173" s="2079"/>
      <c r="J1173" s="2079"/>
      <c r="K1173" s="2345" t="s">
        <v>779</v>
      </c>
      <c r="L1173" s="2368" t="str">
        <f>'Part VIII-Threshold Criteria'!L88</f>
        <v>N/A</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281.25">
      <c r="A1175" s="2374" t="str">
        <f>'Part VIII-Threshold Criteria'!A90</f>
        <v>The managing agent will provide one onsite Social/Recreational program in the way of movie night and one Enrichment Class in the way of household safety classes on a monthly basis.  All activities to be overseen by the property manager.</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0" t="s">
        <v>2545</v>
      </c>
      <c r="D1179" s="2337"/>
      <c r="E1179" s="2337"/>
      <c r="F1179" s="2337"/>
      <c r="G1179" s="2337"/>
      <c r="H1179" s="2337"/>
      <c r="I1179" s="2079"/>
      <c r="J1179" s="2079"/>
      <c r="K1179" s="2079"/>
      <c r="L1179" s="2345" t="s">
        <v>2058</v>
      </c>
      <c r="M1179" s="2368" t="str">
        <f>'Part VIII-Threshold Criteria'!M94</f>
        <v>John Wall and Associates</v>
      </c>
      <c r="N1179" s="2368"/>
      <c r="O1179" s="2368"/>
      <c r="P1179" s="2079"/>
      <c r="Q1179" s="2372">
        <f>'Part VIII-Threshold Criteria'!Q94</f>
        <v>0</v>
      </c>
    </row>
    <row r="1180" spans="1:17">
      <c r="B1180" s="2373" t="s">
        <v>2061</v>
      </c>
      <c r="C1180" s="515" t="s">
        <v>2113</v>
      </c>
      <c r="D1180" s="2337"/>
      <c r="E1180" s="2337"/>
      <c r="F1180" s="2337"/>
      <c r="L1180" s="2345" t="s">
        <v>2061</v>
      </c>
      <c r="M1180" s="2368" t="str">
        <f>'Part VIII-Threshold Criteria'!M95</f>
        <v>6 months</v>
      </c>
      <c r="N1180" s="2368"/>
      <c r="O1180" s="2368"/>
      <c r="P1180" s="2079"/>
      <c r="Q1180" s="2372">
        <f>'Part VIII-Threshold Criteria'!Q95</f>
        <v>0</v>
      </c>
    </row>
    <row r="1181" spans="1:17">
      <c r="B1181" s="2373" t="s">
        <v>779</v>
      </c>
      <c r="C1181" s="515" t="s">
        <v>3018</v>
      </c>
      <c r="D1181" s="2337"/>
      <c r="E1181" s="2337"/>
      <c r="F1181" s="2337"/>
      <c r="L1181" s="2345" t="s">
        <v>779</v>
      </c>
      <c r="M1181" s="2412">
        <f>'Part VIII-Threshold Criteria'!M96</f>
        <v>0.99099999999999999</v>
      </c>
      <c r="N1181" s="2412"/>
      <c r="O1181" s="2412"/>
      <c r="P1181" s="2413"/>
      <c r="Q1181" s="2372">
        <f>'Part VIII-Threshold Criteria'!Q96</f>
        <v>0</v>
      </c>
    </row>
    <row r="1182" spans="1:17">
      <c r="B1182" s="2373" t="s">
        <v>2193</v>
      </c>
      <c r="C1182" s="515" t="s">
        <v>4048</v>
      </c>
      <c r="D1182" s="2337"/>
      <c r="E1182" s="2337"/>
      <c r="F1182" s="2337"/>
      <c r="L1182" s="2345" t="s">
        <v>2193</v>
      </c>
      <c r="M1182" s="2412">
        <f>'Part VIII-Threshold Criteria'!M97</f>
        <v>0.10100000000000001</v>
      </c>
      <c r="N1182" s="2412"/>
      <c r="O1182" s="2412"/>
      <c r="P1182" s="2413"/>
      <c r="Q1182" s="2372">
        <f>'Part VIII-Threshold Criteria'!Q97</f>
        <v>0</v>
      </c>
    </row>
    <row r="1183" spans="1:17" ht="12.75" customHeight="1">
      <c r="B1183" s="2371" t="s">
        <v>1801</v>
      </c>
      <c r="C1183" s="2374" t="s">
        <v>3717</v>
      </c>
      <c r="D1183" s="2374"/>
      <c r="E1183" s="2374"/>
      <c r="F1183" s="2374"/>
      <c r="G1183" s="2374"/>
      <c r="H1183" s="2374"/>
      <c r="I1183" s="2374"/>
      <c r="J1183" s="2374"/>
      <c r="K1183" s="2374"/>
      <c r="L1183" s="2374"/>
      <c r="M1183" s="2374"/>
      <c r="N1183" s="2374"/>
      <c r="O1183" s="2374"/>
      <c r="P1183" s="2374"/>
      <c r="Q1183" s="2374"/>
    </row>
    <row r="1184" spans="1:17">
      <c r="B1184" s="2373"/>
      <c r="C1184" s="515"/>
      <c r="D1184" s="2369" t="s">
        <v>2463</v>
      </c>
      <c r="E1184" s="2308" t="s">
        <v>641</v>
      </c>
      <c r="F1184" s="2308"/>
      <c r="H1184" s="515"/>
      <c r="I1184" s="2369" t="s">
        <v>2463</v>
      </c>
      <c r="J1184" s="2308" t="s">
        <v>641</v>
      </c>
      <c r="K1184" s="2308"/>
      <c r="M1184" s="515"/>
      <c r="N1184" s="2369" t="s">
        <v>2463</v>
      </c>
      <c r="O1184" s="2308" t="s">
        <v>641</v>
      </c>
      <c r="P1184" s="2308"/>
      <c r="Q1184" s="2345"/>
    </row>
    <row r="1185" spans="1:17">
      <c r="B1185" s="2373"/>
      <c r="C1185" s="515">
        <v>1</v>
      </c>
      <c r="D1185" s="2372" t="str">
        <f>'Part VIII-Threshold Criteria'!D100</f>
        <v>N/A</v>
      </c>
      <c r="E1185" s="2368">
        <f>'Part VIII-Threshold Criteria'!E100</f>
        <v>0</v>
      </c>
      <c r="F1185" s="2368"/>
      <c r="G1185" s="2368"/>
      <c r="H1185" s="515">
        <v>3</v>
      </c>
      <c r="I1185" s="2372" t="str">
        <f>'Part VIII-Threshold Criteria'!I100</f>
        <v>N/A</v>
      </c>
      <c r="J1185" s="2368">
        <f>'Part VIII-Threshold Criteria'!J100</f>
        <v>0</v>
      </c>
      <c r="K1185" s="2368"/>
      <c r="L1185" s="2368"/>
      <c r="M1185" s="515">
        <v>5</v>
      </c>
      <c r="N1185" s="2372" t="str">
        <f>'Part VIII-Threshold Criteria'!N100</f>
        <v>N/A</v>
      </c>
      <c r="O1185" s="2368">
        <f>'Part VIII-Threshold Criteria'!O100</f>
        <v>0</v>
      </c>
      <c r="P1185" s="2368"/>
      <c r="Q1185" s="2368"/>
    </row>
    <row r="1186" spans="1:17">
      <c r="B1186" s="2373"/>
      <c r="C1186" s="515">
        <v>2</v>
      </c>
      <c r="D1186" s="2372" t="str">
        <f>'Part VIII-Threshold Criteria'!D101</f>
        <v>N/A</v>
      </c>
      <c r="E1186" s="2368">
        <f>'Part VIII-Threshold Criteria'!E101</f>
        <v>0</v>
      </c>
      <c r="F1186" s="2368"/>
      <c r="G1186" s="2368"/>
      <c r="H1186" s="515">
        <v>4</v>
      </c>
      <c r="I1186" s="2372" t="str">
        <f>'Part VIII-Threshold Criteria'!I101</f>
        <v>N/A</v>
      </c>
      <c r="J1186" s="2368">
        <f>'Part VIII-Threshold Criteria'!J101</f>
        <v>0</v>
      </c>
      <c r="K1186" s="2368"/>
      <c r="L1186" s="2368"/>
      <c r="M1186" s="515">
        <v>6</v>
      </c>
      <c r="N1186" s="2372" t="str">
        <f>'Part VIII-Threshold Criteria'!N101</f>
        <v>N/A</v>
      </c>
      <c r="O1186" s="2368">
        <f>'Part VIII-Threshold Criteria'!O101</f>
        <v>0</v>
      </c>
      <c r="P1186" s="2368"/>
      <c r="Q1186" s="2368"/>
    </row>
    <row r="1187" spans="1:17">
      <c r="B1187" s="2373" t="s">
        <v>1802</v>
      </c>
      <c r="C1187" s="515"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409.5">
      <c r="A1189" s="2374" t="str">
        <f>'Part VIII-Threshold Criteria'!A104</f>
        <v>Per the market study included in Tab 5, the site appears to be suitable for the development. The population and household growth in the market area is significant and the demand for the development is reasonable. The average LIHTC vacancy rate is 2.5% and it is noted that the proposal would have no long term impact on existing LIHTC developments. The market analyst states that the development, as proposed, should be successful.</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5" t="s">
        <v>511</v>
      </c>
      <c r="D1194" s="515"/>
      <c r="E1194" s="515"/>
      <c r="F1194" s="515"/>
      <c r="G1194" s="515"/>
      <c r="H1194" s="515"/>
      <c r="I1194" s="515"/>
      <c r="J1194" s="515"/>
      <c r="K1194" s="515"/>
      <c r="L1194" s="515"/>
      <c r="M1194" s="515"/>
      <c r="O1194" s="2345" t="s">
        <v>2058</v>
      </c>
      <c r="P1194" s="2372" t="str">
        <f>'Part VIII-Threshold Criteria'!P109</f>
        <v>No</v>
      </c>
      <c r="Q1194" s="2372">
        <f>'Part VIII-Threshold Criteria'!Q109</f>
        <v>0</v>
      </c>
    </row>
    <row r="1195" spans="1:17">
      <c r="B1195" s="2373" t="s">
        <v>2061</v>
      </c>
      <c r="C1195" s="515" t="s">
        <v>1353</v>
      </c>
      <c r="D1195" s="515"/>
      <c r="E1195" s="515"/>
      <c r="F1195" s="515"/>
      <c r="G1195" s="515"/>
      <c r="H1195" s="515"/>
      <c r="I1195" s="515"/>
      <c r="J1195" s="515"/>
      <c r="K1195" s="515"/>
      <c r="L1195" s="2308"/>
      <c r="M1195" s="2308"/>
      <c r="O1195" s="2345" t="s">
        <v>2061</v>
      </c>
      <c r="P1195" s="2372" t="str">
        <f>'Part VIII-Threshold Criteria'!P110</f>
        <v>No</v>
      </c>
      <c r="Q1195" s="2372">
        <f>'Part VIII-Threshold Criteria'!Q110</f>
        <v>0</v>
      </c>
    </row>
    <row r="1196" spans="1:17">
      <c r="A1196" s="2414"/>
      <c r="B1196" s="515"/>
      <c r="D1196" s="515" t="s">
        <v>573</v>
      </c>
      <c r="E1196" s="2079"/>
      <c r="F1196" s="2079"/>
      <c r="G1196" s="2079"/>
      <c r="H1196" s="2079"/>
      <c r="I1196" s="2079"/>
      <c r="L1196" s="2345" t="s">
        <v>574</v>
      </c>
      <c r="M1196" s="2368" t="str">
        <f>'Part VIII-Threshold Criteria'!M111</f>
        <v>N/A</v>
      </c>
      <c r="N1196" s="2368"/>
      <c r="O1196" s="2368"/>
      <c r="P1196" s="2079"/>
      <c r="Q1196" s="2372">
        <f>'Part VIII-Threshold Criteria'!Q111</f>
        <v>0</v>
      </c>
    </row>
    <row r="1197" spans="1:17" ht="12.75" customHeight="1">
      <c r="A1197" s="2410"/>
      <c r="B1197" s="2369"/>
      <c r="C1197" s="2415" t="s">
        <v>1803</v>
      </c>
      <c r="D1197" s="2337" t="s">
        <v>3730</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3731</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5" t="s">
        <v>3019</v>
      </c>
      <c r="E1199" s="515"/>
      <c r="F1199" s="515"/>
      <c r="G1199" s="515"/>
      <c r="H1199" s="515"/>
      <c r="I1199" s="515"/>
      <c r="J1199" s="515"/>
      <c r="K1199" s="515"/>
      <c r="L1199" s="515"/>
      <c r="M1199" s="515"/>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5" t="s">
        <v>148</v>
      </c>
      <c r="D1201" s="515"/>
      <c r="E1201" s="515"/>
      <c r="F1201" s="515"/>
      <c r="G1201" s="515"/>
      <c r="H1201" s="515"/>
      <c r="I1201" s="515"/>
      <c r="J1201" s="515"/>
      <c r="K1201" s="515"/>
      <c r="L1201" s="515"/>
      <c r="M1201" s="515"/>
      <c r="O1201" s="2345" t="s">
        <v>779</v>
      </c>
      <c r="P1201" s="2372" t="str">
        <f>'Part VIII-Threshold Criteria'!P116</f>
        <v>No</v>
      </c>
      <c r="Q1201" s="2372">
        <f>'Part VIII-Threshold Criteria'!Q116</f>
        <v>0</v>
      </c>
    </row>
    <row r="1202" spans="1:17">
      <c r="B1202" s="2373" t="s">
        <v>2193</v>
      </c>
      <c r="C1202" s="515" t="s">
        <v>1482</v>
      </c>
      <c r="D1202" s="515"/>
      <c r="E1202" s="515"/>
      <c r="G1202" s="515"/>
      <c r="I1202" s="515"/>
      <c r="K1202" s="515"/>
      <c r="L1202" s="2308"/>
      <c r="M1202" s="2308"/>
      <c r="N1202" s="2308"/>
      <c r="O1202" s="2308"/>
      <c r="P1202" s="2308"/>
      <c r="Q1202" s="2308"/>
    </row>
    <row r="1203" spans="1:17">
      <c r="B1203" s="2373"/>
      <c r="C1203" s="2345" t="s">
        <v>1803</v>
      </c>
      <c r="D1203" s="515" t="s">
        <v>1483</v>
      </c>
      <c r="E1203" s="515"/>
      <c r="F1203" s="515"/>
      <c r="G1203" s="515"/>
      <c r="H1203" s="515"/>
      <c r="I1203" s="515"/>
      <c r="J1203" s="515"/>
      <c r="K1203" s="515"/>
      <c r="L1203" s="2308"/>
      <c r="M1203" s="2308"/>
      <c r="O1203" s="2345" t="s">
        <v>1803</v>
      </c>
      <c r="P1203" s="2372" t="str">
        <f>'Part VIII-Threshold Criteria'!P118</f>
        <v>No</v>
      </c>
      <c r="Q1203" s="2372">
        <f>'Part VIII-Threshold Criteria'!Q118</f>
        <v>0</v>
      </c>
    </row>
    <row r="1204" spans="1:17">
      <c r="B1204" s="2373"/>
      <c r="C1204" s="2345" t="s">
        <v>1804</v>
      </c>
      <c r="D1204" s="515" t="s">
        <v>1484</v>
      </c>
      <c r="E1204" s="515"/>
      <c r="F1204" s="515"/>
      <c r="G1204" s="515"/>
      <c r="H1204" s="515"/>
      <c r="I1204" s="515"/>
      <c r="J1204" s="515"/>
      <c r="K1204" s="515"/>
      <c r="L1204" s="2308"/>
      <c r="M1204" s="2308"/>
      <c r="O1204" s="2345" t="s">
        <v>1804</v>
      </c>
      <c r="P1204" s="2372" t="str">
        <f>'Part VIII-Threshold Criteria'!P119</f>
        <v>No</v>
      </c>
      <c r="Q1204" s="2372">
        <f>'Part VIII-Threshold Criteria'!Q119</f>
        <v>0</v>
      </c>
    </row>
    <row r="1205" spans="1:17">
      <c r="B1205" s="2373"/>
      <c r="C1205" s="2345" t="s">
        <v>1805</v>
      </c>
      <c r="D1205" s="515" t="s">
        <v>1485</v>
      </c>
      <c r="E1205" s="515"/>
      <c r="F1205" s="515"/>
      <c r="G1205" s="515"/>
      <c r="H1205" s="515"/>
      <c r="I1205" s="515"/>
      <c r="J1205" s="515"/>
      <c r="K1205" s="515"/>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180">
      <c r="A1207" s="2374" t="str">
        <f>'Part VIII-Threshold Criteria'!A122</f>
        <v>An appraisal is not required as there is not an identity of interest between the buyer and seller of the property; therefore, one has not been done at this time.</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5" t="s">
        <v>4049</v>
      </c>
      <c r="D1213" s="2337"/>
      <c r="E1213" s="2337"/>
      <c r="F1213" s="2337"/>
      <c r="G1213" s="2337"/>
      <c r="H1213" s="2337"/>
      <c r="I1213" s="2079"/>
      <c r="J1213" s="2079"/>
      <c r="K1213" s="2079"/>
      <c r="L1213" s="2345" t="s">
        <v>2058</v>
      </c>
      <c r="M1213" s="2368" t="str">
        <f>'Part VIII-Threshold Criteria'!M128</f>
        <v>United Consulting</v>
      </c>
      <c r="N1213" s="2368"/>
      <c r="O1213" s="2368"/>
      <c r="P1213" s="2368"/>
      <c r="Q1213" s="2372">
        <f>'Part VIII-Threshold Criteria'!Q128</f>
        <v>0</v>
      </c>
    </row>
    <row r="1214" spans="1:17">
      <c r="B1214" s="2373" t="s">
        <v>2061</v>
      </c>
      <c r="C1214" s="515" t="s">
        <v>1595</v>
      </c>
      <c r="D1214" s="2337"/>
      <c r="E1214" s="2337"/>
      <c r="F1214" s="2337"/>
      <c r="G1214" s="2337"/>
      <c r="H1214" s="2337"/>
      <c r="I1214" s="2079"/>
      <c r="J1214" s="2079"/>
      <c r="K1214" s="2337"/>
      <c r="L1214" s="2337"/>
      <c r="M1214" s="2303"/>
      <c r="O1214" s="2345" t="s">
        <v>2061</v>
      </c>
      <c r="P1214" s="2372" t="str">
        <f>'Part VIII-Threshold Criteria'!P129</f>
        <v>No</v>
      </c>
      <c r="Q1214" s="2372">
        <f>'Part VIII-Threshold Criteria'!Q129</f>
        <v>0</v>
      </c>
    </row>
    <row r="1215" spans="1:17">
      <c r="B1215" s="2373" t="s">
        <v>779</v>
      </c>
      <c r="C1215" s="515"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5" t="s">
        <v>2788</v>
      </c>
      <c r="E1216" s="2337"/>
      <c r="F1216" s="2337"/>
      <c r="G1216" s="2337"/>
      <c r="H1216" s="2337"/>
      <c r="I1216" s="2079"/>
      <c r="J1216" s="2079"/>
      <c r="K1216" s="2337"/>
      <c r="L1216" s="2345" t="s">
        <v>1803</v>
      </c>
      <c r="M1216" s="2368" t="str">
        <f>'Part VIII-Threshold Criteria'!M131</f>
        <v>Harry Walls Environmental Consulting</v>
      </c>
      <c r="N1216" s="2368"/>
      <c r="O1216" s="2368"/>
      <c r="P1216" s="2368"/>
      <c r="Q1216" s="2372">
        <f>'Part VIII-Threshold Criteria'!Q131</f>
        <v>0</v>
      </c>
    </row>
    <row r="1217" spans="2:17">
      <c r="B1217" s="2289"/>
      <c r="C1217" s="2345" t="s">
        <v>1804</v>
      </c>
      <c r="D1217" s="515" t="s">
        <v>3732</v>
      </c>
      <c r="E1217" s="2079"/>
      <c r="F1217" s="2079"/>
      <c r="G1217" s="2079"/>
      <c r="H1217" s="515"/>
      <c r="I1217" s="2079"/>
      <c r="J1217" s="2079"/>
      <c r="K1217" s="2337"/>
      <c r="L1217" s="2303"/>
      <c r="M1217" s="2303"/>
      <c r="O1217" s="2345" t="s">
        <v>1804</v>
      </c>
      <c r="P1217" s="2372">
        <f>'Part VIII-Threshold Criteria'!P132</f>
        <v>60.5</v>
      </c>
      <c r="Q1217" s="2372">
        <f>'Part VIII-Threshold Criteria'!Q132</f>
        <v>0</v>
      </c>
    </row>
    <row r="1218" spans="2:17">
      <c r="B1218" s="2289"/>
      <c r="C1218" s="2345" t="s">
        <v>1805</v>
      </c>
      <c r="D1218" s="515" t="s">
        <v>1433</v>
      </c>
      <c r="E1218" s="2079"/>
      <c r="F1218" s="2079"/>
      <c r="G1218" s="2079"/>
      <c r="H1218" s="515"/>
      <c r="I1218" s="2079"/>
      <c r="J1218" s="2079"/>
      <c r="K1218" s="2337"/>
      <c r="L1218" s="2303"/>
      <c r="M1218" s="2303"/>
      <c r="N1218" s="2303"/>
      <c r="O1218" s="2303"/>
    </row>
    <row r="1219" spans="2:17" ht="56.25">
      <c r="B1219" s="2269"/>
      <c r="C1219" s="2345"/>
      <c r="D1219" s="2337" t="str">
        <f>'Part VIII-Threshold Criteria'!D134</f>
        <v>SR 40 (East Kings Avenue), Saint Mary's Railroad.</v>
      </c>
      <c r="E1219" s="2337"/>
      <c r="F1219" s="2337"/>
      <c r="G1219" s="2337"/>
      <c r="H1219" s="2337"/>
      <c r="I1219" s="2337"/>
      <c r="J1219" s="2337"/>
      <c r="K1219" s="2337"/>
      <c r="L1219" s="2337"/>
      <c r="M1219" s="2337"/>
      <c r="N1219" s="2337"/>
      <c r="O1219" s="2337"/>
      <c r="P1219" s="2337"/>
      <c r="Q1219" s="2337"/>
    </row>
    <row r="1220" spans="2:17">
      <c r="B1220" s="2373" t="s">
        <v>2193</v>
      </c>
      <c r="C1220" s="515"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5"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5"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5" t="s">
        <v>2724</v>
      </c>
      <c r="E1223" s="2417" t="s">
        <v>2520</v>
      </c>
      <c r="F1223" s="515" t="s">
        <v>2725</v>
      </c>
      <c r="G1223" s="2079"/>
      <c r="H1223" s="515"/>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5" t="s">
        <v>2726</v>
      </c>
      <c r="G1224" s="2079"/>
      <c r="H1224" s="515"/>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5" t="s">
        <v>2727</v>
      </c>
      <c r="G1225" s="2079"/>
      <c r="H1225" s="515"/>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5" t="s">
        <v>1309</v>
      </c>
      <c r="E1226" s="2337"/>
      <c r="F1226" s="2337"/>
      <c r="G1226" s="2337"/>
      <c r="H1226" s="515"/>
      <c r="I1226" s="2079"/>
      <c r="J1226" s="2079"/>
      <c r="K1226" s="2337"/>
      <c r="L1226" s="2303"/>
      <c r="M1226" s="2303"/>
      <c r="O1226" s="2345" t="s">
        <v>1805</v>
      </c>
      <c r="P1226" s="2372" t="str">
        <f>'Part VIII-Threshold Criteria'!P141</f>
        <v>Yes</v>
      </c>
      <c r="Q1226" s="2372">
        <f>'Part VIII-Threshold Criteria'!Q141</f>
        <v>0</v>
      </c>
    </row>
    <row r="1227" spans="2:17">
      <c r="B1227" s="2373"/>
      <c r="C1227" s="2345"/>
      <c r="D1227" s="515" t="s">
        <v>2724</v>
      </c>
      <c r="E1227" s="2417" t="s">
        <v>2520</v>
      </c>
      <c r="F1227" s="515" t="s">
        <v>2728</v>
      </c>
      <c r="G1227" s="2079"/>
      <c r="H1227" s="515"/>
      <c r="I1227" s="2079"/>
      <c r="J1227" s="2079"/>
      <c r="K1227" s="2337"/>
      <c r="L1227" s="2303"/>
      <c r="O1227" s="2417" t="s">
        <v>2520</v>
      </c>
      <c r="P1227" s="2418">
        <f>'Part VIII-Threshold Criteria'!P142</f>
        <v>0.27789999999999998</v>
      </c>
      <c r="Q1227" s="2418">
        <f>'Part VIII-Threshold Criteria'!Q142</f>
        <v>0</v>
      </c>
    </row>
    <row r="1228" spans="2:17">
      <c r="B1228" s="2373"/>
      <c r="C1228" s="2345"/>
      <c r="E1228" s="2417" t="s">
        <v>2521</v>
      </c>
      <c r="F1228" s="515" t="s">
        <v>2729</v>
      </c>
      <c r="G1228" s="2079"/>
      <c r="H1228" s="515"/>
      <c r="I1228" s="2079"/>
      <c r="J1228" s="2079"/>
      <c r="O1228" s="2417" t="s">
        <v>2521</v>
      </c>
      <c r="P1228" s="2372" t="str">
        <f>'Part VIII-Threshold Criteria'!P143</f>
        <v>No</v>
      </c>
      <c r="Q1228" s="2372">
        <f>'Part VIII-Threshold Criteria'!Q143</f>
        <v>0</v>
      </c>
    </row>
    <row r="1229" spans="2:17">
      <c r="B1229" s="2373"/>
      <c r="C1229" s="2345"/>
      <c r="E1229" s="2417" t="s">
        <v>2522</v>
      </c>
      <c r="F1229" s="515" t="s">
        <v>2727</v>
      </c>
      <c r="G1229" s="2079"/>
      <c r="H1229" s="515"/>
      <c r="I1229" s="2079"/>
      <c r="J1229" s="2079"/>
      <c r="O1229" s="2417" t="s">
        <v>2522</v>
      </c>
      <c r="P1229" s="2372" t="str">
        <f>'Part VIII-Threshold Criteria'!P144</f>
        <v>Yes</v>
      </c>
      <c r="Q1229" s="2372">
        <f>'Part VIII-Threshold Criteria'!Q144</f>
        <v>0</v>
      </c>
    </row>
    <row r="1230" spans="2:17">
      <c r="B1230" s="515"/>
      <c r="C1230" s="2345" t="s">
        <v>2448</v>
      </c>
      <c r="D1230" s="515"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5" t="s">
        <v>2581</v>
      </c>
      <c r="E1232" s="2337"/>
      <c r="F1232" s="2372" t="str">
        <f>'Part VIII-Threshold Criteria'!F147</f>
        <v>No</v>
      </c>
      <c r="G1232" s="2372">
        <f>'Part VIII-Threshold Criteria'!G147</f>
        <v>0</v>
      </c>
      <c r="H1232" s="2345" t="s">
        <v>1606</v>
      </c>
      <c r="I1232" s="500" t="s">
        <v>2732</v>
      </c>
      <c r="L1232" s="2372" t="str">
        <f>'Part VIII-Threshold Criteria'!L147</f>
        <v>No</v>
      </c>
      <c r="M1232" s="2372">
        <f>'Part VIII-Threshold Criteria'!M147</f>
        <v>0</v>
      </c>
      <c r="N1232" s="2345" t="s">
        <v>531</v>
      </c>
      <c r="O1232" s="515" t="s">
        <v>1609</v>
      </c>
      <c r="P1232" s="2372" t="str">
        <f>'Part VIII-Threshold Criteria'!P147</f>
        <v>No</v>
      </c>
      <c r="Q1232" s="2372">
        <f>'Part VIII-Threshold Criteria'!Q147</f>
        <v>0</v>
      </c>
    </row>
    <row r="1233" spans="1:17">
      <c r="B1233" s="515"/>
      <c r="C1233" s="2345" t="s">
        <v>1804</v>
      </c>
      <c r="D1233" s="515" t="s">
        <v>2922</v>
      </c>
      <c r="E1233" s="2337"/>
      <c r="F1233" s="2372" t="str">
        <f>'Part VIII-Threshold Criteria'!F148</f>
        <v>No</v>
      </c>
      <c r="G1233" s="2372">
        <f>'Part VIII-Threshold Criteria'!G148</f>
        <v>0</v>
      </c>
      <c r="H1233" s="2345" t="s">
        <v>1607</v>
      </c>
      <c r="I1233" s="500" t="s">
        <v>2733</v>
      </c>
      <c r="L1233" s="2372" t="str">
        <f>'Part VIII-Threshold Criteria'!L148</f>
        <v>No</v>
      </c>
      <c r="M1233" s="2372">
        <f>'Part VIII-Threshold Criteria'!M148</f>
        <v>0</v>
      </c>
      <c r="N1233" s="2345" t="s">
        <v>532</v>
      </c>
      <c r="O1233" s="515" t="s">
        <v>1608</v>
      </c>
      <c r="P1233" s="2372" t="str">
        <f>'Part VIII-Threshold Criteria'!P148</f>
        <v>No</v>
      </c>
      <c r="Q1233" s="2372">
        <f>'Part VIII-Threshold Criteria'!Q148</f>
        <v>0</v>
      </c>
    </row>
    <row r="1234" spans="1:17">
      <c r="B1234" s="515"/>
      <c r="C1234" s="2345" t="s">
        <v>1805</v>
      </c>
      <c r="D1234" s="515" t="s">
        <v>2731</v>
      </c>
      <c r="E1234" s="2337"/>
      <c r="F1234" s="2372" t="str">
        <f>'Part VIII-Threshold Criteria'!F149</f>
        <v>No</v>
      </c>
      <c r="G1234" s="2372">
        <f>'Part VIII-Threshold Criteria'!G149</f>
        <v>0</v>
      </c>
      <c r="H1234" s="2345" t="s">
        <v>100</v>
      </c>
      <c r="I1234" s="500" t="s">
        <v>2923</v>
      </c>
      <c r="L1234" s="2372" t="str">
        <f>'Part VIII-Threshold Criteria'!L149</f>
        <v>No</v>
      </c>
      <c r="M1234" s="2372">
        <f>'Part VIII-Threshold Criteria'!M149</f>
        <v>0</v>
      </c>
      <c r="N1234" s="2345" t="s">
        <v>2925</v>
      </c>
      <c r="O1234" s="515" t="s">
        <v>1610</v>
      </c>
      <c r="P1234" s="2372" t="str">
        <f>'Part VIII-Threshold Criteria'!P149</f>
        <v>No</v>
      </c>
      <c r="Q1234" s="2372">
        <f>'Part VIII-Threshold Criteria'!Q149</f>
        <v>0</v>
      </c>
    </row>
    <row r="1235" spans="1:17">
      <c r="B1235" s="515"/>
      <c r="C1235" s="2345" t="s">
        <v>2448</v>
      </c>
      <c r="D1235" s="515" t="s">
        <v>2926</v>
      </c>
      <c r="E1235" s="2337"/>
      <c r="F1235" s="2372" t="str">
        <f>'Part VIII-Threshold Criteria'!F150</f>
        <v>No</v>
      </c>
      <c r="G1235" s="2372">
        <f>'Part VIII-Threshold Criteria'!G150</f>
        <v>0</v>
      </c>
      <c r="H1235" s="2345" t="s">
        <v>530</v>
      </c>
      <c r="I1235" s="515" t="s">
        <v>2921</v>
      </c>
      <c r="L1235" s="2372" t="str">
        <f>'Part VIII-Threshold Criteria'!L150</f>
        <v>No</v>
      </c>
      <c r="M1235" s="2372">
        <f>'Part VIII-Threshold Criteria'!M150</f>
        <v>0</v>
      </c>
      <c r="O1235" s="2345"/>
    </row>
    <row r="1236" spans="1:17">
      <c r="B1236" s="515"/>
      <c r="C1236" s="2345" t="s">
        <v>3037</v>
      </c>
      <c r="D1236" s="515" t="s">
        <v>2924</v>
      </c>
      <c r="E1236" s="2337"/>
      <c r="F1236" s="2337"/>
      <c r="G1236" s="2337"/>
      <c r="H1236" s="2337"/>
      <c r="I1236" s="2337"/>
      <c r="J1236" s="2337"/>
      <c r="K1236" s="2337"/>
      <c r="L1236" s="2337"/>
      <c r="M1236" s="515"/>
      <c r="O1236" s="2345"/>
      <c r="P1236" s="2345"/>
    </row>
    <row r="1237" spans="1:17">
      <c r="B1237" s="515"/>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5" t="s">
        <v>3856</v>
      </c>
      <c r="D1238" s="2337"/>
      <c r="E1238" s="2337"/>
      <c r="F1238" s="2337"/>
      <c r="G1238" s="2337"/>
      <c r="H1238" s="2337"/>
      <c r="I1238" s="2079"/>
      <c r="J1238" s="2079"/>
      <c r="K1238" s="2337"/>
      <c r="L1238" s="2337"/>
      <c r="M1238" s="2303"/>
    </row>
    <row r="1239" spans="1:17">
      <c r="A1239" s="2410"/>
      <c r="B1239" s="2079"/>
      <c r="C1239" s="2345" t="s">
        <v>1803</v>
      </c>
      <c r="D1239" s="515" t="s">
        <v>2927</v>
      </c>
      <c r="E1239" s="2337"/>
      <c r="F1239" s="2337"/>
      <c r="G1239" s="2337"/>
      <c r="H1239" s="2337"/>
      <c r="O1239" s="2345" t="s">
        <v>1803</v>
      </c>
      <c r="P1239" s="2372" t="str">
        <f>'Part VIII-Threshold Criteria'!P154</f>
        <v>No</v>
      </c>
      <c r="Q1239" s="2372">
        <f>'Part VIII-Threshold Criteria'!Q154</f>
        <v>0</v>
      </c>
    </row>
    <row r="1240" spans="1:17">
      <c r="A1240" s="2410"/>
      <c r="B1240" s="2369"/>
      <c r="C1240" s="2345" t="s">
        <v>1804</v>
      </c>
      <c r="D1240" s="515" t="s">
        <v>508</v>
      </c>
      <c r="E1240" s="515"/>
      <c r="F1240" s="515"/>
      <c r="G1240" s="515"/>
      <c r="H1240" s="515"/>
      <c r="I1240" s="2079"/>
      <c r="J1240" s="2079"/>
      <c r="K1240" s="515"/>
      <c r="L1240" s="515"/>
      <c r="M1240" s="515"/>
      <c r="O1240" s="2345" t="s">
        <v>1804</v>
      </c>
      <c r="P1240" s="2372" t="str">
        <f>'Part VIII-Threshold Criteria'!P155</f>
        <v>Yes</v>
      </c>
      <c r="Q1240" s="2372">
        <f>'Part VIII-Threshold Criteria'!Q155</f>
        <v>0</v>
      </c>
    </row>
    <row r="1241" spans="1:17">
      <c r="A1241" s="2410"/>
      <c r="B1241" s="2369"/>
      <c r="C1241" s="2345" t="s">
        <v>1805</v>
      </c>
      <c r="D1241" s="515" t="s">
        <v>707</v>
      </c>
      <c r="E1241" s="515"/>
      <c r="F1241" s="515"/>
      <c r="G1241" s="515"/>
      <c r="H1241" s="515"/>
      <c r="I1241" s="2079"/>
      <c r="J1241" s="2079"/>
      <c r="K1241" s="515"/>
      <c r="L1241" s="515"/>
      <c r="M1241" s="515"/>
      <c r="O1241" s="2345" t="s">
        <v>1805</v>
      </c>
      <c r="P1241" s="2372" t="str">
        <f>'Part VIII-Threshold Criteria'!P156</f>
        <v>Yes</v>
      </c>
      <c r="Q1241" s="2372">
        <f>'Part VIII-Threshold Criteria'!Q156</f>
        <v>0</v>
      </c>
    </row>
    <row r="1242" spans="1:17">
      <c r="B1242" s="2373" t="s">
        <v>2021</v>
      </c>
      <c r="C1242" s="515" t="s">
        <v>1819</v>
      </c>
      <c r="D1242" s="2337"/>
      <c r="E1242" s="2337"/>
      <c r="F1242" s="2337"/>
      <c r="G1242" s="2337"/>
      <c r="H1242" s="2337"/>
      <c r="I1242" s="2079"/>
      <c r="J1242" s="2079"/>
      <c r="K1242" s="2337"/>
      <c r="L1242" s="2337"/>
      <c r="M1242" s="2303"/>
      <c r="O1242" s="2345" t="s">
        <v>2021</v>
      </c>
      <c r="P1242" s="2372" t="str">
        <f>'Part VIII-Threshold Criteria'!P157</f>
        <v>N/A</v>
      </c>
      <c r="Q1242" s="2372">
        <f>'Part VIII-Threshold Criteria'!Q157</f>
        <v>0</v>
      </c>
    </row>
    <row r="1243" spans="1:17">
      <c r="A1243" s="2419" t="s">
        <v>3718</v>
      </c>
      <c r="C1243" s="515"/>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3559</v>
      </c>
      <c r="C1244" s="2374" t="s">
        <v>4449</v>
      </c>
      <c r="D1244" s="2374"/>
      <c r="E1244" s="2374"/>
      <c r="F1244" s="2374"/>
      <c r="G1244" s="2374"/>
      <c r="H1244" s="2374"/>
      <c r="I1244" s="2374"/>
      <c r="J1244" s="2374"/>
      <c r="K1244" s="2374"/>
      <c r="L1244" s="2374"/>
      <c r="M1244" s="2415" t="s">
        <v>3559</v>
      </c>
      <c r="N1244" s="2367" t="str">
        <f>'Part VIII-Threshold Criteria'!N159</f>
        <v>Non-minority</v>
      </c>
      <c r="O1244" s="2367"/>
      <c r="P1244" s="2367" t="str">
        <f>'Part VIII-Threshold Criteria'!P159</f>
        <v>&lt;&lt;Select&gt;&gt;</v>
      </c>
      <c r="Q1244" s="2367"/>
    </row>
    <row r="1245" spans="1:17" ht="33.75">
      <c r="A1245" s="2079"/>
      <c r="B1245" s="2373" t="s">
        <v>640</v>
      </c>
      <c r="C1245" s="2308" t="s">
        <v>1</v>
      </c>
      <c r="D1245" s="2420"/>
      <c r="E1245" s="2420"/>
      <c r="F1245" s="2079"/>
      <c r="G1245" s="2345" t="s">
        <v>640</v>
      </c>
      <c r="H1245" s="2337" t="str">
        <f>'Part VIII-Threshold Criteria'!H160</f>
        <v>104.02, 105, 106.01, 104.03, 103.01, 103.02</v>
      </c>
      <c r="I1245" s="2337"/>
      <c r="J1245" s="2337"/>
      <c r="K1245" s="2337"/>
      <c r="L1245" s="2337"/>
      <c r="M1245" s="2337"/>
      <c r="N1245" s="2337"/>
      <c r="O1245" s="2337"/>
      <c r="P1245" s="2337"/>
      <c r="Q1245" s="2372">
        <f>'Part VIII-Threshold Criteria'!Q160</f>
        <v>0</v>
      </c>
    </row>
    <row r="1246" spans="1:17">
      <c r="A1246" s="2079"/>
      <c r="B1246" s="2373" t="s">
        <v>3560</v>
      </c>
      <c r="C1246" s="2308" t="s">
        <v>1469</v>
      </c>
      <c r="D1246" s="2421"/>
      <c r="E1246" s="2421"/>
      <c r="F1246" s="2421"/>
      <c r="G1246" s="2080"/>
      <c r="H1246" s="2080"/>
      <c r="I1246" s="2308"/>
      <c r="J1246" s="2079"/>
      <c r="K1246" s="2080"/>
      <c r="L1246" s="2080"/>
      <c r="M1246" s="2080"/>
      <c r="N1246" s="2079"/>
      <c r="O1246" s="2345" t="s">
        <v>3560</v>
      </c>
      <c r="P1246" s="2372" t="str">
        <f>'Part VIII-Threshold Criteria'!P161</f>
        <v>No</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409.5">
      <c r="A1248" s="2374" t="str">
        <f>'Part VIII-Threshold Criteria'!A163</f>
        <v>Please note that a noise assessment along with 10 year projections for the major roadway have been included within the Phase I report. Item F., Part 1) is answered no because though there are wetlands on the site, the proposed development will not disturb any of the wetlands. All required census tract documentation as it pertains to items H &amp; I above is included in Tab 7 behind the Site and Neighborhood Standards Certification.</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5" t="s">
        <v>4163</v>
      </c>
      <c r="D1254" s="515"/>
      <c r="E1254" s="515"/>
      <c r="F1254" s="515"/>
      <c r="G1254" s="515"/>
      <c r="I1254" s="515" t="s">
        <v>2811</v>
      </c>
      <c r="K1254" s="2422">
        <f>'Part VIII-Threshold Criteria'!K169</f>
        <v>42795</v>
      </c>
      <c r="L1254" s="2422"/>
      <c r="N1254" s="515"/>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Contract/Option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The Preserve at Newport, LP</v>
      </c>
      <c r="L1256" s="2368"/>
      <c r="M1256" s="2368"/>
      <c r="N1256" s="2368"/>
      <c r="O1256" s="2368"/>
      <c r="P1256" s="2368"/>
      <c r="Q1256" s="2372">
        <f>'Part VIII-Threshold Criteria'!Q171</f>
        <v>0</v>
      </c>
    </row>
    <row r="1257" spans="1:17">
      <c r="A1257" s="2289"/>
      <c r="B1257" s="2373" t="s">
        <v>2193</v>
      </c>
      <c r="C1257" s="2397" t="s">
        <v>3023</v>
      </c>
      <c r="D1257" s="2397"/>
      <c r="E1257" s="2397"/>
      <c r="F1257" s="2397"/>
      <c r="G1257" s="2397"/>
      <c r="H1257" s="2397"/>
      <c r="J1257" s="2345"/>
      <c r="K1257" s="2345"/>
      <c r="L1257" s="2345"/>
      <c r="M1257" s="2345"/>
      <c r="N1257" s="2345"/>
      <c r="O1257" s="2345" t="s">
        <v>2193</v>
      </c>
      <c r="P1257" s="2372" t="str">
        <f>'Part VIII-Threshold Criteria'!P172</f>
        <v>Yes</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191.25">
      <c r="A1259" s="2374" t="str">
        <f>'Part VIII-Threshold Criteria'!A174</f>
        <v xml:space="preserve">No identity of interest exists between Seller and Purchaser. In reference to item D. above, please note that the entity with site control, via assignment, is the applicant. </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4050</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4051</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112.5">
      <c r="A1268" s="2374" t="str">
        <f>'Part VIII-Threshold Criteria'!A183</f>
        <v>The site is bordered by 3 paved roads. Photos of paved roads are located in Tab 9: Site Access.</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4450</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3733</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Yes</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123.75">
      <c r="A1284" s="2374" t="str">
        <f>'Part VIII-Threshold Criteria'!A199</f>
        <v>The project property is zoned C-2, which allows for Multi-Family housing as evidenced by the zoning letter in Tab 10.</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5" t="s">
        <v>157</v>
      </c>
      <c r="K1289" s="2368" t="str">
        <f>'Part VIII-Threshold Criteria'!K204</f>
        <v>N/A</v>
      </c>
      <c r="L1289" s="2368"/>
      <c r="M1289" s="2368"/>
      <c r="N1289" s="2368"/>
      <c r="O1289" s="2345" t="s">
        <v>1803</v>
      </c>
      <c r="P1289" s="2372" t="str">
        <f>'Part VIII-Threshold Criteria'!P204</f>
        <v>No</v>
      </c>
      <c r="Q1289" s="2372">
        <f>'Part VIII-Threshold Criteria'!Q204</f>
        <v>0</v>
      </c>
    </row>
    <row r="1290" spans="1:17">
      <c r="A1290" s="2289"/>
      <c r="B1290" s="2369"/>
      <c r="C1290" s="2176"/>
      <c r="D1290" s="2176"/>
      <c r="E1290" s="2176"/>
      <c r="F1290" s="2176"/>
      <c r="H1290" s="2345" t="s">
        <v>1804</v>
      </c>
      <c r="I1290" s="515"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67.5">
      <c r="A1292" s="2374" t="str">
        <f>'Part VIII-Threshold Criteria'!A207</f>
        <v>The project will not be using gas as a utility; everything is electric.</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5" t="s">
        <v>659</v>
      </c>
      <c r="K1300" s="2368" t="str">
        <f>'Part VIII-Threshold Criteria'!K215</f>
        <v>City of Kingsland</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5" t="s">
        <v>118</v>
      </c>
      <c r="K1301" s="2368" t="str">
        <f>'Part VIII-Threshold Criteria'!K216</f>
        <v>City of Kingsland</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247.5">
      <c r="A1303" s="2374" t="str">
        <f>'Part VIII-Threshold Criteria'!A218</f>
        <v>No Waiver was requested because no waiver is needed. Water and sewer service is available to the site and the provider has capacity to serve both to the proposed development as evidenced by the letter in Tab 12.</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0" t="s">
        <v>149</v>
      </c>
    </row>
    <row r="1309" spans="1:17">
      <c r="B1309" s="2373" t="s">
        <v>2058</v>
      </c>
      <c r="C1309" s="515" t="s">
        <v>3062</v>
      </c>
      <c r="D1309" s="2079"/>
      <c r="E1309" s="515"/>
      <c r="F1309" s="515"/>
      <c r="G1309" s="515"/>
      <c r="H1309" s="515"/>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5"/>
      <c r="D1310" s="515" t="s">
        <v>3047</v>
      </c>
      <c r="E1310" s="515"/>
      <c r="F1310" s="515"/>
      <c r="G1310" s="2427">
        <f>'Part VIII-Threshold Criteria'!G225</f>
        <v>42488</v>
      </c>
      <c r="H1310" s="2427"/>
      <c r="L1310" s="2337" t="s">
        <v>3852</v>
      </c>
      <c r="M1310" s="2427">
        <f>'Part VIII-Threshold Criteria'!M225</f>
        <v>0</v>
      </c>
      <c r="N1310" s="2427"/>
    </row>
    <row r="1311" spans="1:17">
      <c r="B1311" s="2373"/>
      <c r="C1311" s="515"/>
      <c r="D1311" s="500" t="s">
        <v>3049</v>
      </c>
      <c r="E1311" s="515"/>
      <c r="F1311" s="515"/>
      <c r="G1311" s="2368" t="str">
        <f>'Part VIII-Threshold Criteria'!G226</f>
        <v>Tribune &amp; Georgian</v>
      </c>
      <c r="H1311" s="2368"/>
      <c r="I1311" s="2368"/>
      <c r="J1311" s="2368"/>
      <c r="K1311" s="2368"/>
      <c r="L1311" s="2337"/>
      <c r="M1311" s="2368">
        <f>'Part VIII-Threshold Criteria'!M226</f>
        <v>0</v>
      </c>
      <c r="N1311" s="2368"/>
      <c r="O1311" s="2368"/>
      <c r="P1311" s="2368"/>
      <c r="Q1311" s="2368"/>
    </row>
    <row r="1312" spans="1:17">
      <c r="B1312" s="2373"/>
      <c r="C1312" s="515"/>
      <c r="D1312" s="515" t="s">
        <v>3048</v>
      </c>
      <c r="E1312" s="2079"/>
      <c r="G1312" s="2427">
        <f>'Part VIII-Threshold Criteria'!G227</f>
        <v>42494</v>
      </c>
      <c r="H1312" s="2427"/>
      <c r="I1312" s="515"/>
      <c r="J1312" s="2079"/>
      <c r="K1312" s="2079"/>
      <c r="L1312" s="2337"/>
      <c r="M1312" s="2427">
        <f>'Part VIII-Threshold Criteria'!M227</f>
        <v>0</v>
      </c>
      <c r="N1312" s="2427"/>
    </row>
    <row r="1313" spans="1:17">
      <c r="B1313" s="2373" t="s">
        <v>2061</v>
      </c>
      <c r="C1313" s="515" t="s">
        <v>2928</v>
      </c>
      <c r="D1313" s="515"/>
      <c r="E1313" s="515"/>
      <c r="F1313" s="515"/>
      <c r="G1313" s="515"/>
      <c r="H1313" s="515"/>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5" t="s">
        <v>2929</v>
      </c>
      <c r="D1314" s="515"/>
      <c r="E1314" s="515"/>
      <c r="F1314" s="515"/>
      <c r="G1314" s="515"/>
      <c r="H1314" s="515"/>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5" t="s">
        <v>3734</v>
      </c>
      <c r="D1315" s="515"/>
      <c r="E1315" s="515"/>
      <c r="F1315" s="515"/>
      <c r="G1315" s="515"/>
      <c r="H1315" s="515"/>
      <c r="I1315" s="2079"/>
      <c r="J1315" s="2079"/>
      <c r="K1315" s="2079"/>
      <c r="L1315" s="2423"/>
      <c r="M1315" s="2423"/>
      <c r="O1315" s="2345" t="s">
        <v>2193</v>
      </c>
      <c r="P1315" s="2372" t="str">
        <f>'Part VIII-Threshold Criteria'!P230</f>
        <v>No</v>
      </c>
      <c r="Q1315" s="2372">
        <f>'Part VIII-Threshold Criteria'!Q230</f>
        <v>0</v>
      </c>
    </row>
    <row r="1316" spans="1:17">
      <c r="B1316" s="2373" t="s">
        <v>1801</v>
      </c>
      <c r="C1316" s="515" t="s">
        <v>150</v>
      </c>
      <c r="D1316" s="515"/>
      <c r="E1316" s="515"/>
      <c r="F1316" s="515"/>
      <c r="G1316" s="515"/>
      <c r="H1316" s="515"/>
      <c r="I1316" s="2079"/>
      <c r="J1316" s="2079"/>
      <c r="K1316" s="2079"/>
      <c r="L1316" s="2079"/>
      <c r="M1316" s="2079"/>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270">
      <c r="A1318" s="2374" t="str">
        <f>'Part VIII-Threshold Criteria'!A233</f>
        <v xml:space="preserve">As evidenced in Tab 13, a public meeting was held at the local hotel. Please note that item E. above has been marked "Yes" as we have included a support letter from Jason Spencer, State Representative of District 180. </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0" t="s">
        <v>1235</v>
      </c>
      <c r="N1324" s="2253"/>
      <c r="P1324" s="2372" t="str">
        <f>'Part VIII-Threshold Criteria'!P239</f>
        <v>No</v>
      </c>
      <c r="Q1324" s="2372">
        <f>'Part VIII-Threshold Criteria'!Q239</f>
        <v>0</v>
      </c>
    </row>
    <row r="1325" spans="1:17">
      <c r="B1325" s="2373" t="s">
        <v>2058</v>
      </c>
      <c r="C1325" s="515" t="s">
        <v>3062</v>
      </c>
      <c r="D1325" s="2079"/>
      <c r="E1325" s="515"/>
      <c r="F1325" s="515"/>
      <c r="G1325" s="515"/>
      <c r="H1325" s="515"/>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5" t="s">
        <v>2005</v>
      </c>
      <c r="E1326" s="515"/>
      <c r="F1326" s="515"/>
      <c r="G1326" s="515"/>
      <c r="H1326" s="515"/>
      <c r="I1326" s="2079"/>
      <c r="K1326" s="2345" t="s">
        <v>1543</v>
      </c>
      <c r="L1326" s="2368" t="str">
        <f>'Part VIII-Threshold Criteria'!L241</f>
        <v>Building</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Covered Porch</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5"/>
      <c r="E1329" s="515"/>
      <c r="F1329" s="515"/>
      <c r="G1329" s="515"/>
      <c r="H1329" s="515"/>
      <c r="I1329" s="2079"/>
      <c r="J1329" s="2079"/>
      <c r="K1329" s="2079"/>
      <c r="L1329" s="2079"/>
      <c r="M1329" s="2079"/>
    </row>
    <row r="1330" spans="1:17">
      <c r="B1330" s="2373" t="s">
        <v>2061</v>
      </c>
      <c r="C1330" s="515" t="s">
        <v>2596</v>
      </c>
      <c r="D1330" s="515"/>
      <c r="E1330" s="515"/>
      <c r="F1330" s="515"/>
      <c r="G1330" s="515"/>
      <c r="H1330" s="515"/>
      <c r="I1330" s="515"/>
      <c r="J1330" s="515"/>
      <c r="K1330" s="2079"/>
      <c r="L1330" s="2079"/>
      <c r="M1330" s="2079"/>
      <c r="N1330" s="2079"/>
      <c r="O1330" s="2345" t="s">
        <v>2061</v>
      </c>
      <c r="P1330" s="2372" t="str">
        <f>'Part VIII-Threshold Criteria'!P245</f>
        <v>Agree</v>
      </c>
      <c r="Q1330" s="2372">
        <f>'Part VIII-Threshold Criteria'!Q245</f>
        <v>0</v>
      </c>
    </row>
    <row r="1331" spans="1:17">
      <c r="B1331" s="2373"/>
      <c r="C1331" s="515" t="s">
        <v>4451</v>
      </c>
      <c r="D1331" s="515"/>
      <c r="E1331" s="515"/>
      <c r="F1331" s="515"/>
      <c r="G1331" s="515"/>
      <c r="H1331" s="515"/>
      <c r="I1331" s="515"/>
      <c r="J1331" s="515"/>
      <c r="K1331" s="2079"/>
      <c r="L1331" s="2079"/>
      <c r="M1331" s="2079"/>
      <c r="N1331" s="2079"/>
      <c r="O1331" s="2079"/>
      <c r="P1331" s="2426" t="s">
        <v>3</v>
      </c>
      <c r="Q1331" s="2426"/>
    </row>
    <row r="1332" spans="1:17">
      <c r="B1332" s="2373"/>
      <c r="D1332" s="515" t="s">
        <v>2</v>
      </c>
      <c r="E1332" s="515"/>
      <c r="F1332" s="515"/>
      <c r="G1332" s="515"/>
      <c r="I1332" s="2429" t="s">
        <v>804</v>
      </c>
      <c r="J1332" s="2074" t="s">
        <v>805</v>
      </c>
      <c r="L1332" s="515" t="s">
        <v>2831</v>
      </c>
      <c r="M1332" s="2079"/>
      <c r="N1332" s="2079"/>
      <c r="O1332" s="2429"/>
      <c r="P1332" s="2204" t="s">
        <v>804</v>
      </c>
      <c r="Q1332" s="2074" t="s">
        <v>805</v>
      </c>
    </row>
    <row r="1333" spans="1:17">
      <c r="A1333" s="2079"/>
      <c r="B1333" s="2372"/>
      <c r="C1333" s="2345" t="s">
        <v>1803</v>
      </c>
      <c r="D1333" s="2374" t="str">
        <f>'Part VIII-Threshold Criteria'!D248</f>
        <v>Playground</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33.75">
      <c r="A1334" s="2079"/>
      <c r="B1334" s="2372"/>
      <c r="C1334" s="2345" t="s">
        <v>1804</v>
      </c>
      <c r="D1334" s="2374" t="str">
        <f>'Part VIII-Threshold Criteria'!D249</f>
        <v>Covered pavilion with BBQ Grills</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5"/>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5" t="s">
        <v>1431</v>
      </c>
      <c r="D1336" s="515"/>
      <c r="E1336" s="515"/>
      <c r="F1336" s="515"/>
      <c r="G1336" s="515"/>
      <c r="H1336" s="515"/>
      <c r="I1336" s="515"/>
      <c r="J1336" s="515"/>
      <c r="K1336" s="2079"/>
      <c r="L1336" s="515"/>
      <c r="M1336" s="515"/>
      <c r="O1336" s="2345" t="s">
        <v>779</v>
      </c>
      <c r="P1336" s="2372" t="str">
        <f>'Part VIII-Threshold Criteria'!P251</f>
        <v>Agree</v>
      </c>
      <c r="Q1336" s="2372">
        <f>'Part VIII-Threshold Criteria'!Q251</f>
        <v>0</v>
      </c>
    </row>
    <row r="1337" spans="1:17">
      <c r="B1337" s="2373"/>
      <c r="C1337" s="2345" t="s">
        <v>1803</v>
      </c>
      <c r="D1337" s="515" t="s">
        <v>3723</v>
      </c>
      <c r="E1337" s="515"/>
      <c r="F1337" s="515"/>
      <c r="G1337" s="515"/>
      <c r="H1337" s="515"/>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2932</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5" t="s">
        <v>806</v>
      </c>
      <c r="E1342" s="515"/>
      <c r="F1342" s="515"/>
      <c r="G1342" s="515"/>
      <c r="H1342" s="515"/>
      <c r="I1342" s="2079"/>
      <c r="J1342" s="2079"/>
      <c r="K1342" s="2079"/>
      <c r="L1342" s="2079"/>
      <c r="M1342" s="2079"/>
      <c r="O1342" s="2345" t="s">
        <v>2918</v>
      </c>
      <c r="P1342" s="2372" t="str">
        <f>'Part VIII-Threshold Criteria'!P257</f>
        <v>No</v>
      </c>
      <c r="Q1342" s="2372">
        <f>'Part VIII-Threshold Criteria'!Q257</f>
        <v>0</v>
      </c>
    </row>
    <row r="1343" spans="1:17">
      <c r="B1343" s="2373"/>
      <c r="C1343" s="2345"/>
      <c r="D1343" s="515" t="s">
        <v>1546</v>
      </c>
      <c r="E1343" s="515"/>
      <c r="F1343" s="515"/>
      <c r="G1343" s="515"/>
      <c r="H1343" s="515"/>
      <c r="I1343" s="2079"/>
      <c r="J1343" s="2079"/>
      <c r="K1343" s="2079"/>
      <c r="L1343" s="2079"/>
      <c r="M1343" s="2079"/>
      <c r="O1343" s="2345" t="s">
        <v>2919</v>
      </c>
      <c r="P1343" s="2372" t="str">
        <f>'Part VIII-Threshold Criteria'!P258</f>
        <v>Yes</v>
      </c>
      <c r="Q1343" s="2372">
        <f>'Part VIII-Threshold Criteria'!Q258</f>
        <v>0</v>
      </c>
    </row>
    <row r="1344" spans="1:17">
      <c r="B1344" s="2373"/>
      <c r="C1344" s="2345"/>
      <c r="D1344" s="515"/>
      <c r="E1344" s="515"/>
      <c r="F1344" s="515"/>
      <c r="G1344" s="515"/>
      <c r="H1344" s="515"/>
      <c r="I1344" s="2079"/>
      <c r="J1344" s="2079"/>
      <c r="K1344" s="2079"/>
      <c r="L1344" s="2079"/>
      <c r="M1344" s="2079"/>
    </row>
    <row r="1345" spans="1:17">
      <c r="B1345" s="2373" t="s">
        <v>2193</v>
      </c>
      <c r="C1345" s="515" t="s">
        <v>4096</v>
      </c>
      <c r="D1345" s="515"/>
      <c r="E1345" s="515"/>
      <c r="F1345" s="515"/>
      <c r="G1345" s="515"/>
      <c r="H1345" s="515"/>
      <c r="I1345" s="515"/>
      <c r="J1345" s="515"/>
      <c r="K1345" s="2079"/>
      <c r="L1345" s="515"/>
      <c r="M1345" s="515"/>
      <c r="O1345" s="2345" t="s">
        <v>2193</v>
      </c>
      <c r="P1345" s="2372" t="str">
        <f>'Part VIII-Threshold Criteria'!P260</f>
        <v>N/A</v>
      </c>
      <c r="Q1345" s="2372">
        <f>'Part VIII-Threshold Criteria'!Q260</f>
        <v>0</v>
      </c>
    </row>
    <row r="1346" spans="1:17">
      <c r="B1346" s="2373"/>
      <c r="C1346" s="2345" t="s">
        <v>1803</v>
      </c>
      <c r="D1346" s="515" t="s">
        <v>1302</v>
      </c>
      <c r="E1346" s="2079"/>
      <c r="F1346" s="2079"/>
      <c r="G1346" s="515"/>
      <c r="H1346" s="2308"/>
      <c r="I1346" s="2079"/>
      <c r="J1346" s="2308"/>
      <c r="K1346" s="2079"/>
      <c r="L1346" s="2308"/>
      <c r="M1346" s="2308"/>
      <c r="O1346" s="2345" t="s">
        <v>1803</v>
      </c>
      <c r="P1346" s="2372">
        <f>'Part VIII-Threshold Criteria'!P261</f>
        <v>0</v>
      </c>
      <c r="Q1346" s="2372">
        <f>'Part VIII-Threshold Criteria'!Q261</f>
        <v>0</v>
      </c>
    </row>
    <row r="1347" spans="1:17">
      <c r="B1347" s="2373"/>
      <c r="C1347" s="2345" t="s">
        <v>1804</v>
      </c>
      <c r="D1347" s="515" t="s">
        <v>151</v>
      </c>
      <c r="E1347" s="2079"/>
      <c r="F1347" s="2079"/>
      <c r="G1347" s="2308"/>
      <c r="H1347" s="2308"/>
      <c r="I1347" s="2079"/>
      <c r="J1347" s="2308"/>
      <c r="K1347" s="2079"/>
      <c r="L1347" s="2308"/>
      <c r="M1347" s="2308"/>
      <c r="O1347" s="2345" t="s">
        <v>1804</v>
      </c>
      <c r="P1347" s="2372">
        <f>'Part VIII-Threshold Criteria'!P262</f>
        <v>0</v>
      </c>
      <c r="Q1347" s="2372">
        <f>'Part VIII-Threshold Criteria'!Q262</f>
        <v>0</v>
      </c>
    </row>
    <row r="1348" spans="1:17">
      <c r="B1348" s="2373"/>
      <c r="C1348" s="2345" t="s">
        <v>1805</v>
      </c>
      <c r="D1348" s="2308" t="s">
        <v>4052</v>
      </c>
      <c r="E1348" s="2079"/>
      <c r="F1348" s="2079"/>
      <c r="G1348" s="2308"/>
      <c r="H1348" s="2308"/>
      <c r="I1348" s="2079"/>
      <c r="J1348" s="2308"/>
      <c r="K1348" s="2079"/>
      <c r="L1348" s="2308"/>
      <c r="M1348" s="2308"/>
      <c r="O1348" s="2345" t="s">
        <v>2454</v>
      </c>
      <c r="P1348" s="2372">
        <f>'Part VIII-Threshold Criteria'!P263</f>
        <v>0</v>
      </c>
      <c r="Q1348" s="2372">
        <f>'Part VIII-Threshold Criteria'!Q263</f>
        <v>0</v>
      </c>
    </row>
    <row r="1349" spans="1:17">
      <c r="B1349" s="515"/>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78.75">
      <c r="A1351" s="2374" t="str">
        <f>'Part VIII-Threshold Criteria'!A266</f>
        <v>The project is for families; therefore, Section D above is all N/A.</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5" t="s">
        <v>1315</v>
      </c>
      <c r="D1357" s="2079"/>
      <c r="E1357" s="515"/>
      <c r="F1357" s="515"/>
      <c r="G1357" s="515"/>
      <c r="H1357" s="515"/>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5" t="s">
        <v>2934</v>
      </c>
      <c r="D1358" s="515"/>
      <c r="E1358" s="515"/>
      <c r="F1358" s="515"/>
      <c r="G1358" s="515"/>
      <c r="H1358" s="515"/>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5" t="s">
        <v>2019</v>
      </c>
      <c r="D1359" s="515"/>
      <c r="E1359" s="515"/>
      <c r="F1359" s="515"/>
      <c r="G1359" s="515"/>
      <c r="H1359" s="515"/>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5" t="s">
        <v>2631</v>
      </c>
      <c r="D1360" s="515"/>
      <c r="E1360" s="515"/>
      <c r="F1360" s="515"/>
      <c r="G1360" s="515"/>
      <c r="H1360" s="515"/>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4452</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112.5">
      <c r="A1363" s="2374" t="str">
        <f>'Part VIII-Threshold Criteria'!A278</f>
        <v>This is a New Construction project; therefore, this section for Rehabilitation Does Not Apply</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5" t="s">
        <v>1457</v>
      </c>
      <c r="D1370" s="515"/>
      <c r="E1370" s="515"/>
      <c r="F1370" s="515"/>
      <c r="G1370" s="515"/>
      <c r="H1370" s="515"/>
      <c r="I1370" s="515"/>
      <c r="J1370" s="515"/>
      <c r="K1370" s="515"/>
      <c r="L1370" s="515"/>
      <c r="M1370" s="515"/>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202.5">
      <c r="A1372" s="2374" t="str">
        <f>'Part VIII-Threshold Criteria'!A287</f>
        <v>Site Plan is in accordance with all DCA instructions in the Architectural Manual, including all site related amenities being shown on the Conceptual Site Development Plan.</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2936</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2937</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258.75">
      <c r="A1380" s="2374" t="str">
        <f>'Part VIII-Threshold Criteria'!A295</f>
        <v>The project will meet or exceed the energy efficiency and sustainable building practices set forth by DCA.  In addition, all construction documentation will be clear and complete to ensure that it meets DCA requirements.</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3735</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3719</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4053</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4054</v>
      </c>
      <c r="E1388" s="2374"/>
      <c r="F1388" s="2374"/>
      <c r="G1388" s="2374"/>
      <c r="H1388" s="2374"/>
      <c r="I1388" s="2374"/>
      <c r="J1388" s="2374"/>
      <c r="K1388" s="2374"/>
      <c r="L1388" s="2374"/>
      <c r="M1388" s="2374"/>
      <c r="N1388" s="2374"/>
      <c r="O1388" s="2345" t="s">
        <v>4056</v>
      </c>
      <c r="P1388" s="2372" t="str">
        <f>'Part VIII-Threshold Criteria'!P303</f>
        <v>Yes</v>
      </c>
      <c r="Q1388" s="2372">
        <f>'Part VIII-Threshold Criteria'!Q303</f>
        <v>0</v>
      </c>
    </row>
    <row r="1389" spans="1:17" ht="12.75" customHeight="1">
      <c r="A1389" s="2079"/>
      <c r="B1389" s="2371"/>
      <c r="C1389" s="2415"/>
      <c r="D1389" s="2374" t="s">
        <v>4055</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4058</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4059</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4057</v>
      </c>
      <c r="E1393" s="2374"/>
      <c r="F1393" s="2374"/>
      <c r="G1393" s="2374"/>
      <c r="H1393" s="2374"/>
      <c r="I1393" s="2374"/>
      <c r="J1393" s="2374"/>
      <c r="K1393" s="2374"/>
      <c r="L1393" s="2374"/>
      <c r="M1393" s="2374"/>
      <c r="N1393" s="2374"/>
      <c r="O1393" s="2415" t="s">
        <v>4062</v>
      </c>
      <c r="P1393" s="2372" t="str">
        <f>'Part VIII-Threshold Criteria'!P308</f>
        <v>Yes</v>
      </c>
      <c r="Q1393" s="2372">
        <f>'Part VIII-Threshold Criteria'!Q308</f>
        <v>0</v>
      </c>
    </row>
    <row r="1394" spans="1:17" ht="12.75" customHeight="1">
      <c r="A1394" s="2414"/>
      <c r="B1394" s="2371"/>
      <c r="C1394" s="2415" t="s">
        <v>1804</v>
      </c>
      <c r="D1394" s="2374" t="s">
        <v>4130</v>
      </c>
      <c r="E1394" s="2374"/>
      <c r="F1394" s="2374"/>
      <c r="G1394" s="2374"/>
      <c r="H1394" s="2374"/>
      <c r="I1394" s="2374"/>
      <c r="J1394" s="2374"/>
      <c r="K1394" s="2374"/>
      <c r="L1394" s="2374"/>
      <c r="M1394" s="2374"/>
      <c r="N1394" s="2374"/>
      <c r="O1394" s="2415" t="s">
        <v>4063</v>
      </c>
      <c r="P1394" s="2372" t="str">
        <f>'Part VIII-Threshold Criteria'!P309</f>
        <v>Yes</v>
      </c>
      <c r="Q1394" s="2372">
        <f>'Part VIII-Threshold Criteria'!Q309</f>
        <v>0</v>
      </c>
    </row>
    <row r="1395" spans="1:17" ht="12.75" customHeight="1">
      <c r="A1395" s="2414"/>
      <c r="B1395" s="2371"/>
      <c r="C1395" s="2415" t="s">
        <v>1805</v>
      </c>
      <c r="D1395" s="2374" t="s">
        <v>4060</v>
      </c>
      <c r="E1395" s="2374"/>
      <c r="F1395" s="2374"/>
      <c r="G1395" s="2374"/>
      <c r="H1395" s="2374"/>
      <c r="I1395" s="2374"/>
      <c r="J1395" s="2374"/>
      <c r="K1395" s="2374"/>
      <c r="L1395" s="2374"/>
      <c r="M1395" s="2374"/>
      <c r="N1395" s="2374"/>
      <c r="O1395" s="2415" t="s">
        <v>4064</v>
      </c>
      <c r="P1395" s="2372" t="str">
        <f>'Part VIII-Threshold Criteria'!P310</f>
        <v>Yes</v>
      </c>
      <c r="Q1395" s="2372">
        <f>'Part VIII-Threshold Criteria'!Q310</f>
        <v>0</v>
      </c>
    </row>
    <row r="1396" spans="1:17" ht="12.75" customHeight="1">
      <c r="A1396" s="2414"/>
      <c r="B1396" s="2371"/>
      <c r="C1396" s="2415" t="s">
        <v>2448</v>
      </c>
      <c r="D1396" s="2374" t="s">
        <v>4061</v>
      </c>
      <c r="E1396" s="2374"/>
      <c r="F1396" s="2374"/>
      <c r="G1396" s="2374"/>
      <c r="H1396" s="2374"/>
      <c r="I1396" s="2374"/>
      <c r="J1396" s="2374"/>
      <c r="K1396" s="2374"/>
      <c r="L1396" s="2374"/>
      <c r="M1396" s="2374"/>
      <c r="N1396" s="2374"/>
      <c r="O1396" s="2415" t="s">
        <v>4065</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281.25">
      <c r="A1398" s="2374" t="str">
        <f>'Part VIII-Threshold Criteria'!A313</f>
        <v>The project will meet or exceed all Fair Housing accessibility requirements as set forth.  In addition, an approved qualified consultant(s) will be used throughout the entire project from start through final inspection, per DCA requirements.</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0"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4453</v>
      </c>
      <c r="D1404" s="2308"/>
      <c r="E1404" s="2308"/>
      <c r="F1404" s="2308"/>
      <c r="G1404" s="2308"/>
      <c r="H1404" s="2308"/>
      <c r="I1404" s="2308"/>
      <c r="J1404" s="2308"/>
      <c r="K1404" s="2308"/>
      <c r="L1404" s="2308"/>
      <c r="M1404" s="2308"/>
      <c r="N1404" s="2415"/>
    </row>
    <row r="1405" spans="1:17" ht="12.75" customHeight="1">
      <c r="A1405" s="2410"/>
      <c r="C1405" s="2374" t="s">
        <v>3020</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4454</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78.75">
      <c r="A1415" s="2374" t="str">
        <f>'Part VIII-Threshold Criteria'!A330</f>
        <v>19 A. above is blank because the project is New Construction.</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3025</v>
      </c>
      <c r="C1418" s="2249"/>
      <c r="D1418" s="2377"/>
      <c r="E1418" s="2377"/>
      <c r="F1418" s="2377"/>
      <c r="G1418" s="2377"/>
      <c r="H1418" s="2377"/>
      <c r="O1418" s="2370" t="s">
        <v>1938</v>
      </c>
      <c r="P1418" s="2277">
        <f>'Part VIII-Threshold Criteria'!P333</f>
        <v>0</v>
      </c>
      <c r="Q1418" s="2277"/>
    </row>
    <row r="1419" spans="1:17">
      <c r="B1419" s="500" t="s">
        <v>3026</v>
      </c>
      <c r="P1419" s="2372" t="str">
        <f>'Part VIII-Threshold Criteria'!P334</f>
        <v>Yes</v>
      </c>
      <c r="Q1419" s="2372">
        <f>'Part VIII-Threshold Criteria'!Q334</f>
        <v>0</v>
      </c>
    </row>
    <row r="1420" spans="1:17">
      <c r="B1420" s="500" t="s">
        <v>2431</v>
      </c>
      <c r="P1420" s="2372" t="str">
        <f>'Part VIII-Threshold Criteria'!P335</f>
        <v>No</v>
      </c>
      <c r="Q1420" s="2372">
        <f>'Part VIII-Threshold Criteria'!Q335</f>
        <v>0</v>
      </c>
    </row>
    <row r="1421" spans="1:17">
      <c r="B1421" s="500" t="s">
        <v>3027</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292.5">
      <c r="A1424" s="2374" t="str">
        <f>'Part VIII-Threshold Criteria'!A339</f>
        <v xml:space="preserve">The project team was qualified without conditions per the qualification determination letter dated 5/11/2016. Please note that there have no been changes to the team since initial submission. We have included the requested LPA/operating agreements in Tab 20. </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4089</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4090</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3736</v>
      </c>
      <c r="D1430" s="2374"/>
      <c r="E1430" s="2374"/>
      <c r="F1430" s="2374"/>
      <c r="G1430" s="2374"/>
      <c r="H1430" s="2374"/>
      <c r="I1430" s="2374"/>
      <c r="J1430" s="2374"/>
      <c r="K1430" s="2374"/>
      <c r="L1430" s="2374"/>
      <c r="M1430" s="2374"/>
      <c r="N1430" s="2374"/>
      <c r="O1430" s="2415" t="s">
        <v>779</v>
      </c>
      <c r="P1430" s="2372">
        <f>'Part VIII-Threshold Criteria'!P345</f>
        <v>0</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80">
      <c r="A1432" s="2374" t="str">
        <f>'Part VIII-Threshold Criteria'!A347</f>
        <v xml:space="preserve">All information was submitted for the pre-application qualification determination. There has not been any change since the pre-application submission. </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5" t="s">
        <v>2780</v>
      </c>
      <c r="D1437" s="2266"/>
      <c r="E1437" s="2266"/>
      <c r="F1437" s="2266"/>
      <c r="G1437" s="2266"/>
      <c r="H1437" s="2266"/>
      <c r="I1437" s="2079"/>
      <c r="J1437" s="2345" t="s">
        <v>2058</v>
      </c>
      <c r="K1437" s="2368" t="str">
        <f>'Part VIII-Threshold Criteria'!K352</f>
        <v>N/A</v>
      </c>
      <c r="L1437" s="2368"/>
      <c r="M1437" s="2368"/>
      <c r="N1437" s="2368"/>
      <c r="O1437" s="2368"/>
      <c r="P1437" s="2368"/>
      <c r="Q1437" s="2372">
        <f>'Part VIII-Threshold Criteria'!Q352</f>
        <v>0</v>
      </c>
    </row>
    <row r="1438" spans="1:17" ht="12.75" customHeight="1">
      <c r="B1438" s="2371" t="s">
        <v>2061</v>
      </c>
      <c r="C1438" s="2337" t="s">
        <v>3890</v>
      </c>
      <c r="D1438" s="2337"/>
      <c r="E1438" s="2337"/>
      <c r="F1438" s="2337"/>
      <c r="G1438" s="2337"/>
      <c r="H1438" s="2337"/>
      <c r="I1438" s="2337"/>
      <c r="J1438" s="2337"/>
      <c r="K1438" s="2337"/>
      <c r="L1438" s="2337"/>
      <c r="M1438" s="2337"/>
      <c r="N1438" s="2337"/>
      <c r="O1438" s="2415" t="s">
        <v>2061</v>
      </c>
      <c r="P1438" s="2372">
        <f>'Part VIII-Threshold Criteria'!P353</f>
        <v>0</v>
      </c>
      <c r="Q1438" s="2372">
        <f>'Part VIII-Threshold Criteria'!Q353</f>
        <v>0</v>
      </c>
    </row>
    <row r="1439" spans="1:17" ht="12.75" customHeight="1">
      <c r="B1439" s="2371" t="s">
        <v>779</v>
      </c>
      <c r="C1439" s="2374" t="s">
        <v>3891</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2193</v>
      </c>
      <c r="C1440" s="515" t="s">
        <v>2781</v>
      </c>
      <c r="D1440" s="515"/>
      <c r="E1440" s="515"/>
      <c r="F1440" s="515"/>
      <c r="G1440" s="515"/>
      <c r="H1440" s="515"/>
      <c r="I1440" s="515"/>
      <c r="J1440" s="515"/>
      <c r="K1440" s="515"/>
      <c r="L1440" s="515"/>
      <c r="M1440" s="515"/>
      <c r="O1440" s="2345" t="s">
        <v>2193</v>
      </c>
      <c r="P1440" s="2372">
        <f>'Part VIII-Threshold Criteria'!P355</f>
        <v>0</v>
      </c>
      <c r="Q1440" s="2372">
        <f>'Part VIII-Threshold Criteria'!Q355</f>
        <v>0</v>
      </c>
    </row>
    <row r="1441" spans="1:17" ht="12.75" customHeight="1">
      <c r="A1441" s="2414"/>
      <c r="B1441" s="2371" t="s">
        <v>1801</v>
      </c>
      <c r="C1441" s="2374" t="s">
        <v>3892</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3893</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2021</v>
      </c>
      <c r="C1444" s="2374" t="s">
        <v>3894</v>
      </c>
      <c r="D1444" s="2374"/>
      <c r="E1444" s="2374"/>
      <c r="F1444" s="2374"/>
      <c r="G1444" s="2374"/>
      <c r="H1444" s="2374"/>
      <c r="I1444" s="2374"/>
      <c r="J1444" s="2374"/>
      <c r="K1444" s="2374"/>
      <c r="L1444" s="2374"/>
      <c r="M1444" s="2374"/>
      <c r="N1444" s="2374"/>
      <c r="O1444" s="2415" t="s">
        <v>2021</v>
      </c>
      <c r="P1444" s="2372">
        <f>'Part VIII-Threshold Criteria'!P359</f>
        <v>0</v>
      </c>
      <c r="Q1444" s="2372">
        <f>'Part VIII-Threshold Criteria'!Q359</f>
        <v>0</v>
      </c>
    </row>
    <row r="1445" spans="1:17" ht="12.75" customHeight="1">
      <c r="B1445" s="2371" t="s">
        <v>3559</v>
      </c>
      <c r="C1445" s="2382" t="s">
        <v>3895</v>
      </c>
      <c r="D1445" s="2382"/>
      <c r="E1445" s="2382"/>
      <c r="F1445" s="2382"/>
      <c r="G1445" s="2382"/>
      <c r="H1445" s="2382"/>
      <c r="I1445" s="2382"/>
      <c r="J1445" s="2382"/>
      <c r="K1445" s="2382"/>
      <c r="L1445" s="2382"/>
      <c r="M1445" s="2382"/>
      <c r="N1445" s="2382"/>
      <c r="O1445" s="2415" t="s">
        <v>3559</v>
      </c>
      <c r="P1445" s="2372">
        <f>'Part VIII-Threshold Criteria'!P360</f>
        <v>0</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157.5">
      <c r="A1447" s="2374" t="str">
        <f>'Part VIII-Threshold Criteria'!A362</f>
        <v>The Managing General Partner is not a non-profit and the development is not applying for credit under the non-profit set-aside.</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5" t="s">
        <v>1071</v>
      </c>
      <c r="E1452" s="2368" t="str">
        <f>'Part VIII-Threshold Criteria'!E367</f>
        <v>N/A</v>
      </c>
      <c r="F1452" s="2368"/>
      <c r="G1452" s="2368"/>
      <c r="H1452" s="2368"/>
      <c r="I1452" s="2368"/>
      <c r="J1452" s="515" t="s">
        <v>2765</v>
      </c>
      <c r="K1452" s="515"/>
      <c r="L1452" s="515"/>
      <c r="M1452" s="2368">
        <f>'Part VIII-Threshold Criteria'!M367</f>
        <v>0</v>
      </c>
      <c r="N1452" s="2368"/>
      <c r="O1452" s="2368"/>
      <c r="P1452" s="2368"/>
      <c r="Q1452" s="2368"/>
    </row>
    <row r="1453" spans="1:17">
      <c r="B1453" s="2373" t="s">
        <v>2061</v>
      </c>
      <c r="C1453" s="515" t="s">
        <v>3720</v>
      </c>
      <c r="D1453" s="515"/>
      <c r="E1453" s="515"/>
      <c r="F1453" s="515"/>
      <c r="G1453" s="515"/>
      <c r="H1453" s="515"/>
      <c r="I1453" s="515"/>
      <c r="J1453" s="515"/>
      <c r="K1453" s="515"/>
      <c r="L1453" s="2308"/>
      <c r="M1453" s="2308"/>
      <c r="O1453" s="2345" t="s">
        <v>2061</v>
      </c>
      <c r="P1453" s="2372">
        <f>'Part VIII-Threshold Criteria'!P368</f>
        <v>0</v>
      </c>
      <c r="Q1453" s="2372">
        <f>'Part VIII-Threshold Criteria'!Q368</f>
        <v>0</v>
      </c>
    </row>
    <row r="1454" spans="1:17" ht="12.75" customHeight="1">
      <c r="B1454" s="2371" t="s">
        <v>779</v>
      </c>
      <c r="C1454" s="2337" t="s">
        <v>3737</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0" t="s">
        <v>4148</v>
      </c>
      <c r="G1455" s="2303"/>
      <c r="H1455" s="2303"/>
      <c r="I1455" s="2303"/>
      <c r="J1455" s="2308" t="s">
        <v>4149</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90">
      <c r="A1457" s="2374" t="str">
        <f>'Part VIII-Threshold Criteria'!A372</f>
        <v>The applicant is not a CHDO nor competing under the CHDO set-aside.</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5" t="s">
        <v>2767</v>
      </c>
      <c r="D1462" s="2374"/>
      <c r="E1462" s="2374"/>
      <c r="H1462" s="2397"/>
      <c r="O1462" s="2345" t="s">
        <v>2058</v>
      </c>
      <c r="P1462" s="2372" t="str">
        <f>'Part VIII-Threshold Criteria'!P377</f>
        <v>No</v>
      </c>
      <c r="Q1462" s="2372">
        <f>'Part VIII-Threshold Criteria'!Q377</f>
        <v>0</v>
      </c>
    </row>
    <row r="1463" spans="1:17">
      <c r="A1463" s="2410"/>
      <c r="B1463" s="2373" t="s">
        <v>2061</v>
      </c>
      <c r="C1463" s="515" t="s">
        <v>3896</v>
      </c>
      <c r="D1463" s="2374"/>
      <c r="E1463" s="2374"/>
      <c r="O1463" s="2345" t="s">
        <v>2061</v>
      </c>
      <c r="P1463" s="2372" t="str">
        <f>'Part VIII-Threshold Criteria'!P378</f>
        <v>No</v>
      </c>
      <c r="Q1463" s="2372">
        <f>'Part VIII-Threshold Criteria'!Q378</f>
        <v>0</v>
      </c>
    </row>
    <row r="1464" spans="1:17">
      <c r="A1464" s="2410"/>
      <c r="B1464" s="2373" t="s">
        <v>779</v>
      </c>
      <c r="C1464" s="515" t="s">
        <v>3897</v>
      </c>
      <c r="D1464" s="2374"/>
      <c r="E1464" s="2374"/>
      <c r="O1464" s="2345" t="s">
        <v>779</v>
      </c>
      <c r="P1464" s="2372" t="str">
        <f>'Part VIII-Threshold Criteria'!P379</f>
        <v>No</v>
      </c>
      <c r="Q1464" s="2372">
        <f>'Part VIII-Threshold Criteria'!Q379</f>
        <v>0</v>
      </c>
    </row>
    <row r="1465" spans="1:17">
      <c r="A1465" s="2410"/>
      <c r="B1465" s="2373" t="s">
        <v>2193</v>
      </c>
      <c r="C1465" s="515" t="s">
        <v>3898</v>
      </c>
      <c r="E1465" s="2397"/>
      <c r="O1465" s="2345" t="s">
        <v>2193</v>
      </c>
      <c r="P1465" s="2372" t="str">
        <f>'Part VIII-Threshold Criteria'!P380</f>
        <v>No</v>
      </c>
      <c r="Q1465" s="2372">
        <f>'Part VIII-Threshold Criteria'!Q380</f>
        <v>0</v>
      </c>
    </row>
    <row r="1466" spans="1:17">
      <c r="B1466" s="2373" t="s">
        <v>1801</v>
      </c>
      <c r="C1466" s="515" t="s">
        <v>2157</v>
      </c>
      <c r="E1466" s="2397"/>
      <c r="G1466" s="2345" t="s">
        <v>1801</v>
      </c>
      <c r="H1466" s="2337">
        <f>'Part VIII-Threshold Criteria'!H381</f>
        <v>0</v>
      </c>
      <c r="I1466" s="2337"/>
      <c r="J1466" s="2337"/>
      <c r="K1466" s="2337"/>
      <c r="L1466" s="2337"/>
      <c r="M1466" s="2337"/>
      <c r="N1466" s="2337"/>
      <c r="O1466" s="2337"/>
      <c r="P1466" s="2372" t="str">
        <f>'Part VIII-Threshold Criteria'!P381</f>
        <v>No</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78.75">
      <c r="A1468" s="2374" t="str">
        <f>'Part VIII-Threshold Criteria'!A383</f>
        <v>No legal opinions were necessary for this proposed project.</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5" t="s">
        <v>782</v>
      </c>
      <c r="D1473" s="2079"/>
      <c r="E1473" s="2079"/>
      <c r="F1473" s="2079"/>
      <c r="G1473" s="2079"/>
      <c r="H1473" s="2079"/>
      <c r="I1473" s="2079"/>
      <c r="J1473" s="2079"/>
      <c r="K1473" s="2079"/>
      <c r="L1473" s="2079"/>
      <c r="M1473" s="2079"/>
      <c r="N1473" s="2079"/>
      <c r="O1473" s="2345" t="s">
        <v>2058</v>
      </c>
      <c r="P1473" s="2372" t="str">
        <f>'Part VIII-Threshold Criteria'!P388</f>
        <v>No</v>
      </c>
      <c r="Q1473" s="2372">
        <f>'Part VIII-Threshold Criteria'!Q388</f>
        <v>0</v>
      </c>
    </row>
    <row r="1474" spans="1:17">
      <c r="A1474" s="2079"/>
      <c r="B1474" s="2373" t="s">
        <v>2061</v>
      </c>
      <c r="C1474" s="515" t="s">
        <v>3741</v>
      </c>
      <c r="D1474" s="2079"/>
      <c r="E1474" s="2079"/>
      <c r="F1474" s="2079"/>
      <c r="G1474" s="2079"/>
      <c r="H1474" s="2079"/>
      <c r="I1474" s="2079"/>
      <c r="J1474" s="2079"/>
      <c r="K1474" s="2079"/>
      <c r="L1474" s="2079"/>
      <c r="M1474" s="2079"/>
      <c r="N1474" s="2079"/>
      <c r="O1474" s="2345" t="s">
        <v>1502</v>
      </c>
      <c r="P1474" s="2372" t="str">
        <f>'Part VIII-Threshold Criteria'!P389</f>
        <v>No</v>
      </c>
      <c r="Q1474" s="2372">
        <f>'Part VIII-Threshold Criteria'!Q389</f>
        <v>0</v>
      </c>
    </row>
    <row r="1475" spans="1:17">
      <c r="A1475" s="2079"/>
      <c r="B1475" s="2373"/>
      <c r="C1475" s="515" t="s">
        <v>1540</v>
      </c>
      <c r="D1475" s="515"/>
      <c r="E1475" s="515"/>
      <c r="F1475" s="515"/>
      <c r="G1475" s="515"/>
      <c r="H1475" s="515"/>
      <c r="I1475" s="515"/>
      <c r="J1475" s="515"/>
      <c r="K1475" s="515"/>
      <c r="L1475" s="515"/>
      <c r="M1475" s="515"/>
      <c r="N1475" s="2079"/>
    </row>
    <row r="1476" spans="1:17">
      <c r="A1476" s="2079"/>
      <c r="B1476" s="2373"/>
      <c r="C1476" s="515" t="s">
        <v>1804</v>
      </c>
      <c r="D1476" s="515" t="s">
        <v>3738</v>
      </c>
      <c r="E1476" s="515"/>
      <c r="F1476" s="515"/>
      <c r="G1476" s="515"/>
      <c r="H1476" s="515"/>
      <c r="I1476" s="515"/>
      <c r="J1476" s="515"/>
      <c r="K1476" s="515"/>
      <c r="L1476" s="515"/>
      <c r="M1476" s="515"/>
      <c r="N1476" s="2079"/>
      <c r="O1476" s="2345" t="s">
        <v>1804</v>
      </c>
      <c r="P1476" s="2372">
        <f>'Part VIII-Threshold Criteria'!P391</f>
        <v>0</v>
      </c>
      <c r="Q1476" s="2372">
        <f>'Part VIII-Threshold Criteria'!Q391</f>
        <v>0</v>
      </c>
    </row>
    <row r="1477" spans="1:17">
      <c r="A1477" s="2079"/>
      <c r="B1477" s="2373"/>
      <c r="C1477" s="515" t="s">
        <v>3857</v>
      </c>
      <c r="D1477" s="515" t="s">
        <v>3858</v>
      </c>
      <c r="E1477" s="515"/>
      <c r="F1477" s="515"/>
      <c r="G1477" s="515"/>
      <c r="H1477" s="515"/>
      <c r="I1477" s="515"/>
      <c r="J1477" s="515"/>
      <c r="K1477" s="515"/>
      <c r="L1477" s="515"/>
      <c r="M1477" s="515"/>
      <c r="N1477" s="2079"/>
      <c r="O1477" s="2345" t="s">
        <v>1805</v>
      </c>
      <c r="P1477" s="2372" t="str">
        <f>'Part VIII-Threshold Criteria'!P392</f>
        <v>No</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t="str">
        <f>'Part VIII-Threshold Criteria'!P393</f>
        <v>No</v>
      </c>
      <c r="Q1478" s="2372">
        <f>'Part VIII-Threshold Criteria'!Q393</f>
        <v>0</v>
      </c>
    </row>
    <row r="1479" spans="1:17">
      <c r="A1479" s="2079"/>
      <c r="B1479" s="2373" t="s">
        <v>2193</v>
      </c>
      <c r="C1479" s="2308" t="s">
        <v>2938</v>
      </c>
      <c r="D1479" s="2308"/>
      <c r="E1479" s="2308"/>
      <c r="F1479" s="2308"/>
      <c r="G1479" s="2308"/>
      <c r="H1479" s="2308"/>
      <c r="I1479" s="2308"/>
      <c r="J1479" s="2308"/>
      <c r="K1479" s="2308"/>
      <c r="L1479" s="2308"/>
      <c r="M1479" s="2308"/>
      <c r="N1479" s="2079"/>
      <c r="O1479" s="2345"/>
      <c r="P1479" s="2079"/>
      <c r="Q1479" s="2079"/>
    </row>
    <row r="1480" spans="1:17">
      <c r="A1480" s="2079"/>
      <c r="B1480" s="2373"/>
      <c r="C1480" s="515" t="s">
        <v>2281</v>
      </c>
      <c r="D1480" s="515"/>
      <c r="E1480" s="2079"/>
      <c r="F1480" s="2308"/>
      <c r="G1480" s="2269" t="str">
        <f>'Part VIII-Threshold Criteria'!G395</f>
        <v>N/A</v>
      </c>
      <c r="H1480" s="2262">
        <f>'Part VIII-Threshold Criteria'!H395</f>
        <v>0</v>
      </c>
      <c r="J1480" s="515" t="s">
        <v>2284</v>
      </c>
      <c r="K1480" s="2308"/>
      <c r="N1480" s="2269">
        <f>'Part VIII-Threshold Criteria'!N395</f>
        <v>0</v>
      </c>
      <c r="O1480" s="2262">
        <f>'Part VIII-Threshold Criteria'!O395</f>
        <v>0</v>
      </c>
    </row>
    <row r="1481" spans="1:17">
      <c r="A1481" s="2079"/>
      <c r="B1481" s="2373"/>
      <c r="C1481" s="515" t="s">
        <v>2282</v>
      </c>
      <c r="D1481" s="515"/>
      <c r="E1481" s="2079"/>
      <c r="F1481" s="2308"/>
      <c r="G1481" s="2269">
        <f>'Part VIII-Threshold Criteria'!G396</f>
        <v>0</v>
      </c>
      <c r="H1481" s="2262">
        <f>'Part VIII-Threshold Criteria'!H396</f>
        <v>0</v>
      </c>
      <c r="J1481" s="515" t="s">
        <v>2285</v>
      </c>
      <c r="K1481" s="2308"/>
      <c r="N1481" s="2269">
        <f>'Part VIII-Threshold Criteria'!N396</f>
        <v>0</v>
      </c>
      <c r="O1481" s="2262">
        <f>'Part VIII-Threshold Criteria'!O396</f>
        <v>0</v>
      </c>
    </row>
    <row r="1482" spans="1:17">
      <c r="A1482" s="2079"/>
      <c r="B1482" s="2373"/>
      <c r="C1482" s="515" t="s">
        <v>2283</v>
      </c>
      <c r="D1482" s="515"/>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0" t="s">
        <v>2286</v>
      </c>
      <c r="D1484" s="2308"/>
      <c r="E1484" s="2308"/>
      <c r="F1484" s="2308"/>
      <c r="G1484" s="2372">
        <f>'Part VIII-Threshold Criteria'!G399</f>
        <v>0</v>
      </c>
      <c r="H1484" s="2372">
        <f>'Part VIII-Threshold Criteria'!H399</f>
        <v>0</v>
      </c>
      <c r="J1484" s="500" t="s">
        <v>1225</v>
      </c>
      <c r="K1484" s="2308"/>
      <c r="N1484" s="2372">
        <f>'Part VIII-Threshold Criteria'!N399</f>
        <v>0</v>
      </c>
      <c r="O1484" s="2372">
        <f>'Part VIII-Threshold Criteria'!O399</f>
        <v>0</v>
      </c>
    </row>
    <row r="1485" spans="1:17">
      <c r="A1485" s="2079"/>
      <c r="B1485" s="2373"/>
      <c r="C1485" s="500" t="s">
        <v>1224</v>
      </c>
      <c r="D1485" s="2308"/>
      <c r="E1485" s="2308"/>
      <c r="F1485" s="2308"/>
      <c r="G1485" s="2372">
        <f>'Part VIII-Threshold Criteria'!G400</f>
        <v>0</v>
      </c>
      <c r="H1485" s="2372">
        <f>'Part VIII-Threshold Criteria'!H400</f>
        <v>0</v>
      </c>
      <c r="J1485" s="500"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247.5">
      <c r="A1487" s="2374" t="str">
        <f>'Part VIII-Threshold Criteria'!A402</f>
        <v>The proposed project is a New Construction on vacant land; therefore, there will not be displacement of tenants.  The required Relocation Survey has been completed and is located in Tab 25.</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2939</v>
      </c>
      <c r="C1491" s="2078"/>
      <c r="D1491" s="2368"/>
      <c r="E1491" s="2377"/>
      <c r="F1491" s="2377"/>
      <c r="G1491" s="2377"/>
      <c r="H1491" s="2377"/>
      <c r="O1491" s="2370" t="s">
        <v>1938</v>
      </c>
      <c r="P1491" s="2277">
        <f>'Part VIII-Threshold Criteria'!P406</f>
        <v>0</v>
      </c>
      <c r="Q1491" s="2277"/>
    </row>
    <row r="1492" spans="1:17">
      <c r="A1492" s="2249"/>
      <c r="B1492" s="2368" t="s">
        <v>3561</v>
      </c>
      <c r="C1492" s="2078"/>
      <c r="D1492" s="2368"/>
      <c r="E1492" s="2377"/>
      <c r="F1492" s="2377"/>
      <c r="G1492" s="2377"/>
      <c r="H1492" s="2377"/>
    </row>
    <row r="1493" spans="1:17" ht="12.75" customHeight="1">
      <c r="A1493" s="2414"/>
      <c r="B1493" s="2371" t="s">
        <v>2058</v>
      </c>
      <c r="C1493" s="2374" t="s">
        <v>3562</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3739</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3740</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3563</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3564</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3565</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3742</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168.75">
      <c r="A1501" s="2374" t="str">
        <f>'Part VIII-Threshold Criteria'!A416</f>
        <v>If selected the applicant agrees to adhere to the AFFH Marketing plan that meets all of the above criteria and strategies.  See Plan in Tab 7 - Other</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90">
      <c r="A1507" s="2374" t="str">
        <f>'Part VIII-Threshold Criteria'!A422</f>
        <v>Funding of this development will not result in a waste of DCA resources.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2016-010 The Preserve at Newport, ,  County</v>
      </c>
      <c r="B1518" s="2078"/>
      <c r="C1518" s="2078"/>
      <c r="D1518" s="2078"/>
      <c r="E1518" s="2078"/>
      <c r="F1518" s="2078"/>
      <c r="G1518" s="2078"/>
      <c r="H1518" s="2078"/>
      <c r="I1518" s="2078"/>
      <c r="J1518" s="2078"/>
      <c r="K1518" s="2078"/>
      <c r="L1518" s="2078"/>
      <c r="M1518" s="2078"/>
      <c r="N1518" s="2078"/>
      <c r="O1518" s="2078"/>
      <c r="P1518" s="2078"/>
    </row>
    <row r="1519" spans="1:17">
      <c r="A1519" s="515"/>
      <c r="B1519" s="515"/>
      <c r="C1519" s="2435"/>
      <c r="D1519" s="515"/>
      <c r="E1519" s="515"/>
      <c r="F1519" s="515"/>
      <c r="G1519" s="515"/>
      <c r="H1519" s="515"/>
      <c r="I1519" s="515"/>
      <c r="J1519" s="515"/>
      <c r="K1519" s="515"/>
      <c r="L1519" s="515"/>
      <c r="M1519" s="2369"/>
      <c r="N1519" s="2080"/>
      <c r="O1519" s="2258"/>
      <c r="P1519" s="2258"/>
    </row>
    <row r="1520" spans="1:17" ht="12.75" customHeight="1">
      <c r="A1520" s="2274" t="s">
        <v>4044</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60</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2902</v>
      </c>
      <c r="C1525" s="2078"/>
      <c r="D1525" s="2078"/>
      <c r="E1525" s="2078"/>
      <c r="F1525" s="2078"/>
      <c r="G1525" s="2079"/>
      <c r="H1525" s="2336" t="s">
        <v>4455</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5"/>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4066</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2881</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4456</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3906</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3905</v>
      </c>
      <c r="B1532" s="2368"/>
      <c r="C1532" s="2368"/>
      <c r="D1532" s="2368"/>
      <c r="E1532" s="2345" t="s">
        <v>527</v>
      </c>
      <c r="F1532" s="2258">
        <f>SUM(F1533:F1544)</f>
        <v>0</v>
      </c>
      <c r="G1532" s="2411" t="s">
        <v>3899</v>
      </c>
      <c r="H1532" s="2411"/>
      <c r="I1532" s="2411"/>
      <c r="J1532" s="2258">
        <f>SUM(J1533:J1544)</f>
        <v>0</v>
      </c>
      <c r="K1532" s="2368" t="s">
        <v>3566</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3056</v>
      </c>
      <c r="K1535" s="2151">
        <f>'Part IX A-Scoring Criteria'!K18</f>
        <v>3</v>
      </c>
      <c r="L1535" s="2151"/>
      <c r="M1535" s="2151"/>
      <c r="N1535" s="2151"/>
      <c r="O1535" s="2433" t="s">
        <v>3056</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3056</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3901</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3902</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3903</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3904</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5"/>
      <c r="E1545" s="515"/>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3907</v>
      </c>
      <c r="C1546" s="2443"/>
      <c r="D1546" s="2443"/>
      <c r="E1546" s="515"/>
      <c r="F1546" s="2443"/>
      <c r="G1546" s="2330"/>
      <c r="H1546" s="515"/>
      <c r="I1546" s="2452" t="s">
        <v>3766</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5"/>
      <c r="F1547" s="2443"/>
      <c r="G1547" s="2330"/>
      <c r="H1547" s="515"/>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5"/>
      <c r="F1548" s="2443"/>
      <c r="G1548" s="2330"/>
      <c r="H1548" s="2220" t="s">
        <v>3908</v>
      </c>
      <c r="I1548" s="2220"/>
      <c r="J1548" s="2454">
        <f>'Part VI-Revenues &amp; Expenses'!$O$60</f>
        <v>72</v>
      </c>
      <c r="K1548" s="2456"/>
      <c r="L1548" s="2443"/>
      <c r="M1548" s="2258"/>
      <c r="N1548" s="2080"/>
      <c r="O1548" s="2443"/>
      <c r="P1548" s="2443"/>
      <c r="Q1548" s="2080"/>
      <c r="R1548" s="2453"/>
      <c r="S1548" s="2443"/>
    </row>
    <row r="1549" spans="1:19" ht="15" customHeight="1">
      <c r="A1549" s="2289"/>
      <c r="B1549" s="2337" t="s">
        <v>3909</v>
      </c>
      <c r="C1549" s="2337"/>
      <c r="D1549" s="2337"/>
      <c r="E1549" s="2337"/>
      <c r="F1549" s="2337"/>
      <c r="G1549" s="2411"/>
      <c r="H1549" s="2457" t="s">
        <v>3910</v>
      </c>
      <c r="I1549" s="2457" t="s">
        <v>3911</v>
      </c>
      <c r="J1549" s="2411"/>
      <c r="K1549" s="515" t="s">
        <v>3568</v>
      </c>
      <c r="L1549" s="515"/>
      <c r="M1549" s="2258"/>
      <c r="N1549" s="2080"/>
      <c r="O1549" s="2458"/>
      <c r="P1549" s="2458"/>
      <c r="Q1549" s="2080"/>
      <c r="R1549" s="2453"/>
      <c r="S1549" s="2458"/>
    </row>
    <row r="1550" spans="1:19" ht="15" customHeight="1">
      <c r="A1550" s="2458"/>
      <c r="B1550" s="2337"/>
      <c r="C1550" s="2337"/>
      <c r="D1550" s="2337"/>
      <c r="E1550" s="2337"/>
      <c r="F1550" s="2337"/>
      <c r="G1550" s="2458"/>
      <c r="H1550" s="2337" t="s">
        <v>4067</v>
      </c>
      <c r="I1550" s="2337"/>
      <c r="J1550" s="2459"/>
      <c r="K1550" s="2457" t="s">
        <v>3910</v>
      </c>
      <c r="L1550" s="2457" t="s">
        <v>3911</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3567</v>
      </c>
      <c r="E1551" s="2465"/>
      <c r="F1551" s="2465"/>
      <c r="G1551" s="2465"/>
      <c r="H1551" s="2466">
        <f>'Part IX A-Scoring Criteria'!H34</f>
        <v>21</v>
      </c>
      <c r="I1551" s="2466">
        <f>'Part IX A-Scoring Criteria'!I34</f>
        <v>0</v>
      </c>
      <c r="J1551" s="2465"/>
      <c r="K1551" s="2467">
        <f>IF(OR('Part VI-Revenues &amp; Expenses'!$O$60="", 'Part VI-Revenues &amp; Expenses'!$O$60=0),0,H1551/'Part VI-Revenues &amp; Expenses'!$O$60)</f>
        <v>0.29166666666666669</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3529</v>
      </c>
      <c r="B1552" s="2463" t="s">
        <v>2064</v>
      </c>
      <c r="C1552" s="2464">
        <v>0.2</v>
      </c>
      <c r="D1552" s="2397" t="s">
        <v>3567</v>
      </c>
      <c r="E1552" s="2465"/>
      <c r="F1552" s="2465"/>
      <c r="G1552" s="2465"/>
      <c r="H1552" s="2466">
        <f>'Part IX A-Scoring Criteria'!H35</f>
        <v>21</v>
      </c>
      <c r="I1552" s="2466">
        <f>'Part IX A-Scoring Criteria'!I35</f>
        <v>0</v>
      </c>
      <c r="J1552" s="2465"/>
      <c r="K1552" s="2467">
        <f>IF(OR('Part VI-Revenues &amp; Expenses'!$O$60="", 'Part VI-Revenues &amp; Expenses'!$O$60=0),0,H1552/'Part VI-Revenues &amp; Expenses'!$O$60)</f>
        <v>0.29166666666666669</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4457</v>
      </c>
      <c r="C1554" s="2465"/>
      <c r="D1554" s="2465"/>
      <c r="E1554" s="2426"/>
      <c r="F1554" s="2465"/>
      <c r="G1554" s="2465"/>
      <c r="H1554" s="2337" t="s">
        <v>4072</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4071</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3529</v>
      </c>
      <c r="B1556" s="2463" t="s">
        <v>2064</v>
      </c>
      <c r="C1556" s="2468" t="s">
        <v>4074</v>
      </c>
      <c r="D1556" s="2465"/>
      <c r="E1556" s="2469">
        <v>3</v>
      </c>
      <c r="F1556" s="2468" t="s">
        <v>4073</v>
      </c>
      <c r="G1556" s="2465"/>
      <c r="H1556" s="2465"/>
      <c r="I1556" s="2435" t="s">
        <v>4075</v>
      </c>
      <c r="J1556" s="2465"/>
      <c r="K1556" s="2470">
        <f>O1630</f>
        <v>5</v>
      </c>
      <c r="L1556" s="2470">
        <f>P1630</f>
        <v>0</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5"/>
      <c r="E1561" s="515"/>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2824</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2810</v>
      </c>
      <c r="R1562" s="2453"/>
      <c r="S1562" s="2443"/>
    </row>
    <row r="1563" spans="1:19" ht="15">
      <c r="A1563" s="2289" t="s">
        <v>2061</v>
      </c>
      <c r="B1563" s="2277" t="s">
        <v>3630</v>
      </c>
      <c r="C1563" s="2078"/>
      <c r="D1563" s="2078"/>
      <c r="E1563" s="2443"/>
      <c r="F1563" s="2074" t="s">
        <v>3651</v>
      </c>
      <c r="G1563" s="2443"/>
      <c r="H1563" s="2068"/>
      <c r="I1563" s="2074" t="s">
        <v>3652</v>
      </c>
      <c r="J1563" s="2443"/>
      <c r="K1563" s="2443"/>
      <c r="L1563" s="2474" t="s">
        <v>3631</v>
      </c>
      <c r="M1563" s="2080">
        <v>1</v>
      </c>
      <c r="N1563" s="2345" t="s">
        <v>2061</v>
      </c>
      <c r="O1563" s="2439">
        <f>'Part IX A-Scoring Criteria'!O46</f>
        <v>1</v>
      </c>
      <c r="P1563" s="2439">
        <f>'Part IX A-Scoring Criteria'!P46</f>
        <v>0</v>
      </c>
      <c r="Q1563" s="2312" t="s">
        <v>2810</v>
      </c>
      <c r="R1563" s="2453"/>
      <c r="S1563" s="2443"/>
    </row>
    <row r="1564" spans="1:19" ht="15" customHeight="1">
      <c r="A1564" s="2289"/>
      <c r="B1564" s="2220" t="s">
        <v>4076</v>
      </c>
      <c r="C1564" s="2220"/>
      <c r="D1564" s="2220"/>
      <c r="E1564" s="2220"/>
      <c r="F1564" s="2074" t="str">
        <f>'Part IX A-Scoring Criteria'!F47</f>
        <v>Fire Station or Police Station</v>
      </c>
      <c r="G1564" s="2074"/>
      <c r="H1564" s="2074"/>
      <c r="I1564" s="2074" t="str">
        <f>'Part IX A-Scoring Criteria'!I47</f>
        <v>Camden Co. Fire and Rescue</v>
      </c>
      <c r="J1564" s="2074"/>
      <c r="K1564" s="2074"/>
      <c r="L1564" s="2475">
        <f>'Part IX A-Scoring Criteria'!L47</f>
        <v>0.01</v>
      </c>
      <c r="M1564" s="2080"/>
      <c r="N1564" s="2473"/>
      <c r="O1564" s="2473"/>
      <c r="P1564" s="2473"/>
      <c r="Q1564" s="2312"/>
      <c r="R1564" s="2453"/>
      <c r="S1564" s="2443"/>
    </row>
    <row r="1565" spans="1:19" ht="15">
      <c r="A1565" s="2289"/>
      <c r="B1565" s="2220"/>
      <c r="C1565" s="2220"/>
      <c r="D1565" s="2220"/>
      <c r="E1565" s="2220"/>
      <c r="F1565" s="2074" t="str">
        <f>'Part IX A-Scoring Criteria'!F48</f>
        <v>Elementary, middle, or high school</v>
      </c>
      <c r="G1565" s="2074"/>
      <c r="H1565" s="2074"/>
      <c r="I1565" s="2074" t="str">
        <f>'Part IX A-Scoring Criteria'!I48</f>
        <v>Camden Middle School</v>
      </c>
      <c r="J1565" s="2074"/>
      <c r="K1565" s="2074"/>
      <c r="L1565" s="2475">
        <f>'Part IX A-Scoring Criteria'!L48</f>
        <v>0.5</v>
      </c>
      <c r="M1565" s="2080"/>
      <c r="N1565" s="2473"/>
      <c r="O1565" s="2473"/>
      <c r="P1565" s="2473"/>
      <c r="Q1565" s="2312"/>
      <c r="R1565" s="2453"/>
      <c r="S1565" s="2443"/>
    </row>
    <row r="1566" spans="1:19" ht="15">
      <c r="A1566" s="2289"/>
      <c r="B1566" s="2220"/>
      <c r="C1566" s="2220"/>
      <c r="D1566" s="2220"/>
      <c r="E1566" s="2220"/>
      <c r="F1566" s="2074" t="str">
        <f>'Part IX A-Scoring Criteria'!F49</f>
        <v>Public library</v>
      </c>
      <c r="G1566" s="2074"/>
      <c r="H1566" s="2074"/>
      <c r="I1566" s="2074" t="str">
        <f>'Part IX A-Scoring Criteria'!I49</f>
        <v>Camden County Public Library</v>
      </c>
      <c r="J1566" s="2074"/>
      <c r="K1566" s="2074"/>
      <c r="L1566" s="2475">
        <f>'Part IX A-Scoring Criteria'!L49</f>
        <v>0.1</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15"/>
      <c r="I1568" s="515"/>
      <c r="J1568" s="515"/>
      <c r="K1568" s="515"/>
      <c r="L1568" s="2443"/>
      <c r="M1568" s="2080"/>
      <c r="N1568" s="2253"/>
      <c r="O1568" s="2439"/>
      <c r="P1568" s="2255"/>
      <c r="Q1568" s="2443"/>
      <c r="R1568" s="2443"/>
      <c r="S1568" s="2443"/>
    </row>
    <row r="1569" spans="1:19" ht="409.5">
      <c r="A1569" s="2374" t="str">
        <f>'Part IX A-Scoring Criteria'!A52</f>
        <v>There are no undesirable amenities near the proposed site and there are nine (9) desirable amenities within 1 mile of the proposed site.  Please note:  The conceptual site development plan in Tab 16 includes a sidewalk that will connect to existing sidewalks on Gross Road. All sidewalk construction will occur onsite therefore, no "off-site" cost or building permits were neccesary. Photos of the existing sidewalks on Gross Road have been included in Tab 27.</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2</v>
      </c>
      <c r="P1573" s="2439">
        <f>'Part IX A-Scoring Criteria'!P56</f>
        <v>0</v>
      </c>
      <c r="Q1573" s="2258" t="s">
        <v>456</v>
      </c>
      <c r="R1573" s="2443"/>
      <c r="S1573" s="2443"/>
    </row>
    <row r="1574" spans="1:19" ht="15">
      <c r="A1574" s="2440"/>
      <c r="B1574" s="515" t="s">
        <v>4458</v>
      </c>
      <c r="C1574" s="2443"/>
      <c r="D1574" s="2472"/>
      <c r="E1574" s="2443"/>
      <c r="F1574" s="2443"/>
      <c r="G1574" s="2443"/>
      <c r="H1574" s="2452"/>
      <c r="I1574" s="2336"/>
      <c r="J1574" s="2261"/>
      <c r="K1574" s="2261"/>
      <c r="L1574" s="2443"/>
      <c r="M1574" s="2258"/>
      <c r="N1574" s="2345"/>
      <c r="O1574" s="2477" t="s">
        <v>3919</v>
      </c>
      <c r="P1574" s="2477" t="s">
        <v>3920</v>
      </c>
      <c r="Q1574" s="2258"/>
      <c r="R1574" s="2443"/>
      <c r="S1574" s="2443"/>
    </row>
    <row r="1575" spans="1:19" ht="15">
      <c r="A1575" s="2440"/>
      <c r="B1575" s="2478" t="s">
        <v>2062</v>
      </c>
      <c r="C1575" s="500" t="s">
        <v>3913</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0" t="s">
        <v>3914</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0" t="s">
        <v>3915</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3916</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0" t="s">
        <v>3917</v>
      </c>
      <c r="D1579" s="2472"/>
      <c r="E1579" s="2443"/>
      <c r="F1579" s="2443"/>
      <c r="G1579" s="2443"/>
      <c r="H1579" s="2452"/>
      <c r="I1579" s="2336"/>
      <c r="J1579" s="2261"/>
      <c r="K1579" s="2261"/>
      <c r="L1579" s="2443"/>
      <c r="M1579" s="2258"/>
      <c r="N1579" s="2345"/>
      <c r="O1579" s="2372" t="str">
        <f>'Part IX A-Scoring Criteria'!O62</f>
        <v>N/a</v>
      </c>
      <c r="P1579" s="2372">
        <f>'Part IX A-Scoring Criteria'!P62</f>
        <v>0</v>
      </c>
      <c r="Q1579" s="2258"/>
      <c r="R1579" s="2443"/>
      <c r="S1579" s="2443"/>
    </row>
    <row r="1580" spans="1:19" ht="15">
      <c r="A1580" s="2440"/>
      <c r="B1580" s="2478" t="s">
        <v>1955</v>
      </c>
      <c r="C1580" s="500" t="s">
        <v>3918</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Rural</v>
      </c>
      <c r="K1582" s="2443"/>
      <c r="M1582" s="2258"/>
      <c r="N1582" s="2258"/>
      <c r="O1582" s="2258"/>
      <c r="P1582" s="2258"/>
      <c r="Q1582" s="2258"/>
      <c r="R1582" s="2443"/>
      <c r="S1582" s="2443"/>
    </row>
    <row r="1583" spans="1:19" ht="15" customHeight="1">
      <c r="A1583" s="2410" t="s">
        <v>2058</v>
      </c>
      <c r="B1583" s="2181" t="s">
        <v>4459</v>
      </c>
      <c r="C1583" s="2181"/>
      <c r="D1583" s="2181"/>
      <c r="E1583" s="2181"/>
      <c r="F1583" s="2181"/>
      <c r="G1583" s="2181"/>
      <c r="H1583" s="2181"/>
      <c r="I1583" s="2220" t="s">
        <v>4460</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4461</v>
      </c>
      <c r="C1584" s="2483"/>
      <c r="D1584" s="2483"/>
      <c r="E1584" s="2483"/>
      <c r="F1584" s="2483"/>
      <c r="G1584" s="2483"/>
      <c r="H1584" s="2483"/>
      <c r="I1584" s="1302" t="str">
        <f>'Part IX A-Scoring Criteria'!I67</f>
        <v>Coastal Regional Coaches</v>
      </c>
      <c r="J1584" s="1302"/>
      <c r="K1584" s="1302"/>
      <c r="L1584" s="2484">
        <f>'Part IX A-Scoring Criteria'!L67</f>
        <v>8665436744</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4462</v>
      </c>
      <c r="C1585" s="2483"/>
      <c r="D1585" s="2483"/>
      <c r="E1585" s="2483"/>
      <c r="F1585" s="2483"/>
      <c r="G1585" s="2483"/>
      <c r="H1585" s="2483"/>
      <c r="I1585" s="2151" t="str">
        <f>'Part IX A-Scoring Criteria'!I68</f>
        <v>www.coastalregionalcoaches.com</v>
      </c>
      <c r="J1585" s="2151"/>
      <c r="K1585" s="2151"/>
      <c r="L1585" s="2151"/>
      <c r="M1585" s="2480">
        <v>3</v>
      </c>
      <c r="N1585" s="2473" t="s">
        <v>779</v>
      </c>
      <c r="O1585" s="2439">
        <f>'Part IX A-Scoring Criteria'!O68</f>
        <v>0</v>
      </c>
      <c r="P1585" s="2439">
        <f>'Part IX A-Scoring Criteria'!P68</f>
        <v>0</v>
      </c>
      <c r="Q1585" s="2481" t="str">
        <f>IF(OR($O1585=$M1585,$O1585=0,$O1585=""),"","* * Check Score! * *")</f>
        <v/>
      </c>
      <c r="R1585" s="2312" t="s">
        <v>2810</v>
      </c>
      <c r="S1585" s="2482"/>
    </row>
    <row r="1586" spans="1:19" ht="15">
      <c r="A1586" s="2289" t="s">
        <v>2193</v>
      </c>
      <c r="B1586" s="2261" t="s">
        <v>4463</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4464</v>
      </c>
      <c r="C1587" s="2443"/>
      <c r="D1587" s="2443"/>
      <c r="E1587" s="2472"/>
      <c r="F1587" s="2443"/>
      <c r="G1587" s="2443"/>
      <c r="H1587" s="2443"/>
      <c r="I1587" s="2151" t="str">
        <f>'Part IX A-Scoring Criteria'!I70</f>
        <v>&lt;&lt; Enter specific URL/webpage showing established routes from transit agency website (if different) here &gt;&gt;</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4465</v>
      </c>
      <c r="C1589" s="2277"/>
      <c r="D1589" s="2277"/>
      <c r="E1589" s="2277"/>
      <c r="F1589" s="2277"/>
      <c r="G1589" s="2277"/>
      <c r="H1589" s="2277"/>
      <c r="I1589" s="2277"/>
      <c r="J1589" s="2277"/>
      <c r="K1589" s="2277"/>
      <c r="L1589" s="2277"/>
      <c r="M1589" s="2080">
        <v>2</v>
      </c>
      <c r="N1589" s="2473" t="s">
        <v>1802</v>
      </c>
      <c r="O1589" s="2439">
        <f>'Part IX A-Scoring Criteria'!O72</f>
        <v>2</v>
      </c>
      <c r="P1589" s="2439">
        <f>'Part IX A-Scoring Criteria'!P72</f>
        <v>0</v>
      </c>
      <c r="Q1589" s="2453" t="str">
        <f>IF(OR($O1589=$M1589,$O1589=0,$O1589=""),"","* * Check Score! * *")</f>
        <v/>
      </c>
      <c r="R1589" s="2312" t="s">
        <v>2810</v>
      </c>
      <c r="S1589" s="2458"/>
    </row>
    <row r="1590" spans="1:19" ht="15">
      <c r="A1590" s="515" t="s">
        <v>4164</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5"/>
      <c r="I1591" s="515"/>
      <c r="J1591" s="515"/>
      <c r="K1591" s="515"/>
      <c r="L1591" s="2458"/>
      <c r="M1591" s="2080"/>
      <c r="N1591" s="2080"/>
      <c r="O1591" s="2439"/>
      <c r="P1591" s="2258"/>
      <c r="Q1591" s="2458"/>
      <c r="R1591" s="2458"/>
      <c r="S1591" s="2458"/>
    </row>
    <row r="1592" spans="1:19" ht="409.5">
      <c r="A1592" s="2374" t="str">
        <f>'Part IX A-Scoring Criteria'!A75</f>
        <v>Public Transportation is a call and ride. The bus will come to the community building of the development to pick up residents. All residential buildings will be accessible to the paved pedestrian walkway. All sidewalk construction will occur onsite therefore, no "off-site" cost or building permits were neccesary for item 4 above was answered "N/A". Item 5 was also answered "N/A" since the service is a call and ride there are not routes to mark.</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5"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57" t="s">
        <v>2714</v>
      </c>
      <c r="C1597" s="2443"/>
      <c r="D1597" s="2472"/>
      <c r="E1597" s="515"/>
      <c r="F1597" s="2443"/>
      <c r="G1597" s="2443"/>
      <c r="H1597" s="2443"/>
      <c r="I1597" s="2443"/>
      <c r="J1597" s="2443"/>
      <c r="K1597" s="515" t="str">
        <f>'Part IX A-Scoring Criteria'!K80</f>
        <v>N/A</v>
      </c>
      <c r="L1597" s="515"/>
      <c r="M1597" s="515"/>
      <c r="N1597" s="2443"/>
      <c r="O1597" s="2443"/>
      <c r="P1597" s="2345"/>
      <c r="Q1597" s="2258"/>
      <c r="R1597" s="2443"/>
      <c r="S1597" s="2443"/>
    </row>
    <row r="1598" spans="1:19" ht="15">
      <c r="A1598" s="2410" t="s">
        <v>2061</v>
      </c>
      <c r="B1598" s="557" t="s">
        <v>3653</v>
      </c>
      <c r="C1598" s="2443"/>
      <c r="D1598" s="2472"/>
      <c r="E1598" s="515"/>
      <c r="F1598" s="2443"/>
      <c r="G1598" s="2443"/>
      <c r="H1598" s="2443"/>
      <c r="I1598" s="2443"/>
      <c r="J1598" s="2443"/>
      <c r="K1598" s="515" t="str">
        <f>'Part IX A-Scoring Criteria'!K81</f>
        <v>N/A</v>
      </c>
      <c r="L1598" s="515"/>
      <c r="M1598" s="515"/>
      <c r="N1598" s="2443"/>
      <c r="O1598" s="2425" t="s">
        <v>2597</v>
      </c>
      <c r="P1598" s="2425" t="s">
        <v>2597</v>
      </c>
      <c r="Q1598" s="2258"/>
      <c r="R1598" s="2443"/>
      <c r="S1598" s="2443"/>
    </row>
    <row r="1599" spans="1:19" ht="15">
      <c r="A1599" s="2289" t="s">
        <v>779</v>
      </c>
      <c r="B1599" s="557" t="s">
        <v>3745</v>
      </c>
      <c r="C1599" s="2443"/>
      <c r="D1599" s="2472"/>
      <c r="E1599" s="515"/>
      <c r="F1599" s="2443"/>
      <c r="G1599" s="2443"/>
      <c r="H1599" s="2443"/>
      <c r="I1599" s="2443"/>
      <c r="J1599" s="2443"/>
      <c r="K1599" s="2443"/>
      <c r="L1599" s="2443"/>
      <c r="M1599" s="2443"/>
      <c r="N1599" s="2473" t="s">
        <v>779</v>
      </c>
      <c r="O1599" s="2372" t="str">
        <f>'Part IX A-Scoring Criteria'!O82</f>
        <v>N/a</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48" t="s">
        <v>4466</v>
      </c>
      <c r="H1604" s="2443"/>
      <c r="I1604" s="2492" t="str">
        <f>'Part IX A-Scoring Criteria'!I87</f>
        <v>Earth Craft House Multifamily</v>
      </c>
      <c r="J1604" s="2492"/>
      <c r="K1604" s="2492"/>
      <c r="L1604" s="2443"/>
      <c r="M1604" s="2258"/>
      <c r="N1604" s="2487"/>
      <c r="O1604" s="2080"/>
      <c r="P1604" s="2080"/>
      <c r="Q1604" s="2491"/>
    </row>
    <row r="1605" spans="1:19" s="2489" customFormat="1" ht="12.6" customHeight="1">
      <c r="A1605" s="2488"/>
      <c r="B1605" s="2493" t="s">
        <v>2912</v>
      </c>
      <c r="G1605" s="2494"/>
      <c r="H1605" s="2472"/>
      <c r="I1605" s="2368" t="str">
        <f>'Part I-Project Information'!$H$90</f>
        <v>Rural</v>
      </c>
      <c r="J1605" s="2443"/>
      <c r="K1605" s="873"/>
      <c r="L1605" s="2443"/>
      <c r="M1605" s="2258"/>
      <c r="N1605" s="2487"/>
      <c r="O1605" s="2425" t="s">
        <v>2597</v>
      </c>
      <c r="P1605" s="2425" t="s">
        <v>2597</v>
      </c>
      <c r="Q1605" s="2491"/>
    </row>
    <row r="1606" spans="1:19" s="2489" customFormat="1" ht="6" customHeight="1">
      <c r="A1606" s="2488"/>
      <c r="B1606" s="2493"/>
      <c r="G1606" s="2494"/>
      <c r="H1606" s="2472"/>
      <c r="I1606" s="2368"/>
      <c r="J1606" s="2443"/>
      <c r="K1606" s="873"/>
      <c r="L1606" s="2443"/>
      <c r="M1606" s="2258"/>
      <c r="N1606" s="2487"/>
      <c r="O1606" s="2425"/>
      <c r="P1606" s="2425"/>
      <c r="Q1606" s="2491"/>
    </row>
    <row r="1607" spans="1:19" s="2489" customFormat="1" ht="12.6" customHeight="1">
      <c r="B1607" s="2495" t="s">
        <v>4467</v>
      </c>
      <c r="C1607" s="2496"/>
      <c r="D1607" s="2496"/>
      <c r="E1607" s="2496"/>
      <c r="F1607" s="2497"/>
      <c r="G1607" s="547" t="s">
        <v>4078</v>
      </c>
      <c r="H1607" s="2498">
        <f>'Part IX A-Scoring Criteria'!H90</f>
        <v>42474</v>
      </c>
      <c r="I1607" s="2499" t="str">
        <f>'Part IX A-Scoring Criteria'!I90</f>
        <v>Ben Moore</v>
      </c>
      <c r="J1607" s="2499"/>
      <c r="K1607" s="2499" t="str">
        <f>'Part IX A-Scoring Criteria'!K90</f>
        <v>Fyffe Construction Company, Inc.</v>
      </c>
      <c r="L1607" s="2499"/>
      <c r="M1607" s="2499"/>
      <c r="N1607" s="2500"/>
      <c r="O1607" s="2372" t="str">
        <f>'Part IX A-Scoring Criteria'!O90</f>
        <v>Yes</v>
      </c>
      <c r="P1607" s="2372">
        <f>'Part IX A-Scoring Criteria'!P90</f>
        <v>0</v>
      </c>
      <c r="Q1607" s="2491"/>
    </row>
    <row r="1608" spans="1:19" s="542" customFormat="1" ht="11.45" customHeight="1">
      <c r="B1608" s="2501"/>
      <c r="C1608" s="2502"/>
      <c r="D1608" s="2502"/>
      <c r="E1608" s="2502"/>
      <c r="F1608" s="2503"/>
      <c r="G1608" s="547" t="s">
        <v>4078</v>
      </c>
      <c r="H1608" s="2498">
        <f>'Part IX A-Scoring Criteria'!H91</f>
        <v>42474</v>
      </c>
      <c r="I1608" s="2499" t="str">
        <f>'Part IX A-Scoring Criteria'!I91</f>
        <v>Jordan Whiteside</v>
      </c>
      <c r="J1608" s="2499"/>
      <c r="K1608" s="2499" t="str">
        <f>'Part IX A-Scoring Criteria'!K91</f>
        <v>Vantage Development, LLC</v>
      </c>
      <c r="L1608" s="2499"/>
      <c r="M1608" s="2499"/>
    </row>
    <row r="1609" spans="1:19" s="2489" customFormat="1" ht="12.6" customHeight="1">
      <c r="A1609" s="2488"/>
      <c r="B1609" s="2504" t="s">
        <v>4171</v>
      </c>
      <c r="G1609" s="2494"/>
      <c r="H1609" s="2472"/>
      <c r="I1609" s="2368"/>
      <c r="J1609" s="2443"/>
      <c r="K1609" s="873"/>
      <c r="L1609" s="2443"/>
      <c r="M1609" s="2258"/>
      <c r="N1609" s="2487"/>
      <c r="O1609" s="2372" t="str">
        <f>'Part IX A-Scoring Criteria'!O92</f>
        <v>Yes</v>
      </c>
      <c r="P1609" s="2372">
        <f>'Part IX A-Scoring Criteria'!P92</f>
        <v>0</v>
      </c>
      <c r="Q1609" s="2491"/>
    </row>
    <row r="1610" spans="1:19" s="2489" customFormat="1" ht="12.6" customHeight="1">
      <c r="A1610" s="2488"/>
      <c r="B1610" s="2493" t="s">
        <v>4468</v>
      </c>
      <c r="G1610" s="2494"/>
      <c r="H1610" s="2472"/>
      <c r="I1610" s="2312" t="s">
        <v>4178</v>
      </c>
      <c r="J1610" s="2505">
        <f>'Part IX A-Scoring Criteria'!J93</f>
        <v>0</v>
      </c>
      <c r="K1610" s="2312" t="s">
        <v>4176</v>
      </c>
      <c r="L1610" s="2505">
        <f>'Part IX A-Scoring Criteria'!L93</f>
        <v>0</v>
      </c>
      <c r="M1610" s="2258"/>
      <c r="N1610" s="2487"/>
      <c r="O1610" s="2372" t="str">
        <f>'Part IX A-Scoring Criteria'!O93</f>
        <v>N/a</v>
      </c>
      <c r="P1610" s="2372">
        <f>'Part IX A-Scoring Criteria'!P93</f>
        <v>0</v>
      </c>
      <c r="Q1610" s="2491"/>
    </row>
    <row r="1611" spans="1:19" s="2489" customFormat="1" ht="6" customHeight="1">
      <c r="A1611" s="2488"/>
      <c r="B1611" s="2493"/>
      <c r="G1611" s="2494"/>
      <c r="H1611" s="2472"/>
      <c r="I1611" s="2368"/>
      <c r="J1611" s="2443"/>
      <c r="K1611" s="873"/>
      <c r="L1611" s="2443"/>
      <c r="M1611" s="2258"/>
      <c r="N1611" s="2491"/>
      <c r="O1611" s="2491"/>
      <c r="P1611" s="2491"/>
      <c r="Q1611" s="2491"/>
    </row>
    <row r="1612" spans="1:19" s="542" customFormat="1" ht="11.45" customHeight="1">
      <c r="A1612" s="2506" t="s">
        <v>2058</v>
      </c>
      <c r="B1612" s="2507" t="s">
        <v>2408</v>
      </c>
      <c r="D1612" s="2508"/>
      <c r="H1612" s="873"/>
      <c r="I1612" s="873"/>
      <c r="J1612" s="873"/>
      <c r="K1612" s="873"/>
      <c r="L1612" s="873"/>
      <c r="M1612" s="2080">
        <v>3</v>
      </c>
      <c r="N1612" s="2500" t="s">
        <v>2058</v>
      </c>
      <c r="O1612" s="2509" t="s">
        <v>2597</v>
      </c>
      <c r="P1612" s="2509" t="s">
        <v>2597</v>
      </c>
    </row>
    <row r="1613" spans="1:19" s="2489" customFormat="1" ht="12.6" customHeight="1">
      <c r="B1613" s="547" t="s">
        <v>4169</v>
      </c>
      <c r="D1613" s="2494"/>
      <c r="H1613" s="2443"/>
      <c r="I1613" s="2443"/>
      <c r="J1613" s="2443"/>
      <c r="K1613" s="2443"/>
      <c r="L1613" s="2443"/>
      <c r="M1613" s="2258"/>
      <c r="O1613" s="2372" t="str">
        <f>'Part IX A-Scoring Criteria'!O96</f>
        <v>No</v>
      </c>
      <c r="P1613" s="2372">
        <f>'Part IX A-Scoring Criteria'!P96</f>
        <v>0</v>
      </c>
      <c r="Q1613" s="2491"/>
    </row>
    <row r="1614" spans="1:19" s="542" customFormat="1" ht="11.45" customHeight="1">
      <c r="B1614" s="2510" t="s">
        <v>2062</v>
      </c>
      <c r="C1614" s="2511" t="s">
        <v>2715</v>
      </c>
      <c r="E1614" s="1300"/>
      <c r="H1614" s="873"/>
      <c r="I1614" s="873"/>
      <c r="J1614" s="873"/>
      <c r="K1614" s="873"/>
      <c r="L1614" s="873"/>
      <c r="M1614" s="873"/>
    </row>
    <row r="1615" spans="1:19" s="542" customFormat="1" ht="11.25" customHeight="1">
      <c r="A1615" s="2512" t="str">
        <f>IF(AND(O1615="",$I$87="Earth Craft Communities"), "X","")</f>
        <v/>
      </c>
      <c r="B1615" s="2513"/>
      <c r="C1615" s="2514" t="s">
        <v>4170</v>
      </c>
      <c r="D1615" s="2514"/>
      <c r="E1615" s="2514"/>
      <c r="F1615" s="2514"/>
      <c r="G1615" s="2514"/>
      <c r="H1615" s="2397"/>
      <c r="I1615" s="2397"/>
      <c r="J1615" s="2397"/>
      <c r="K1615" s="2397"/>
      <c r="L1615" s="2505">
        <f>'Part IX A-Scoring Criteria'!L98</f>
        <v>0</v>
      </c>
      <c r="M1615" s="2294"/>
    </row>
    <row r="1616" spans="1:19" s="542" customFormat="1" ht="11.45" customHeight="1">
      <c r="B1616" s="2510" t="s">
        <v>2064</v>
      </c>
      <c r="C1616" s="2511" t="s">
        <v>3924</v>
      </c>
      <c r="E1616" s="1300"/>
      <c r="H1616" s="873"/>
      <c r="I1616" s="873"/>
      <c r="J1616" s="873"/>
      <c r="K1616" s="873"/>
      <c r="L1616" s="873"/>
      <c r="M1616" s="2485"/>
    </row>
    <row r="1617" spans="1:19" s="542" customFormat="1" ht="11.25" customHeight="1">
      <c r="A1617" s="2512" t="str">
        <f>IF(AND(O1617="",$I$87="LEED-ND"), "X","")</f>
        <v/>
      </c>
      <c r="B1617" s="2515" t="s">
        <v>2520</v>
      </c>
      <c r="C1617" s="2514" t="s">
        <v>4175</v>
      </c>
      <c r="D1617" s="2514"/>
      <c r="E1617" s="2514"/>
      <c r="F1617" s="2514"/>
      <c r="G1617" s="2514"/>
      <c r="H1617" s="2397"/>
      <c r="I1617" s="873"/>
      <c r="J1617" s="873"/>
      <c r="K1617" s="2397"/>
      <c r="L1617" s="2505">
        <f>'Part IX A-Scoring Criteria'!L100</f>
        <v>0</v>
      </c>
      <c r="M1617" s="2294"/>
    </row>
    <row r="1618" spans="1:19" s="542" customFormat="1" ht="11.25" customHeight="1">
      <c r="A1618" s="2512" t="str">
        <f>IF(AND(O1618="",$I$87="LEED-ND"), "X","")</f>
        <v/>
      </c>
      <c r="B1618" s="2515" t="s">
        <v>2521</v>
      </c>
      <c r="C1618" s="2514" t="s">
        <v>4172</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2" customFormat="1" ht="11.45" customHeight="1">
      <c r="A1619" s="2506" t="s">
        <v>2061</v>
      </c>
      <c r="B1619" s="2507" t="s">
        <v>323</v>
      </c>
      <c r="D1619" s="2508"/>
      <c r="E1619" s="2508"/>
      <c r="F1619" s="2508"/>
      <c r="H1619" s="873"/>
      <c r="I1619" s="873"/>
      <c r="J1619" s="873"/>
      <c r="K1619" s="873"/>
      <c r="L1619" s="873"/>
      <c r="M1619" s="2080">
        <v>2</v>
      </c>
      <c r="N1619" s="2473" t="s">
        <v>2061</v>
      </c>
      <c r="O1619" s="2425" t="s">
        <v>2597</v>
      </c>
      <c r="P1619" s="2425" t="s">
        <v>2597</v>
      </c>
    </row>
    <row r="1620" spans="1:19" s="2489" customFormat="1" ht="11.25" customHeight="1">
      <c r="A1620" s="1343" t="str">
        <f>IF(AND(O1620="",OR($I$87="Earth Craft House Single Family",$I$87="Earth Craft House Multifamily",$I$87="Earth Craft House Renovation",$I$87="EF Green Communities",$I$87="LEED for Homes",$I$87="NAHB Natl Green Bdlg Stds",$I$87="EnergyStar v3")), "X","")</f>
        <v/>
      </c>
      <c r="B1620" s="2516" t="s">
        <v>2062</v>
      </c>
      <c r="C1620" s="2517" t="s">
        <v>2840</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3" t="str">
        <f>IF(AND(O1621="",OR($I$87="Earth Craft House Single Family",$I$87="Earth Craft House Multifamily",$I$87="Earth Craft House Renovation",$I$87="EF Green Communities",$I$87="LEED for Homes",$I$87="NAHB Natl Green Bdlg Stds",$I$87="EnergyStar v3")), "X","")</f>
        <v/>
      </c>
      <c r="B1621" s="2516" t="s">
        <v>2064</v>
      </c>
      <c r="C1621" s="2517" t="s">
        <v>2837</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3" t="str">
        <f>IF(AND(O1622="",OR($I$87="Earth Craft House Single Family",$I$87="Earth Craft House Multifamily",$I$87="Earth Craft House Renovation",$I$87="EF Green Communities",$I$87="LEED for Homes",$I$87="NAHB Natl Green Bdlg Stds",$I$87="EnergyStar v3")), "X","")</f>
        <v/>
      </c>
      <c r="B1622" s="2516" t="s">
        <v>2622</v>
      </c>
      <c r="C1622" s="2517" t="s">
        <v>2838</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3" t="str">
        <f>IF(AND(O1623="",OR($I$87="Earth Craft House Single Family",$I$87="Earth Craft House Multifamily",$I$87="Earth Craft House Renovation",$I$87="EF Green Communities",$I$87="LEED for Homes",$I$87="NAHB Natl Green Bdlg Stds",$I$87="EnergyStar v3")), "X","")</f>
        <v/>
      </c>
      <c r="B1623" s="2516" t="s">
        <v>1270</v>
      </c>
      <c r="C1623" s="2517" t="s">
        <v>2839</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5"/>
      <c r="L1625" s="2458"/>
      <c r="M1625" s="2080"/>
      <c r="N1625" s="2080"/>
      <c r="O1625" s="2439"/>
      <c r="P1625" s="2258"/>
      <c r="Q1625" s="2458"/>
      <c r="R1625" s="2458"/>
      <c r="S1625" s="2458"/>
    </row>
    <row r="1626" spans="1:19" ht="101.25">
      <c r="A1626" s="2374" t="str">
        <f>'Part IX A-Scoring Criteria'!A109</f>
        <v>This development will participate in the EarthCraft Sustainable Building program.</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5"/>
      <c r="E1629" s="515"/>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4" t="s">
        <v>3925</v>
      </c>
      <c r="I1630" s="2458"/>
      <c r="J1630" s="2458"/>
      <c r="K1630" s="2458"/>
      <c r="L1630" s="2458"/>
      <c r="M1630" s="2258">
        <v>8</v>
      </c>
      <c r="N1630" s="2080"/>
      <c r="O1630" s="2439">
        <f>'Part IX A-Scoring Criteria'!O113</f>
        <v>5</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3928</v>
      </c>
      <c r="B1632" s="2277" t="s">
        <v>3926</v>
      </c>
      <c r="C1632" s="2458"/>
      <c r="D1632" s="2452"/>
      <c r="E1632" s="2452"/>
      <c r="F1632" s="2458"/>
      <c r="G1632" s="2458"/>
      <c r="H1632" s="2074"/>
      <c r="I1632" s="2458"/>
      <c r="J1632" s="2458"/>
      <c r="K1632" s="2458"/>
      <c r="L1632" s="2458"/>
      <c r="M1632" s="2253">
        <v>3</v>
      </c>
      <c r="N1632" s="2458"/>
      <c r="O1632" s="2439">
        <f>'Part IX A-Scoring Criteria'!O115</f>
        <v>2</v>
      </c>
      <c r="P1632" s="2258">
        <f>'Part IX A-Scoring Criteria'!P115</f>
        <v>0</v>
      </c>
      <c r="Q1632" s="2258"/>
      <c r="R1632" s="2443"/>
      <c r="S1632" s="2458"/>
    </row>
    <row r="1633" spans="1:19">
      <c r="A1633" s="2519"/>
      <c r="B1633" s="2261" t="s">
        <v>2912</v>
      </c>
      <c r="C1633" s="2259"/>
      <c r="D1633" s="2259"/>
      <c r="E1633" s="2277" t="str">
        <f>'Part I-Project Information'!$H$90</f>
        <v>Rural</v>
      </c>
      <c r="O1633" s="2425" t="s">
        <v>2597</v>
      </c>
      <c r="P1633" s="2425" t="s">
        <v>2597</v>
      </c>
    </row>
    <row r="1634" spans="1:19" ht="12.75" customHeight="1">
      <c r="A1634" s="2519"/>
      <c r="B1634" s="2520" t="s">
        <v>2062</v>
      </c>
      <c r="C1634" s="500" t="s">
        <v>2785</v>
      </c>
      <c r="M1634" s="2253"/>
      <c r="O1634" s="2372" t="str">
        <f>'Part IX A-Scoring Criteria'!O117</f>
        <v>Yes</v>
      </c>
      <c r="P1634" s="2372">
        <f>'Part IX A-Scoring Criteria'!P117</f>
        <v>0</v>
      </c>
      <c r="Q1634" s="2521" t="str">
        <f>IF(AND(O1634="Yes",O1637="Yes"),"Only 1 or 4 can be 'Yes'!","")</f>
        <v/>
      </c>
      <c r="R1634" s="2521"/>
    </row>
    <row r="1635" spans="1:19" ht="12.75" customHeight="1">
      <c r="B1635" s="2520" t="s">
        <v>2064</v>
      </c>
      <c r="C1635" s="500" t="s">
        <v>2853</v>
      </c>
      <c r="D1635" s="2522">
        <f>'Part IX A-Scoring Criteria'!D118</f>
        <v>0.15</v>
      </c>
      <c r="E1635" s="500" t="s">
        <v>2854</v>
      </c>
      <c r="G1635" s="500" t="s">
        <v>2474</v>
      </c>
      <c r="K1635" s="515" t="s">
        <v>2852</v>
      </c>
      <c r="L1635" s="2523">
        <f>'Part IX A-Scoring Criteria'!L118</f>
        <v>0.114</v>
      </c>
      <c r="M1635" s="2368" t="str">
        <f>IF(L1635&gt;D1635,"CHECK ACTUAL PERCENT!!!","")</f>
        <v/>
      </c>
      <c r="N1635" s="2417"/>
      <c r="O1635" s="2255"/>
      <c r="P1635" s="2255"/>
      <c r="Q1635" s="2521"/>
      <c r="R1635" s="2521"/>
    </row>
    <row r="1636" spans="1:19" ht="12.75" customHeight="1">
      <c r="B1636" s="2520" t="s">
        <v>2622</v>
      </c>
      <c r="C1636" s="500" t="s">
        <v>2475</v>
      </c>
      <c r="G1636" s="500" t="s">
        <v>2476</v>
      </c>
      <c r="K1636" s="2468" t="s">
        <v>2844</v>
      </c>
      <c r="L1636" s="2468" t="str">
        <f>'Part IX A-Scoring Criteria'!L119</f>
        <v>Upper</v>
      </c>
      <c r="N1636" s="2253"/>
      <c r="O1636" s="2255"/>
      <c r="P1636" s="2255"/>
      <c r="Q1636" s="2521"/>
      <c r="R1636" s="2521"/>
    </row>
    <row r="1637" spans="1:19" ht="12.75" customHeight="1">
      <c r="B1637" s="2520" t="s">
        <v>1270</v>
      </c>
      <c r="C1637" s="2382" t="s">
        <v>4469</v>
      </c>
      <c r="D1637" s="2382"/>
      <c r="E1637" s="2382"/>
      <c r="F1637" s="2382"/>
      <c r="G1637" s="2382"/>
      <c r="H1637" s="2382"/>
      <c r="I1637" s="2382"/>
      <c r="J1637" s="2382"/>
      <c r="K1637" s="2382"/>
      <c r="L1637" s="2382"/>
      <c r="M1637" s="2382"/>
      <c r="O1637" s="2372" t="str">
        <f>'Part IX A-Scoring Criteria'!O120</f>
        <v>N/a</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3927</v>
      </c>
      <c r="C1639" s="500"/>
      <c r="G1639" s="500"/>
      <c r="K1639" s="2425" t="s">
        <v>3910</v>
      </c>
      <c r="L1639" s="2425" t="s">
        <v>3911</v>
      </c>
      <c r="M1639" s="2253">
        <v>3</v>
      </c>
      <c r="N1639" s="2253"/>
      <c r="O1639" s="2525">
        <f>'Part IX A-Scoring Criteria'!O122</f>
        <v>3</v>
      </c>
      <c r="P1639" s="2525">
        <f>'Part IX A-Scoring Criteria'!P122</f>
        <v>0</v>
      </c>
    </row>
    <row r="1640" spans="1:19" ht="12.75" customHeight="1">
      <c r="A1640" s="2315"/>
      <c r="B1640" s="2382" t="s">
        <v>3931</v>
      </c>
      <c r="C1640" s="2382"/>
      <c r="D1640" s="2382"/>
      <c r="E1640" s="2382"/>
      <c r="F1640" s="2382"/>
      <c r="G1640" s="2382"/>
      <c r="H1640" s="2382"/>
      <c r="I1640" s="2382"/>
      <c r="J1640" s="2382"/>
      <c r="K1640" s="2372" t="str">
        <f>'Part IX A-Scoring Criteria'!K123</f>
        <v>A3</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3929</v>
      </c>
      <c r="C1642" s="500"/>
      <c r="G1642" s="2468" t="s">
        <v>3930</v>
      </c>
      <c r="H1642" s="2526">
        <f>'Part VI-Revenues &amp; Expenses'!$O$59</f>
        <v>0</v>
      </c>
      <c r="I1642" s="2425" t="s">
        <v>3945</v>
      </c>
      <c r="J1642" s="2526">
        <f>'Part VI-Revenues &amp; Expenses'!$O$62</f>
        <v>72</v>
      </c>
      <c r="K1642" s="2425" t="s">
        <v>3946</v>
      </c>
      <c r="L1642" s="2527">
        <f>IF(J1642=0,0,H1642/J1642)</f>
        <v>0</v>
      </c>
      <c r="M1642" s="2253">
        <v>2</v>
      </c>
      <c r="N1642" s="2253"/>
      <c r="O1642" s="2525">
        <f>'Part IX A-Scoring Criteria'!O125</f>
        <v>0</v>
      </c>
      <c r="P1642" s="2525">
        <f>'Part IX A-Scoring Criteria'!P125</f>
        <v>0</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5"/>
      <c r="E1645" s="515"/>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3569</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4079</v>
      </c>
      <c r="E1648" s="2079"/>
      <c r="G1648" s="2220">
        <f>'Part IX A-Scoring Criteria'!G131</f>
        <v>0</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0" t="s">
        <v>3055</v>
      </c>
      <c r="C1650" s="2443"/>
      <c r="D1650" s="2079"/>
      <c r="E1650" s="2443"/>
      <c r="F1650" s="2443"/>
      <c r="G1650" s="2443"/>
      <c r="H1650" s="2443"/>
      <c r="I1650" s="2443"/>
      <c r="J1650" s="2443"/>
      <c r="K1650" s="2443"/>
      <c r="L1650" s="2443"/>
      <c r="M1650" s="2443"/>
      <c r="N1650" s="2345"/>
      <c r="O1650" s="2372" t="str">
        <f>'Part IX A-Scoring Criteria'!O133</f>
        <v>N/a</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4470</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0" t="s">
        <v>3710</v>
      </c>
      <c r="D1653" s="2458"/>
      <c r="E1653" s="2308"/>
      <c r="F1653" s="2443"/>
      <c r="G1653" s="500" t="s">
        <v>3711</v>
      </c>
      <c r="H1653" s="2443"/>
      <c r="I1653" s="2443"/>
      <c r="J1653" s="2443"/>
      <c r="K1653" s="2443"/>
      <c r="L1653" s="2529">
        <f>'Part IX A-Scoring Criteria'!L136</f>
        <v>0</v>
      </c>
      <c r="M1653" s="2529"/>
      <c r="N1653" s="2345" t="s">
        <v>2520</v>
      </c>
      <c r="O1653" s="2372" t="str">
        <f>'Part IX A-Scoring Criteria'!O136</f>
        <v>N/a</v>
      </c>
      <c r="P1653" s="2372">
        <f>'Part IX A-Scoring Criteria'!P136</f>
        <v>0</v>
      </c>
      <c r="Q1653" s="2443"/>
      <c r="R1653" s="2443"/>
      <c r="S1653" s="2443"/>
    </row>
    <row r="1654" spans="1:19" ht="15" customHeight="1">
      <c r="A1654" s="2255"/>
      <c r="B1654" s="2345" t="s">
        <v>2521</v>
      </c>
      <c r="C1654" s="2374" t="s">
        <v>4471</v>
      </c>
      <c r="D1654" s="2374"/>
      <c r="E1654" s="2374"/>
      <c r="F1654" s="2374"/>
      <c r="G1654" s="500" t="s">
        <v>3575</v>
      </c>
      <c r="H1654" s="2443"/>
      <c r="I1654" s="2443"/>
      <c r="J1654" s="2443"/>
      <c r="K1654" s="2443"/>
      <c r="L1654" s="2529">
        <f>'Part IX A-Scoring Criteria'!L137</f>
        <v>0</v>
      </c>
      <c r="M1654" s="2529"/>
      <c r="N1654" s="2345" t="s">
        <v>2521</v>
      </c>
      <c r="O1654" s="2372" t="str">
        <f>'Part IX A-Scoring Criteria'!O137</f>
        <v>N/a</v>
      </c>
      <c r="P1654" s="2372">
        <f>'Part IX A-Scoring Criteria'!P137</f>
        <v>0</v>
      </c>
      <c r="Q1654" s="2443"/>
      <c r="R1654" s="2443"/>
      <c r="S1654" s="2443"/>
    </row>
    <row r="1655" spans="1:19" ht="15">
      <c r="A1655" s="2255"/>
      <c r="B1655" s="2345"/>
      <c r="C1655" s="2374"/>
      <c r="D1655" s="2374"/>
      <c r="E1655" s="2374"/>
      <c r="F1655" s="2374"/>
      <c r="G1655" s="500" t="s">
        <v>3053</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0" t="s">
        <v>2948</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0" t="s">
        <v>2949</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4083</v>
      </c>
      <c r="H1658" s="2382"/>
      <c r="I1658" s="500" t="s">
        <v>1778</v>
      </c>
      <c r="J1658" s="515" t="str">
        <f>'Part IX A-Scoring Criteria'!J141</f>
        <v>&lt;&lt;Select entity type&gt;&gt;</v>
      </c>
      <c r="K1658" s="515"/>
      <c r="L1658" s="515" t="str">
        <f>'Part IX A-Scoring Criteria'!L141</f>
        <v>&lt;&lt;Select entity type&gt;&gt;</v>
      </c>
      <c r="M1658" s="515"/>
      <c r="N1658" s="2443"/>
      <c r="O1658" s="2443"/>
      <c r="P1658" s="2443"/>
      <c r="Q1658" s="2443"/>
      <c r="R1658" s="2443"/>
      <c r="S1658" s="2443"/>
    </row>
    <row r="1659" spans="1:19" ht="15">
      <c r="A1659" s="2255"/>
      <c r="B1659" s="2345"/>
      <c r="C1659" s="2468"/>
      <c r="D1659" s="2458"/>
      <c r="E1659" s="2308"/>
      <c r="F1659" s="2443"/>
      <c r="G1659" s="2382"/>
      <c r="H1659" s="2382"/>
      <c r="I1659" s="500" t="s">
        <v>4082</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3934</v>
      </c>
      <c r="D1660" s="2374"/>
      <c r="E1660" s="2374"/>
      <c r="F1660" s="2374"/>
      <c r="G1660" s="500" t="s">
        <v>3054</v>
      </c>
      <c r="L1660" s="2529">
        <f>'Part IX A-Scoring Criteria'!L143</f>
        <v>0</v>
      </c>
      <c r="M1660" s="2529"/>
      <c r="N1660" s="2345" t="s">
        <v>2522</v>
      </c>
      <c r="O1660" s="2372" t="str">
        <f>'Part IX A-Scoring Criteria'!O143</f>
        <v>N/a</v>
      </c>
      <c r="P1660" s="2372">
        <f>'Part IX A-Scoring Criteria'!P143</f>
        <v>0</v>
      </c>
    </row>
    <row r="1661" spans="1:19" ht="13.5">
      <c r="B1661" s="2345"/>
      <c r="C1661" s="2374"/>
      <c r="D1661" s="2374"/>
      <c r="E1661" s="2374"/>
      <c r="F1661" s="2374"/>
      <c r="G1661" s="500" t="s">
        <v>4472</v>
      </c>
      <c r="L1661" s="2529">
        <f>'Part IX A-Scoring Criteria'!L144</f>
        <v>0</v>
      </c>
      <c r="M1661" s="2529"/>
    </row>
    <row r="1662" spans="1:19" ht="13.5" customHeight="1">
      <c r="B1662" s="2345" t="s">
        <v>2523</v>
      </c>
      <c r="C1662" s="515" t="s">
        <v>3935</v>
      </c>
      <c r="D1662" s="500"/>
      <c r="G1662" s="2312"/>
      <c r="K1662" s="2308"/>
      <c r="L1662" s="2530" t="str">
        <f>'Part IX A-Scoring Criteria'!L145</f>
        <v>&lt;&lt;Enter page nbr(s) from Plan here&gt;&gt;</v>
      </c>
      <c r="M1662" s="2530"/>
      <c r="N1662" s="2345" t="s">
        <v>2523</v>
      </c>
      <c r="O1662" s="2372" t="str">
        <f>'Part IX A-Scoring Criteria'!O145</f>
        <v>N/a</v>
      </c>
      <c r="P1662" s="2372">
        <f>'Part IX A-Scoring Criteria'!P145</f>
        <v>0</v>
      </c>
    </row>
    <row r="1663" spans="1:19" ht="12.75" customHeight="1">
      <c r="B1663" s="2345" t="s">
        <v>2524</v>
      </c>
      <c r="C1663" s="515" t="s">
        <v>2951</v>
      </c>
      <c r="K1663" s="2308"/>
      <c r="L1663" s="2530" t="str">
        <f>'Part IX A-Scoring Criteria'!L146</f>
        <v>&lt;&lt;Enter page nbr(s) from Plan here&gt;&gt;</v>
      </c>
      <c r="M1663" s="2530"/>
      <c r="N1663" s="2345" t="s">
        <v>2524</v>
      </c>
      <c r="O1663" s="2372" t="str">
        <f>'Part IX A-Scoring Criteria'!O146</f>
        <v>N/a</v>
      </c>
      <c r="P1663" s="2372">
        <f>'Part IX A-Scoring Criteria'!P146</f>
        <v>0</v>
      </c>
    </row>
    <row r="1664" spans="1:19" ht="12.75" customHeight="1">
      <c r="B1664" s="2345" t="s">
        <v>3578</v>
      </c>
      <c r="C1664" s="515" t="s">
        <v>3572</v>
      </c>
      <c r="K1664" s="2308"/>
      <c r="L1664" s="2530" t="str">
        <f>'Part IX A-Scoring Criteria'!L147</f>
        <v>&lt;&lt;Enter page nbr(s) from Plan here&gt;&gt;</v>
      </c>
      <c r="M1664" s="2530"/>
      <c r="N1664" s="2345" t="s">
        <v>3578</v>
      </c>
      <c r="O1664" s="2372" t="str">
        <f>'Part IX A-Scoring Criteria'!O147</f>
        <v>N/a</v>
      </c>
      <c r="P1664" s="2372">
        <f>'Part IX A-Scoring Criteria'!P147</f>
        <v>0</v>
      </c>
    </row>
    <row r="1665" spans="1:21" ht="12.75" customHeight="1">
      <c r="B1665" s="2345" t="s">
        <v>3579</v>
      </c>
      <c r="C1665" s="515" t="s">
        <v>3570</v>
      </c>
      <c r="K1665" s="2308"/>
      <c r="L1665" s="2530" t="str">
        <f>'Part IX A-Scoring Criteria'!L148</f>
        <v>&lt;&lt;Enter page nbr(s) from Plan here&gt;&gt;</v>
      </c>
      <c r="M1665" s="2530"/>
      <c r="N1665" s="2345" t="s">
        <v>3579</v>
      </c>
      <c r="O1665" s="2372" t="str">
        <f>'Part IX A-Scoring Criteria'!O148</f>
        <v>N/a</v>
      </c>
      <c r="P1665" s="2372">
        <f>'Part IX A-Scoring Criteria'!P148</f>
        <v>0</v>
      </c>
    </row>
    <row r="1666" spans="1:21" ht="12.75" customHeight="1">
      <c r="B1666" s="2345" t="s">
        <v>2541</v>
      </c>
      <c r="C1666" s="515" t="s">
        <v>2952</v>
      </c>
      <c r="K1666" s="2308"/>
      <c r="L1666" s="2530" t="str">
        <f>'Part IX A-Scoring Criteria'!L149</f>
        <v>&lt;&lt;Enter page nbr(s) from Plan here&gt;&gt;</v>
      </c>
      <c r="M1666" s="2530"/>
      <c r="N1666" s="2345" t="s">
        <v>2541</v>
      </c>
      <c r="O1666" s="2372" t="str">
        <f>'Part IX A-Scoring Criteria'!O149</f>
        <v>N/a</v>
      </c>
      <c r="P1666" s="2372">
        <f>'Part IX A-Scoring Criteria'!P149</f>
        <v>0</v>
      </c>
    </row>
    <row r="1667" spans="1:21" ht="12.75" customHeight="1">
      <c r="B1667" s="2345" t="s">
        <v>2542</v>
      </c>
      <c r="C1667" s="515" t="s">
        <v>2953</v>
      </c>
      <c r="D1667" s="500"/>
      <c r="K1667" s="2308"/>
      <c r="L1667" s="2530" t="str">
        <f>'Part IX A-Scoring Criteria'!L150</f>
        <v>&lt;&lt;Enter page nbr(s) from Plan here&gt;&gt;</v>
      </c>
      <c r="M1667" s="2530"/>
      <c r="N1667" s="2345" t="s">
        <v>2542</v>
      </c>
      <c r="O1667" s="2372" t="str">
        <f>'Part IX A-Scoring Criteria'!O150</f>
        <v>N/a</v>
      </c>
      <c r="P1667" s="2372">
        <f>'Part IX A-Scoring Criteria'!P150</f>
        <v>0</v>
      </c>
    </row>
    <row r="1668" spans="1:21">
      <c r="B1668" s="2345" t="s">
        <v>2543</v>
      </c>
      <c r="C1668" s="515" t="s">
        <v>3936</v>
      </c>
      <c r="K1668" s="2308"/>
      <c r="M1668" s="2255"/>
      <c r="N1668" s="2345" t="s">
        <v>2543</v>
      </c>
      <c r="O1668" s="2372" t="str">
        <f>'Part IX A-Scoring Criteria'!O151</f>
        <v>N/a</v>
      </c>
      <c r="P1668" s="2372">
        <f>'Part IX A-Scoring Criteria'!P151</f>
        <v>0</v>
      </c>
    </row>
    <row r="1669" spans="1:21">
      <c r="B1669" s="2345"/>
      <c r="C1669" s="515"/>
      <c r="K1669" s="2308"/>
      <c r="M1669" s="2255"/>
      <c r="N1669" s="2255"/>
      <c r="O1669" s="2255"/>
      <c r="P1669" s="2255"/>
    </row>
    <row r="1670" spans="1:21">
      <c r="A1670" s="2289" t="s">
        <v>2058</v>
      </c>
      <c r="B1670" s="2277" t="s">
        <v>3571</v>
      </c>
      <c r="G1670" s="2468" t="s">
        <v>3699</v>
      </c>
      <c r="K1670" s="2308"/>
      <c r="L1670" s="2531" t="str">
        <f>'Part IX A-Scoring Criteria'!L153</f>
        <v>Enter page nbr(s) here</v>
      </c>
      <c r="M1670" s="2080">
        <v>3</v>
      </c>
      <c r="N1670" s="2345" t="s">
        <v>2058</v>
      </c>
      <c r="O1670" s="2372" t="str">
        <f>'Part IX A-Scoring Criteria'!O153</f>
        <v>N/a</v>
      </c>
      <c r="P1670" s="2372">
        <f>'Part IX A-Scoring Criteria'!P153</f>
        <v>0</v>
      </c>
    </row>
    <row r="1671" spans="1:21">
      <c r="A1671" s="2373"/>
      <c r="G1671" s="2468" t="s">
        <v>3862</v>
      </c>
      <c r="L1671" s="2532" t="str">
        <f>'Part I-Project Information'!$O$28</f>
        <v>104.01</v>
      </c>
      <c r="M1671" s="2532"/>
    </row>
    <row r="1672" spans="1:21">
      <c r="A1672" s="2373"/>
      <c r="B1672" s="2468"/>
      <c r="D1672" s="2425"/>
      <c r="G1672" s="2468" t="s">
        <v>3577</v>
      </c>
      <c r="K1672" s="2308"/>
      <c r="L1672" s="2468" t="str">
        <f>'Part I-Project Information'!$N$29</f>
        <v>No</v>
      </c>
    </row>
    <row r="1673" spans="1:21">
      <c r="A1673" s="2373"/>
      <c r="B1673" s="2468"/>
      <c r="D1673" s="2425"/>
      <c r="E1673" s="2468"/>
      <c r="G1673" s="2308" t="s">
        <v>3573</v>
      </c>
      <c r="K1673" s="2308"/>
      <c r="L1673" s="2308" t="str">
        <f>'Part IV-Uses of Funds'!$H$151</f>
        <v>&lt;&lt;Select&gt;&gt;</v>
      </c>
    </row>
    <row r="1674" spans="1:21">
      <c r="A1674" s="2289" t="s">
        <v>2061</v>
      </c>
      <c r="B1674" s="2277" t="s">
        <v>3574</v>
      </c>
      <c r="D1674" s="2079"/>
      <c r="M1674" s="2253">
        <v>2</v>
      </c>
    </row>
    <row r="1675" spans="1:21" ht="13.5">
      <c r="A1675" s="2373"/>
      <c r="B1675" s="500" t="s">
        <v>3576</v>
      </c>
      <c r="N1675" s="2345" t="s">
        <v>2061</v>
      </c>
      <c r="O1675" s="2372" t="str">
        <f>'Part IX A-Scoring Criteria'!O158</f>
        <v>N/a</v>
      </c>
      <c r="P1675" s="2372">
        <f>'Part IX A-Scoring Criteria'!P158</f>
        <v>0</v>
      </c>
      <c r="Q1675" s="2312"/>
    </row>
    <row r="1676" spans="1:21">
      <c r="A1676" s="2289" t="s">
        <v>779</v>
      </c>
      <c r="B1676" s="2277" t="s">
        <v>2916</v>
      </c>
      <c r="C1676" s="2277"/>
      <c r="D1676" s="2079"/>
      <c r="M1676" s="2080"/>
      <c r="N1676" s="2253"/>
      <c r="O1676" s="2369"/>
      <c r="P1676" s="2369"/>
    </row>
    <row r="1677" spans="1:21" ht="12.75" customHeight="1">
      <c r="B1677" s="2533"/>
      <c r="C1677" s="2374" t="s">
        <v>4473</v>
      </c>
      <c r="D1677" s="2374"/>
      <c r="E1677" s="2374"/>
      <c r="F1677" s="2374"/>
      <c r="G1677" s="2374"/>
      <c r="H1677" s="2374"/>
      <c r="J1677" s="2374"/>
      <c r="K1677" s="2374"/>
      <c r="L1677" s="2374"/>
      <c r="M1677" s="2480">
        <v>10</v>
      </c>
      <c r="N1677" s="2415" t="s">
        <v>779</v>
      </c>
      <c r="O1677" s="2372" t="str">
        <f>'Part IX A-Scoring Criteria'!O160</f>
        <v>N/a</v>
      </c>
      <c r="P1677" s="2372">
        <f>'Part IX A-Scoring Criteria'!P160</f>
        <v>0</v>
      </c>
      <c r="R1677" s="2426" t="s">
        <v>3943</v>
      </c>
      <c r="S1677" s="2426"/>
      <c r="T1677" s="2534" t="s">
        <v>3943</v>
      </c>
      <c r="U1677" s="2534"/>
    </row>
    <row r="1678" spans="1:21" ht="13.5">
      <c r="A1678" s="2289" t="s">
        <v>2193</v>
      </c>
      <c r="B1678" s="2277" t="s">
        <v>3938</v>
      </c>
      <c r="C1678" s="2277"/>
      <c r="D1678" s="2079"/>
      <c r="I1678" s="2535" t="s">
        <v>4369</v>
      </c>
      <c r="J1678" s="2536" t="s">
        <v>4370</v>
      </c>
      <c r="K1678" s="2537" t="s">
        <v>4080</v>
      </c>
      <c r="L1678" s="2537"/>
      <c r="M1678" s="2080">
        <v>4</v>
      </c>
      <c r="N1678" s="2345" t="s">
        <v>2193</v>
      </c>
      <c r="O1678" s="2525">
        <f>'Part IX A-Scoring Criteria'!O161</f>
        <v>0</v>
      </c>
      <c r="P1678" s="2525">
        <f>'Part IX A-Scoring Criteria'!P161</f>
        <v>0</v>
      </c>
      <c r="R1678" s="500" t="s">
        <v>3421</v>
      </c>
      <c r="S1678" s="2425" t="s">
        <v>268</v>
      </c>
      <c r="T1678" s="543" t="s">
        <v>3421</v>
      </c>
      <c r="U1678" s="2509" t="s">
        <v>268</v>
      </c>
    </row>
    <row r="1679" spans="1:21">
      <c r="B1679" s="2520" t="s">
        <v>2062</v>
      </c>
      <c r="C1679" s="2423" t="s">
        <v>3940</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4367</v>
      </c>
      <c r="D1680" s="2423"/>
      <c r="E1680" s="2423"/>
      <c r="F1680" s="2423"/>
      <c r="G1680" s="2423"/>
      <c r="H1680" s="2423"/>
      <c r="I1680" s="2538" t="str">
        <f>'Part IX A-Scoring Criteria'!I163</f>
        <v>Yes</v>
      </c>
      <c r="J1680" s="2538" t="str">
        <f>'Part IX A-Scoring Criteria'!J163</f>
        <v>No</v>
      </c>
      <c r="K1680" s="2372">
        <f>'Part IX A-Scoring Criteria'!K163</f>
        <v>0</v>
      </c>
      <c r="L1680" s="2372">
        <f>'Part IX A-Scoring Criteria'!L163</f>
        <v>0</v>
      </c>
      <c r="M1680" s="2480"/>
      <c r="N1680" s="2540" t="s">
        <v>2064</v>
      </c>
      <c r="O1680" s="2372" t="str">
        <f>'Part IX A-Scoring Criteria'!O163</f>
        <v>Yes</v>
      </c>
      <c r="P1680" s="2372">
        <f>'Part IX A-Scoring Criteria'!P163</f>
        <v>0</v>
      </c>
      <c r="R1680" s="2425">
        <f t="shared" ref="R1680:S1683" si="302">IF(O1680="Yes",1,0)</f>
        <v>1</v>
      </c>
      <c r="S1680" s="2425">
        <f t="shared" si="302"/>
        <v>0</v>
      </c>
      <c r="T1680" s="2509">
        <f t="shared" ref="T1680:U1683" si="303">IF(K1680="Yes",1,0)</f>
        <v>0</v>
      </c>
      <c r="U1680" s="2509">
        <f t="shared" si="303"/>
        <v>0</v>
      </c>
    </row>
    <row r="1681" spans="1:21">
      <c r="B1681" s="2520" t="s">
        <v>2622</v>
      </c>
      <c r="C1681" s="2423" t="s">
        <v>3942</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2"/>
        <v>0</v>
      </c>
      <c r="S1681" s="2425">
        <f t="shared" si="302"/>
        <v>0</v>
      </c>
      <c r="T1681" s="2509">
        <f t="shared" si="303"/>
        <v>0</v>
      </c>
      <c r="U1681" s="2509">
        <f t="shared" si="303"/>
        <v>0</v>
      </c>
    </row>
    <row r="1682" spans="1:21">
      <c r="B1682" s="2520" t="s">
        <v>1270</v>
      </c>
      <c r="C1682" s="2423" t="s">
        <v>3941</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480"/>
      <c r="N1682" s="2540" t="s">
        <v>1270</v>
      </c>
      <c r="O1682" s="2372" t="str">
        <f>'Part IX A-Scoring Criteria'!O165</f>
        <v>No</v>
      </c>
      <c r="P1682" s="2372">
        <f>'Part IX A-Scoring Criteria'!P165</f>
        <v>0</v>
      </c>
      <c r="R1682" s="2425">
        <f t="shared" si="302"/>
        <v>0</v>
      </c>
      <c r="S1682" s="2425">
        <f t="shared" si="302"/>
        <v>0</v>
      </c>
      <c r="T1682" s="2509">
        <f t="shared" si="303"/>
        <v>0</v>
      </c>
      <c r="U1682" s="2509">
        <f t="shared" si="303"/>
        <v>0</v>
      </c>
    </row>
    <row r="1683" spans="1:21">
      <c r="B1683" s="2520" t="s">
        <v>1271</v>
      </c>
      <c r="C1683" s="2541" t="s">
        <v>4368</v>
      </c>
      <c r="D1683" s="2423"/>
      <c r="E1683" s="2423"/>
      <c r="F1683" s="2423"/>
      <c r="G1683" s="2423"/>
      <c r="H1683" s="2423"/>
      <c r="I1683" s="2542">
        <f>'Part IX A-Scoring Criteria'!I166</f>
        <v>0</v>
      </c>
      <c r="J1683" s="2542">
        <f>'Part IX A-Scoring Criteria'!J166</f>
        <v>0</v>
      </c>
      <c r="K1683" s="2372">
        <f>'Part IX A-Scoring Criteria'!K166</f>
        <v>0</v>
      </c>
      <c r="L1683" s="2372">
        <f>'Part IX A-Scoring Criteria'!L166</f>
        <v>0</v>
      </c>
      <c r="M1683" s="2480"/>
      <c r="N1683" s="2540" t="s">
        <v>1271</v>
      </c>
      <c r="O1683" s="2372" t="str">
        <f>'Part IX A-Scoring Criteria'!O166</f>
        <v>No</v>
      </c>
      <c r="P1683" s="2372">
        <f>'Part IX A-Scoring Criteria'!P166</f>
        <v>0</v>
      </c>
      <c r="R1683" s="2425">
        <f t="shared" si="302"/>
        <v>0</v>
      </c>
      <c r="S1683" s="2425">
        <f t="shared" si="302"/>
        <v>0</v>
      </c>
      <c r="T1683" s="2509">
        <f t="shared" si="303"/>
        <v>0</v>
      </c>
      <c r="U1683" s="2509">
        <f t="shared" si="303"/>
        <v>0</v>
      </c>
    </row>
    <row r="1684" spans="1:21" ht="15">
      <c r="A1684" s="2079"/>
      <c r="B1684" s="2336" t="s">
        <v>267</v>
      </c>
      <c r="C1684" s="2079"/>
      <c r="D1684" s="2261"/>
      <c r="E1684" s="2261"/>
      <c r="F1684" s="2261"/>
      <c r="G1684" s="2261"/>
      <c r="H1684" s="515"/>
      <c r="I1684" s="515"/>
      <c r="J1684" s="2443"/>
      <c r="K1684" s="2443"/>
      <c r="L1684" s="2443"/>
      <c r="M1684" s="2080"/>
      <c r="N1684" s="2253"/>
      <c r="O1684" s="2439"/>
      <c r="P1684" s="2255"/>
      <c r="Q1684" s="2443"/>
      <c r="R1684" s="2443"/>
      <c r="S1684" s="2443"/>
    </row>
    <row r="1685" spans="1:21" ht="101.25">
      <c r="A1685" s="2374" t="str">
        <f>'Part IX A-Scoring Criteria'!A168</f>
        <v>This development is in a stable community and not in a revitalization/redevelopment area.</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3601</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2912</v>
      </c>
      <c r="I1690" s="500"/>
      <c r="J1690" s="2368" t="str">
        <f>'Part I-Project Information'!$H$90</f>
        <v>Rural</v>
      </c>
      <c r="K1690" s="2368"/>
    </row>
    <row r="1691" spans="1:21" ht="13.5">
      <c r="A1691" s="2269" t="s">
        <v>2058</v>
      </c>
      <c r="B1691" s="2277" t="s">
        <v>2312</v>
      </c>
      <c r="D1691" s="2079"/>
      <c r="E1691" s="2079"/>
      <c r="F1691" s="2079"/>
      <c r="H1691" s="2368" t="s">
        <v>4129</v>
      </c>
      <c r="I1691" s="500"/>
      <c r="J1691" s="2368" t="str">
        <f>'Part I-Project Information'!$O$24</f>
        <v>No</v>
      </c>
      <c r="K1691" s="2368"/>
      <c r="L1691" s="2544">
        <f>'Part I-Project Information'!$O$25</f>
        <v>0</v>
      </c>
      <c r="M1691" s="2080">
        <v>3</v>
      </c>
      <c r="N1691" s="2345" t="s">
        <v>2058</v>
      </c>
      <c r="O1691" s="2439">
        <f>'Part IX A-Scoring Criteria'!O174</f>
        <v>0</v>
      </c>
      <c r="P1691" s="2439">
        <f>'Part IX A-Scoring Criteria'!P174</f>
        <v>0</v>
      </c>
      <c r="Q1691" s="2312" t="s">
        <v>2810</v>
      </c>
    </row>
    <row r="1692" spans="1:21" ht="12.75" customHeight="1">
      <c r="A1692" s="500"/>
      <c r="B1692" s="2545" t="s">
        <v>2062</v>
      </c>
      <c r="C1692" s="2374" t="s">
        <v>3944</v>
      </c>
      <c r="D1692" s="2176"/>
      <c r="E1692" s="2176"/>
      <c r="F1692" s="2176"/>
      <c r="G1692" s="2176"/>
      <c r="H1692" s="2176"/>
      <c r="I1692" s="2176"/>
      <c r="J1692" s="2176"/>
      <c r="K1692" s="2176"/>
      <c r="L1692" s="2176"/>
      <c r="M1692" s="2480"/>
      <c r="N1692" s="2460" t="s">
        <v>2062</v>
      </c>
      <c r="O1692" s="2372" t="str">
        <f>'Part IX A-Scoring Criteria'!O175</f>
        <v>N/a</v>
      </c>
      <c r="P1692" s="2372">
        <f>'Part IX A-Scoring Criteria'!P175</f>
        <v>0</v>
      </c>
      <c r="Q1692" s="500"/>
      <c r="R1692" s="500"/>
      <c r="S1692" s="500"/>
    </row>
    <row r="1693" spans="1:21">
      <c r="A1693" s="500"/>
      <c r="B1693" s="2463"/>
      <c r="C1693" s="515" t="s">
        <v>997</v>
      </c>
      <c r="D1693" s="500"/>
      <c r="E1693" s="500"/>
      <c r="F1693" s="500"/>
      <c r="G1693" s="500"/>
      <c r="H1693" s="2468" t="s">
        <v>2671</v>
      </c>
      <c r="I1693" s="500"/>
      <c r="J1693" s="2319">
        <f>'Part IX A-Scoring Criteria'!J176</f>
        <v>0</v>
      </c>
      <c r="K1693" s="2319"/>
      <c r="L1693" s="500"/>
      <c r="M1693" s="500"/>
      <c r="N1693" s="500"/>
      <c r="O1693" s="500"/>
      <c r="P1693" s="500"/>
      <c r="Q1693" s="500"/>
      <c r="R1693" s="500"/>
      <c r="S1693" s="500"/>
    </row>
    <row r="1694" spans="1:21">
      <c r="A1694" s="500"/>
      <c r="B1694" s="2463"/>
      <c r="C1694" s="515"/>
      <c r="D1694" s="500"/>
      <c r="E1694" s="500"/>
      <c r="F1694" s="500"/>
      <c r="G1694" s="500"/>
      <c r="H1694" s="2468" t="s">
        <v>2381</v>
      </c>
      <c r="I1694" s="500"/>
      <c r="J1694" s="2426">
        <f>'Part IX A-Scoring Criteria'!J177</f>
        <v>0</v>
      </c>
      <c r="K1694" s="2426"/>
      <c r="L1694" s="2426"/>
      <c r="M1694" s="500"/>
      <c r="N1694" s="500"/>
      <c r="O1694" s="500"/>
      <c r="P1694" s="500"/>
      <c r="Q1694" s="500"/>
      <c r="R1694" s="500"/>
      <c r="S1694" s="500"/>
    </row>
    <row r="1695" spans="1:21">
      <c r="A1695" s="515"/>
      <c r="B1695" s="2463" t="s">
        <v>2064</v>
      </c>
      <c r="C1695" s="515" t="s">
        <v>998</v>
      </c>
      <c r="D1695" s="515"/>
      <c r="E1695" s="515"/>
      <c r="F1695" s="515"/>
      <c r="G1695" s="515"/>
      <c r="H1695" s="515"/>
      <c r="I1695" s="515"/>
      <c r="J1695" s="515"/>
      <c r="K1695" s="515"/>
      <c r="L1695" s="515"/>
      <c r="M1695" s="2080"/>
      <c r="N1695" s="2473" t="s">
        <v>2064</v>
      </c>
      <c r="O1695" s="2372" t="str">
        <f>'Part IX A-Scoring Criteria'!O178</f>
        <v>N/a</v>
      </c>
      <c r="P1695" s="2372">
        <f>'Part IX A-Scoring Criteria'!P178</f>
        <v>0</v>
      </c>
      <c r="Q1695" s="515"/>
      <c r="R1695" s="515"/>
      <c r="S1695" s="515"/>
    </row>
    <row r="1696" spans="1:21">
      <c r="A1696" s="515"/>
      <c r="B1696" s="2463" t="s">
        <v>2622</v>
      </c>
      <c r="C1696" s="515" t="s">
        <v>999</v>
      </c>
      <c r="D1696" s="515"/>
      <c r="E1696" s="515"/>
      <c r="F1696" s="515"/>
      <c r="G1696" s="515"/>
      <c r="H1696" s="515"/>
      <c r="I1696" s="515"/>
      <c r="J1696" s="515"/>
      <c r="K1696" s="515"/>
      <c r="L1696" s="515"/>
      <c r="M1696" s="2080"/>
      <c r="N1696" s="2473" t="s">
        <v>2622</v>
      </c>
      <c r="O1696" s="2372" t="str">
        <f>'Part IX A-Scoring Criteria'!O179</f>
        <v>N/a</v>
      </c>
      <c r="P1696" s="2372">
        <f>'Part IX A-Scoring Criteria'!P179</f>
        <v>0</v>
      </c>
      <c r="Q1696" s="515"/>
      <c r="R1696" s="515"/>
      <c r="S1696" s="515"/>
    </row>
    <row r="1697" spans="1:19">
      <c r="A1697" s="2373"/>
      <c r="B1697" s="2463" t="s">
        <v>1270</v>
      </c>
      <c r="C1697" s="515" t="s">
        <v>1000</v>
      </c>
      <c r="D1697" s="515"/>
      <c r="E1697" s="515"/>
      <c r="F1697" s="515"/>
      <c r="G1697" s="515"/>
      <c r="H1697" s="515"/>
      <c r="I1697" s="515"/>
      <c r="J1697" s="515"/>
      <c r="K1697" s="515"/>
      <c r="L1697" s="515"/>
      <c r="M1697" s="2080"/>
      <c r="N1697" s="2473" t="s">
        <v>1270</v>
      </c>
      <c r="O1697" s="2372" t="str">
        <f>'Part IX A-Scoring Criteria'!O180</f>
        <v>N/a</v>
      </c>
      <c r="P1697" s="2372">
        <f>'Part IX A-Scoring Criteria'!P180</f>
        <v>0</v>
      </c>
      <c r="Q1697" s="515"/>
      <c r="R1697" s="515"/>
      <c r="S1697" s="515"/>
    </row>
    <row r="1698" spans="1:19">
      <c r="A1698" s="2269" t="s">
        <v>2061</v>
      </c>
      <c r="B1698" s="2277" t="s">
        <v>3947</v>
      </c>
      <c r="C1698" s="2079"/>
      <c r="D1698" s="2079"/>
      <c r="E1698" s="2079"/>
      <c r="F1698" s="2079"/>
      <c r="G1698" s="2079"/>
      <c r="H1698" s="2543" t="s">
        <v>3602</v>
      </c>
      <c r="I1698" s="2079"/>
      <c r="J1698" s="2079"/>
      <c r="K1698" s="2079"/>
      <c r="L1698" s="2079"/>
      <c r="M1698" s="2080">
        <v>3</v>
      </c>
      <c r="N1698" s="2345" t="s">
        <v>2061</v>
      </c>
      <c r="O1698" s="2439">
        <f>'Part IX A-Scoring Criteria'!O181</f>
        <v>0</v>
      </c>
      <c r="P1698" s="2439">
        <f>'Part IX A-Scoring Criteria'!P181</f>
        <v>0</v>
      </c>
      <c r="Q1698" s="2079"/>
      <c r="R1698" s="2079"/>
      <c r="S1698" s="2079"/>
    </row>
    <row r="1699" spans="1:19">
      <c r="A1699" s="2269"/>
      <c r="B1699" s="2261" t="s">
        <v>3949</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4474</v>
      </c>
      <c r="D1700" s="2079"/>
      <c r="E1700" s="2079"/>
      <c r="F1700" s="2079"/>
      <c r="G1700" s="2079"/>
      <c r="H1700" s="2079"/>
      <c r="I1700" s="2079"/>
      <c r="J1700" s="2079"/>
      <c r="K1700" s="2079"/>
      <c r="L1700" s="2079"/>
      <c r="M1700" s="2080">
        <v>3</v>
      </c>
      <c r="N1700" s="2540" t="s">
        <v>2062</v>
      </c>
      <c r="O1700" s="2439">
        <f>'Part IX A-Scoring Criteria'!O183</f>
        <v>0</v>
      </c>
      <c r="P1700" s="2439">
        <f>'Part IX A-Scoring Criteria'!P183</f>
        <v>0</v>
      </c>
      <c r="Q1700" s="2074" t="s">
        <v>2810</v>
      </c>
      <c r="R1700" s="2079"/>
      <c r="S1700" s="2079"/>
    </row>
    <row r="1701" spans="1:19">
      <c r="A1701" s="2372" t="s">
        <v>1403</v>
      </c>
      <c r="B1701" s="2533" t="s">
        <v>2064</v>
      </c>
      <c r="C1701" s="2419" t="s">
        <v>4475</v>
      </c>
      <c r="D1701" s="2079"/>
      <c r="E1701" s="2079"/>
      <c r="F1701" s="2079"/>
      <c r="G1701" s="2308"/>
      <c r="H1701" s="2543"/>
      <c r="I1701" s="2308"/>
      <c r="M1701" s="2253">
        <v>2</v>
      </c>
      <c r="N1701" s="2540" t="s">
        <v>2064</v>
      </c>
      <c r="O1701" s="2439">
        <f>'Part IX A-Scoring Criteria'!O184</f>
        <v>0</v>
      </c>
      <c r="P1701" s="2439">
        <f>'Part IX A-Scoring Criteria'!P184</f>
        <v>0</v>
      </c>
      <c r="Q1701" s="2074" t="s">
        <v>2810</v>
      </c>
    </row>
    <row r="1702" spans="1:19">
      <c r="A1702" s="2269" t="s">
        <v>779</v>
      </c>
      <c r="B1702" s="2277" t="s">
        <v>3948</v>
      </c>
      <c r="C1702" s="2079"/>
      <c r="D1702" s="2079"/>
      <c r="E1702" s="2079"/>
      <c r="F1702" s="2079"/>
      <c r="G1702" s="2079"/>
      <c r="H1702" s="2543" t="s">
        <v>3956</v>
      </c>
      <c r="I1702" s="2079"/>
      <c r="J1702" s="2079"/>
      <c r="K1702" s="2079"/>
      <c r="L1702" s="2079"/>
      <c r="M1702" s="2080">
        <v>4</v>
      </c>
      <c r="N1702" s="2345" t="s">
        <v>779</v>
      </c>
      <c r="O1702" s="2439">
        <f>'Part IX A-Scoring Criteria'!O185</f>
        <v>3</v>
      </c>
      <c r="P1702" s="2439">
        <f>'Part IX A-Scoring Criteria'!P185</f>
        <v>0</v>
      </c>
      <c r="Q1702" s="2079"/>
      <c r="R1702" s="2079"/>
      <c r="S1702" s="2079"/>
    </row>
    <row r="1703" spans="1:19">
      <c r="A1703" s="2269"/>
      <c r="B1703" s="2261" t="s">
        <v>3953</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4476</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3</v>
      </c>
      <c r="P1704" s="2439">
        <f>'Part IX A-Scoring Criteria'!P187</f>
        <v>0</v>
      </c>
      <c r="Q1704" s="2074" t="s">
        <v>2810</v>
      </c>
      <c r="R1704" s="2079"/>
      <c r="S1704" s="2079"/>
    </row>
    <row r="1705" spans="1:19">
      <c r="A1705" s="2372"/>
      <c r="B1705" s="2533" t="s">
        <v>2064</v>
      </c>
      <c r="C1705" s="500" t="s">
        <v>3951</v>
      </c>
      <c r="D1705" s="2079"/>
      <c r="E1705" s="2079"/>
      <c r="F1705" s="2079"/>
      <c r="G1705" s="2308"/>
      <c r="H1705" s="2309" t="s">
        <v>3957</v>
      </c>
      <c r="I1705" s="2308"/>
      <c r="K1705" s="2274"/>
      <c r="L1705" s="2274"/>
      <c r="M1705" s="2253">
        <v>1</v>
      </c>
      <c r="N1705" s="2540" t="s">
        <v>2064</v>
      </c>
      <c r="O1705" s="2439">
        <f>'Part IX A-Scoring Criteria'!O188</f>
        <v>0</v>
      </c>
      <c r="P1705" s="2439">
        <f>'Part IX A-Scoring Criteria'!P188</f>
        <v>0</v>
      </c>
      <c r="Q1705" s="2074" t="s">
        <v>2810</v>
      </c>
    </row>
    <row r="1706" spans="1:19">
      <c r="A1706" s="2372" t="s">
        <v>1403</v>
      </c>
      <c r="B1706" s="2533" t="s">
        <v>2622</v>
      </c>
      <c r="C1706" s="2419" t="s">
        <v>4477</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2810</v>
      </c>
    </row>
    <row r="1707" spans="1:19" ht="15">
      <c r="A1707" s="2079"/>
      <c r="B1707" s="2336" t="s">
        <v>267</v>
      </c>
      <c r="C1707" s="2079"/>
      <c r="D1707" s="2261"/>
      <c r="E1707" s="2261"/>
      <c r="F1707" s="2261"/>
      <c r="G1707" s="2261"/>
      <c r="H1707" s="515"/>
      <c r="I1707" s="515"/>
      <c r="J1707" s="515"/>
      <c r="K1707" s="515"/>
      <c r="L1707" s="2443"/>
      <c r="M1707" s="2080"/>
      <c r="N1707" s="2253"/>
      <c r="O1707" s="2439"/>
      <c r="P1707" s="2255"/>
      <c r="Q1707" s="2443"/>
      <c r="R1707" s="2443"/>
      <c r="S1707" s="2443"/>
    </row>
    <row r="1708" spans="1:19" ht="90">
      <c r="A1708" s="2374" t="str">
        <f>'Part IX A-Scoring Criteria'!A191</f>
        <v>The last development to receive funding in the Kingsland area was in 2010.</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3594</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3943</v>
      </c>
      <c r="S1712" s="2426"/>
    </row>
    <row r="1713" spans="1:19">
      <c r="B1713" s="500" t="s">
        <v>1729</v>
      </c>
      <c r="M1713" s="2485"/>
      <c r="O1713" s="2425" t="s">
        <v>2597</v>
      </c>
      <c r="P1713" s="2425" t="s">
        <v>2597</v>
      </c>
      <c r="R1713" s="500" t="s">
        <v>3421</v>
      </c>
      <c r="S1713" s="2425" t="s">
        <v>268</v>
      </c>
    </row>
    <row r="1714" spans="1:19" ht="12.75" customHeight="1">
      <c r="A1714" s="2410" t="s">
        <v>2058</v>
      </c>
      <c r="B1714" s="2374" t="s">
        <v>3958</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4">IF(O1714="Yes",1,0)</f>
        <v>0</v>
      </c>
      <c r="S1714" s="2416">
        <f t="shared" si="304"/>
        <v>0</v>
      </c>
    </row>
    <row r="1715" spans="1:19" ht="12.75" customHeight="1">
      <c r="A1715" s="2410" t="s">
        <v>2061</v>
      </c>
      <c r="B1715" s="2374" t="s">
        <v>2841</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4"/>
        <v>0</v>
      </c>
      <c r="S1715" s="2416">
        <f t="shared" si="304"/>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4"/>
        <v>0</v>
      </c>
      <c r="S1716" s="2425">
        <f t="shared" si="304"/>
        <v>0</v>
      </c>
    </row>
    <row r="1717" spans="1:19">
      <c r="A1717" s="2410" t="s">
        <v>2193</v>
      </c>
      <c r="B1717" s="2397" t="s">
        <v>3959</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4"/>
        <v>0</v>
      </c>
      <c r="S1717" s="2425">
        <f t="shared" si="304"/>
        <v>0</v>
      </c>
    </row>
    <row r="1718" spans="1:19" ht="15">
      <c r="A1718" s="2415"/>
      <c r="B1718" s="2336" t="s">
        <v>267</v>
      </c>
      <c r="C1718" s="2079"/>
      <c r="D1718" s="2261"/>
      <c r="E1718" s="2261"/>
      <c r="F1718" s="2261"/>
      <c r="G1718" s="2261"/>
      <c r="H1718" s="515"/>
      <c r="I1718" s="515"/>
      <c r="J1718" s="515"/>
      <c r="K1718" s="515"/>
      <c r="L1718" s="2443"/>
      <c r="M1718" s="2080"/>
      <c r="N1718" s="2253"/>
      <c r="O1718" s="2439"/>
      <c r="P1718" s="2255"/>
      <c r="Q1718" s="2443"/>
      <c r="R1718" s="2443"/>
      <c r="S1718" s="2443"/>
    </row>
    <row r="1719" spans="1:19" ht="405">
      <c r="A1719" s="2374" t="str">
        <f>'Part IX A-Scoring Criteria'!A202</f>
        <v xml:space="preserve">According to the market study included in Tab 5, the proposed development should be successful as proposed. The overall capture rate is 10.1%. The market analyst states that the proposed bedroom mix, unit sizes, and rents are reasonable for the market. It is also noted that the subject's affordability is good from a programmatic gross rent standpoint. </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2954</v>
      </c>
      <c r="C1723" s="2443"/>
      <c r="D1723" s="2472"/>
      <c r="E1723" s="2472"/>
      <c r="F1723" s="2472"/>
      <c r="G1723" s="2443"/>
      <c r="H1723" s="515"/>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5"/>
      <c r="E1726" s="2443"/>
      <c r="F1726" s="2443"/>
      <c r="G1726" s="2443"/>
      <c r="H1726" s="2443"/>
      <c r="I1726" s="2443"/>
      <c r="J1726" s="2443"/>
      <c r="K1726" s="515"/>
      <c r="L1726" s="2458"/>
      <c r="M1726" s="2080">
        <v>1</v>
      </c>
      <c r="N1726" s="2345" t="s">
        <v>2061</v>
      </c>
      <c r="O1726" s="2439">
        <f>'Part IX A-Scoring Criteria'!O209</f>
        <v>0</v>
      </c>
      <c r="P1726" s="2439">
        <f>'Part IX A-Scoring Criteria'!P209</f>
        <v>0</v>
      </c>
      <c r="Q1726" s="2312" t="s">
        <v>2810</v>
      </c>
      <c r="R1726" s="2443"/>
      <c r="S1726" s="2443"/>
    </row>
    <row r="1727" spans="1:19" ht="15">
      <c r="A1727" s="2289"/>
      <c r="B1727" s="2308" t="s">
        <v>3960</v>
      </c>
      <c r="C1727" s="2443"/>
      <c r="D1727" s="515"/>
      <c r="E1727" s="2443"/>
      <c r="F1727" s="2443"/>
      <c r="G1727" s="2443"/>
      <c r="H1727" s="2369"/>
      <c r="I1727" s="2443"/>
      <c r="J1727" s="2443"/>
      <c r="K1727" s="515"/>
      <c r="L1727" s="2458"/>
      <c r="M1727" s="2080"/>
      <c r="N1727" s="2345"/>
      <c r="O1727" s="2372" t="str">
        <f>'Part IX A-Scoring Criteria'!O210</f>
        <v>N/a</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3595</v>
      </c>
      <c r="C1731" s="2330"/>
      <c r="D1731" s="2426"/>
      <c r="E1731" s="515"/>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5"/>
      <c r="F1732" s="2443"/>
      <c r="G1732" s="2443"/>
      <c r="H1732" s="2443"/>
      <c r="I1732" s="2262" t="str">
        <f>'Part I-Project Information'!$H$86</f>
        <v>No</v>
      </c>
      <c r="J1732" s="2443"/>
      <c r="K1732" s="2443"/>
      <c r="L1732" s="2443"/>
      <c r="M1732" s="2258"/>
      <c r="N1732" s="2258"/>
      <c r="O1732" s="2425" t="s">
        <v>2597</v>
      </c>
      <c r="P1732" s="2425" t="s">
        <v>2597</v>
      </c>
      <c r="Q1732" s="2258"/>
      <c r="R1732" s="2443"/>
      <c r="S1732" s="2443"/>
    </row>
    <row r="1733" spans="1:19" ht="15">
      <c r="A1733" s="2289"/>
      <c r="B1733" s="500" t="s">
        <v>3712</v>
      </c>
      <c r="C1733" s="2443"/>
      <c r="D1733" s="2079"/>
      <c r="E1733" s="2443"/>
      <c r="F1733" s="2443"/>
      <c r="G1733" s="2443"/>
      <c r="H1733" s="2443"/>
      <c r="I1733" s="2443"/>
      <c r="J1733" s="2443"/>
      <c r="K1733" s="2443"/>
      <c r="L1733" s="2443"/>
      <c r="M1733" s="2443"/>
      <c r="N1733" s="2345"/>
      <c r="O1733" s="2372" t="str">
        <f>'Part IX A-Scoring Criteria'!O216</f>
        <v>N/a</v>
      </c>
      <c r="P1733" s="2372">
        <f>'Part IX A-Scoring Criteria'!P216</f>
        <v>0</v>
      </c>
      <c r="Q1733" s="2443"/>
      <c r="R1733" s="2453"/>
      <c r="S1733" s="2443"/>
    </row>
    <row r="1734" spans="1:19" ht="15">
      <c r="A1734" s="2289"/>
      <c r="B1734" s="500" t="s">
        <v>3713</v>
      </c>
      <c r="C1734" s="2443"/>
      <c r="D1734" s="2079"/>
      <c r="E1734" s="2443"/>
      <c r="F1734" s="2443"/>
      <c r="G1734" s="2443"/>
      <c r="H1734" s="2443"/>
      <c r="I1734" s="2443"/>
      <c r="J1734" s="2443"/>
      <c r="K1734" s="2443"/>
      <c r="L1734" s="2443"/>
      <c r="M1734" s="2443"/>
      <c r="N1734" s="2345"/>
      <c r="O1734" s="2372" t="str">
        <f>'Part IX A-Scoring Criteria'!O217</f>
        <v>N/a</v>
      </c>
      <c r="P1734" s="2372">
        <f>'Part IX A-Scoring Criteria'!P217</f>
        <v>0</v>
      </c>
      <c r="Q1734" s="2443"/>
      <c r="R1734" s="2453"/>
      <c r="S1734" s="2443"/>
    </row>
    <row r="1735" spans="1:19" ht="15">
      <c r="A1735" s="2289"/>
      <c r="B1735" s="500" t="s">
        <v>3961</v>
      </c>
      <c r="C1735" s="2443"/>
      <c r="D1735" s="2079"/>
      <c r="E1735" s="2443"/>
      <c r="F1735" s="2443"/>
      <c r="G1735" s="2443"/>
      <c r="H1735" s="2443"/>
      <c r="I1735" s="2443"/>
      <c r="J1735" s="2443"/>
      <c r="K1735" s="2443"/>
      <c r="L1735" s="2443"/>
      <c r="M1735" s="2443"/>
      <c r="N1735" s="2345"/>
      <c r="O1735" s="2372" t="str">
        <f>'Part IX A-Scoring Criteria'!O218</f>
        <v>N/a</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2955</v>
      </c>
      <c r="C1739" s="2548"/>
      <c r="D1739" s="2548"/>
      <c r="E1739" s="515" t="s">
        <v>3864</v>
      </c>
      <c r="F1739" s="2548"/>
      <c r="G1739" s="2423" t="str">
        <f>'Part I-Project Information'!$H$90</f>
        <v>Rural</v>
      </c>
      <c r="H1739" s="2308" t="str">
        <f>IF(G1739="Flexible","(NOTE: Only Rural pool applicants are eligible for this section.)","")</f>
        <v/>
      </c>
      <c r="I1739" s="2548"/>
      <c r="J1739" s="2548"/>
      <c r="K1739" s="2468" t="s">
        <v>3865</v>
      </c>
      <c r="L1739" s="2308" t="str">
        <f>'Part I-Project Information'!$K$30</f>
        <v>Rural</v>
      </c>
      <c r="M1739" s="2258">
        <v>2</v>
      </c>
      <c r="N1739" s="2487"/>
      <c r="O1739" s="2439">
        <f>'Part IX A-Scoring Criteria'!O222</f>
        <v>2</v>
      </c>
      <c r="P1739" s="2439">
        <f>'Part IX A-Scoring Criteria'!P222</f>
        <v>0</v>
      </c>
      <c r="Q1739" s="2258" t="s">
        <v>456</v>
      </c>
      <c r="R1739" s="1302" t="s">
        <v>2810</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4478</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3863</v>
      </c>
      <c r="B1742" s="2548"/>
      <c r="C1742" s="2550" t="str">
        <f>'Part II-Development Team'!$H$14</f>
        <v>Vantage Partners 2016 GA, LLC</v>
      </c>
      <c r="D1742" s="2550"/>
      <c r="E1742" s="2548"/>
      <c r="F1742" s="2551">
        <f>'Part II-Development Team'!$L$139</f>
        <v>1E-4</v>
      </c>
      <c r="G1742" s="2550" t="str">
        <f>'Part II-Development Team'!$Q$14</f>
        <v>Lowell R. Barron II</v>
      </c>
      <c r="H1742" s="2550"/>
      <c r="I1742" s="2552" t="s">
        <v>4479</v>
      </c>
      <c r="J1742" s="2553">
        <f>'Part VI-Revenues &amp; Expenses'!$O$62</f>
        <v>72</v>
      </c>
      <c r="K1742" s="2554" t="s">
        <v>4480</v>
      </c>
      <c r="L1742" s="2555"/>
      <c r="M1742" s="2556"/>
      <c r="N1742" s="2487"/>
      <c r="O1742" s="2557" t="s">
        <v>4198</v>
      </c>
      <c r="P1742" s="2557"/>
      <c r="Q1742" s="2258"/>
      <c r="S1742" s="2548"/>
    </row>
    <row r="1743" spans="1:19" ht="15">
      <c r="A1743" s="2549" t="s">
        <v>3866</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3963</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72</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3964</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Vantage Development, LLC</v>
      </c>
      <c r="K1745" s="2550"/>
      <c r="L1745" s="2551">
        <f>'Part II-Development Team'!$L$145</f>
        <v>0</v>
      </c>
      <c r="M1745" s="2550" t="str">
        <f>'Part II-Development Team'!$Q$54</f>
        <v>Lowell R. Barron II</v>
      </c>
      <c r="N1745" s="2550"/>
      <c r="O1745" s="2548"/>
      <c r="P1745" s="2548"/>
      <c r="Q1745" s="2258"/>
      <c r="S1745" s="2548"/>
    </row>
    <row r="1746" spans="1:19" ht="15">
      <c r="A1746" s="2549" t="s">
        <v>3967</v>
      </c>
      <c r="B1746" s="2548"/>
      <c r="C1746" s="2550" t="str">
        <f>'Part II-Development Team'!$H$33</f>
        <v>To Be Determined - 42 Equity Partners</v>
      </c>
      <c r="D1746" s="2550"/>
      <c r="E1746" s="2548"/>
      <c r="F1746" s="2551">
        <f>'Part II-Development Team'!$L$142</f>
        <v>0.9899</v>
      </c>
      <c r="G1746" s="2550" t="str">
        <f>'Part II-Development Team'!$Q$33</f>
        <v>Michael Haynes</v>
      </c>
      <c r="H1746" s="2550"/>
      <c r="I1746" s="2549" t="s">
        <v>3039</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3968</v>
      </c>
      <c r="B1747" s="2548"/>
      <c r="C1747" s="2550" t="str">
        <f>'Part II-Development Team'!$H$39</f>
        <v>To Be Determined - State Tax Credit Exchange, LLC</v>
      </c>
      <c r="D1747" s="2550"/>
      <c r="E1747" s="2548"/>
      <c r="F1747" s="2551">
        <f>'Part II-Development Team'!$L$143</f>
        <v>0.01</v>
      </c>
      <c r="G1747" s="2550" t="str">
        <f>'Part II-Development Team'!$Q$39</f>
        <v>Robin Delmer</v>
      </c>
      <c r="H1747" s="2550"/>
      <c r="I1747" s="2549" t="s">
        <v>3040</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3966</v>
      </c>
      <c r="B1748" s="2548"/>
      <c r="C1748" s="2550">
        <f>'Part II-Development Team'!$H$46</f>
        <v>0</v>
      </c>
      <c r="D1748" s="2550"/>
      <c r="E1748" s="2548"/>
      <c r="F1748" s="2551">
        <f>'Part II-Development Team'!$L$144</f>
        <v>0</v>
      </c>
      <c r="G1748" s="2550">
        <f>'Part II-Development Team'!$Q$46</f>
        <v>0</v>
      </c>
      <c r="H1748" s="2550"/>
      <c r="I1748" s="2549" t="s">
        <v>3965</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5"/>
      <c r="I1749" s="515"/>
      <c r="J1749" s="2375" t="s">
        <v>1937</v>
      </c>
      <c r="K1749" s="2443"/>
      <c r="L1749" s="2443"/>
      <c r="M1749" s="2080"/>
      <c r="N1749" s="2253"/>
      <c r="O1749" s="2439"/>
      <c r="P1749" s="2255"/>
      <c r="Q1749" s="2443"/>
      <c r="R1749" s="2443"/>
      <c r="S1749" s="2443"/>
    </row>
    <row r="1750" spans="1:19" ht="112.5">
      <c r="A1750" s="2374" t="str">
        <f>'Part IX A-Scoring Criteria'!A233</f>
        <v>Vantage is submitting 2 developments, both in rural areas, but only claiming points on this application.</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5"/>
      <c r="H1752" s="515"/>
      <c r="I1752" s="515"/>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3971</v>
      </c>
      <c r="C1753" s="2443"/>
      <c r="D1753" s="2330"/>
      <c r="E1753" s="2330"/>
      <c r="F1753" s="2443"/>
      <c r="G1753" s="515"/>
      <c r="H1753" s="515"/>
      <c r="I1753" s="515"/>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2810</v>
      </c>
      <c r="S1753" s="2443"/>
    </row>
    <row r="1754" spans="1:19" ht="15">
      <c r="A1754" s="2443"/>
      <c r="B1754" s="2308" t="s">
        <v>3969</v>
      </c>
      <c r="C1754" s="2443"/>
      <c r="D1754" s="2458"/>
      <c r="E1754" s="2330"/>
      <c r="F1754" s="515"/>
      <c r="G1754" s="515"/>
      <c r="H1754" s="515"/>
      <c r="I1754" s="2372"/>
      <c r="J1754" s="2443"/>
      <c r="K1754" s="2443"/>
      <c r="L1754" s="2443"/>
      <c r="M1754" s="2443"/>
      <c r="N1754" s="2345" t="s">
        <v>2058</v>
      </c>
      <c r="O1754" s="2425" t="s">
        <v>2597</v>
      </c>
      <c r="P1754" s="2425" t="s">
        <v>2597</v>
      </c>
      <c r="Q1754" s="2443"/>
      <c r="R1754" s="2443"/>
      <c r="S1754" s="2443"/>
    </row>
    <row r="1755" spans="1:19">
      <c r="A1755" s="500"/>
      <c r="B1755" s="2540" t="s">
        <v>2062</v>
      </c>
      <c r="C1755" s="515" t="s">
        <v>3970</v>
      </c>
      <c r="D1755" s="515"/>
      <c r="E1755" s="515"/>
      <c r="F1755" s="515"/>
      <c r="G1755" s="500"/>
      <c r="H1755" s="500"/>
      <c r="I1755" s="515" t="str">
        <f>'Part IX A-Scoring Criteria'!I238</f>
        <v>&lt; Select applicable GICH &gt;</v>
      </c>
      <c r="J1755" s="515"/>
      <c r="K1755" s="515"/>
      <c r="L1755" s="500"/>
      <c r="M1755" s="500"/>
      <c r="N1755" s="2540" t="s">
        <v>2062</v>
      </c>
      <c r="O1755" s="2372" t="str">
        <f>'Part IX A-Scoring Criteria'!O238</f>
        <v>N/a</v>
      </c>
      <c r="P1755" s="2372">
        <f>'Part IX A-Scoring Criteria'!P238</f>
        <v>0</v>
      </c>
      <c r="Q1755" s="500"/>
      <c r="R1755" s="500"/>
      <c r="S1755" s="500"/>
    </row>
    <row r="1756" spans="1:19">
      <c r="A1756" s="500"/>
      <c r="B1756" s="2540" t="s">
        <v>2064</v>
      </c>
      <c r="C1756" s="515" t="s">
        <v>3021</v>
      </c>
      <c r="D1756" s="515"/>
      <c r="E1756" s="515"/>
      <c r="F1756" s="515"/>
      <c r="G1756" s="515"/>
      <c r="H1756" s="500"/>
      <c r="I1756" s="500"/>
      <c r="J1756" s="500"/>
      <c r="K1756" s="500"/>
      <c r="L1756" s="500"/>
      <c r="M1756" s="515"/>
      <c r="N1756" s="2540" t="s">
        <v>2064</v>
      </c>
      <c r="O1756" s="2372" t="str">
        <f>'Part IX A-Scoring Criteria'!O239</f>
        <v>N/a</v>
      </c>
      <c r="P1756" s="2372">
        <f>'Part IX A-Scoring Criteria'!P239</f>
        <v>0</v>
      </c>
      <c r="Q1756" s="500"/>
      <c r="R1756" s="500"/>
      <c r="S1756" s="500"/>
    </row>
    <row r="1757" spans="1:19">
      <c r="A1757" s="2289"/>
      <c r="B1757" s="2540" t="s">
        <v>2622</v>
      </c>
      <c r="C1757" s="515" t="s">
        <v>3972</v>
      </c>
      <c r="D1757" s="515"/>
      <c r="E1757" s="515"/>
      <c r="F1757" s="515"/>
      <c r="G1757" s="515"/>
      <c r="H1757" s="515"/>
      <c r="I1757" s="500"/>
      <c r="J1757" s="500"/>
      <c r="K1757" s="500"/>
      <c r="L1757" s="515"/>
      <c r="M1757" s="515"/>
      <c r="N1757" s="2540" t="s">
        <v>2622</v>
      </c>
      <c r="O1757" s="2372" t="str">
        <f>'Part IX A-Scoring Criteria'!O240</f>
        <v>N/a</v>
      </c>
      <c r="P1757" s="2372">
        <f>'Part IX A-Scoring Criteria'!P240</f>
        <v>0</v>
      </c>
      <c r="Q1757" s="500"/>
      <c r="R1757" s="500"/>
      <c r="S1757" s="500"/>
    </row>
    <row r="1758" spans="1:19">
      <c r="A1758" s="2289"/>
      <c r="B1758" s="2540" t="s">
        <v>1270</v>
      </c>
      <c r="C1758" s="515" t="s">
        <v>3973</v>
      </c>
      <c r="D1758" s="515"/>
      <c r="E1758" s="515"/>
      <c r="F1758" s="515"/>
      <c r="G1758" s="515"/>
      <c r="H1758" s="515"/>
      <c r="I1758" s="515"/>
      <c r="J1758" s="515"/>
      <c r="K1758" s="515"/>
      <c r="L1758" s="515"/>
      <c r="M1758" s="515"/>
      <c r="N1758" s="2540" t="s">
        <v>1270</v>
      </c>
      <c r="O1758" s="2372" t="str">
        <f>'Part IX A-Scoring Criteria'!O241</f>
        <v>N/a</v>
      </c>
      <c r="P1758" s="2372">
        <f>'Part IX A-Scoring Criteria'!P241</f>
        <v>0</v>
      </c>
      <c r="Q1758" s="500"/>
      <c r="R1758" s="500"/>
      <c r="S1758" s="500"/>
    </row>
    <row r="1759" spans="1:19">
      <c r="A1759" s="500"/>
      <c r="B1759" s="2455" t="s">
        <v>3974</v>
      </c>
      <c r="C1759" s="500"/>
      <c r="D1759" s="515"/>
      <c r="E1759" s="515"/>
      <c r="F1759" s="515"/>
      <c r="G1759" s="515"/>
      <c r="H1759" s="515"/>
      <c r="I1759" s="515"/>
      <c r="J1759" s="515"/>
      <c r="K1759" s="515"/>
      <c r="L1759" s="515"/>
      <c r="M1759" s="515"/>
      <c r="N1759" s="2345"/>
      <c r="O1759" s="2345"/>
      <c r="P1759" s="2345"/>
      <c r="Q1759" s="500"/>
      <c r="R1759" s="500"/>
      <c r="S1759" s="500"/>
    </row>
    <row r="1760" spans="1:19" ht="13.5">
      <c r="A1760" s="2289" t="s">
        <v>2061</v>
      </c>
      <c r="B1760" s="2277" t="s">
        <v>2915</v>
      </c>
      <c r="D1760" s="2079"/>
      <c r="G1760" s="2562" t="s">
        <v>3761</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0" t="s">
        <v>2917</v>
      </c>
      <c r="N1761" s="2345" t="s">
        <v>2061</v>
      </c>
      <c r="O1761" s="2372" t="str">
        <f>'Part IX A-Scoring Criteria'!O244</f>
        <v>N/a</v>
      </c>
      <c r="P1761" s="2372">
        <f>'Part IX A-Scoring Criteria'!P244</f>
        <v>0</v>
      </c>
      <c r="Q1761" s="2312"/>
    </row>
    <row r="1762" spans="1:19">
      <c r="A1762" s="2373"/>
      <c r="C1762" s="515" t="s">
        <v>3976</v>
      </c>
      <c r="D1762" s="515" t="str">
        <f>'Part I-Project Information'!$F$28</f>
        <v>Kingsland</v>
      </c>
      <c r="F1762" s="515" t="s">
        <v>3755</v>
      </c>
      <c r="G1762" s="515" t="str">
        <f>'Part I-Project Information'!$J$29</f>
        <v>Camden</v>
      </c>
      <c r="H1762" s="2417" t="s">
        <v>468</v>
      </c>
      <c r="I1762" s="2468" t="str">
        <f>'Part I-Project Information'!$N$29</f>
        <v>No</v>
      </c>
      <c r="K1762" s="2468" t="s">
        <v>3975</v>
      </c>
      <c r="L1762" s="2532" t="str">
        <f>'Part I-Project Information'!$O$28</f>
        <v>104.01</v>
      </c>
      <c r="M1762" s="2532"/>
      <c r="N1762" s="2532"/>
      <c r="O1762" s="2532"/>
      <c r="P1762" s="2532"/>
    </row>
    <row r="1763" spans="1:19" ht="15">
      <c r="A1763" s="2079"/>
      <c r="B1763" s="2336" t="s">
        <v>267</v>
      </c>
      <c r="C1763" s="2079"/>
      <c r="D1763" s="2261"/>
      <c r="E1763" s="2261"/>
      <c r="F1763" s="2261"/>
      <c r="G1763" s="2261"/>
      <c r="H1763" s="515"/>
      <c r="I1763" s="515"/>
      <c r="J1763" s="2375" t="s">
        <v>1937</v>
      </c>
      <c r="K1763" s="2443"/>
      <c r="L1763" s="2443"/>
      <c r="M1763" s="2080"/>
      <c r="N1763" s="2253"/>
      <c r="O1763" s="2439"/>
      <c r="P1763" s="2255"/>
      <c r="Q1763" s="2443"/>
      <c r="R1763" s="2443"/>
      <c r="S1763" s="2443"/>
    </row>
    <row r="1764" spans="1:19" ht="45">
      <c r="A1764" s="2374" t="str">
        <f>'Part IX A-Scoring Criteria'!A247</f>
        <v>This is not a designated military zone.</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2957</v>
      </c>
      <c r="C1766" s="2443"/>
      <c r="D1766" s="2330"/>
      <c r="E1766" s="2330"/>
      <c r="F1766" s="515"/>
      <c r="G1766" s="515"/>
      <c r="H1766" s="515"/>
      <c r="I1766" s="2277" t="s">
        <v>2912</v>
      </c>
      <c r="J1766" s="2259"/>
      <c r="K1766" s="2548"/>
      <c r="L1766" s="2277" t="str">
        <f>'Part I-Project Information'!$H$90</f>
        <v>Rural</v>
      </c>
      <c r="M1766" s="2439">
        <v>8</v>
      </c>
      <c r="N1766" s="2080"/>
      <c r="O1766" s="2439">
        <f>'Part IX A-Scoring Criteria'!O249</f>
        <v>4</v>
      </c>
      <c r="P1766" s="2439">
        <f>'Part IX A-Scoring Criteria'!P249</f>
        <v>0</v>
      </c>
      <c r="Q1766" s="2258" t="s">
        <v>456</v>
      </c>
      <c r="R1766" s="2443"/>
      <c r="S1766" s="2443"/>
    </row>
    <row r="1767" spans="1:19" ht="15">
      <c r="A1767" s="2079"/>
      <c r="B1767" s="2405" t="s">
        <v>3024</v>
      </c>
      <c r="C1767" s="2443"/>
      <c r="D1767" s="2443"/>
      <c r="E1767" s="2330"/>
      <c r="F1767" s="515"/>
      <c r="G1767" s="515"/>
      <c r="H1767" s="515"/>
      <c r="I1767" s="515"/>
      <c r="J1767" s="2443"/>
      <c r="K1767" s="2369"/>
      <c r="L1767" s="2563"/>
      <c r="M1767" s="2443"/>
      <c r="N1767" s="2443"/>
      <c r="O1767" s="2425" t="s">
        <v>2597</v>
      </c>
      <c r="P1767" s="2425" t="s">
        <v>2597</v>
      </c>
      <c r="Q1767" s="2443"/>
      <c r="R1767" s="2443"/>
      <c r="S1767" s="2443"/>
    </row>
    <row r="1768" spans="1:19" ht="15">
      <c r="A1768" s="500"/>
      <c r="B1768" s="2540" t="s">
        <v>2062</v>
      </c>
      <c r="C1768" s="500" t="s">
        <v>2956</v>
      </c>
      <c r="D1768" s="500"/>
      <c r="E1768" s="2330"/>
      <c r="F1768" s="515"/>
      <c r="G1768" s="515"/>
      <c r="H1768" s="515"/>
      <c r="I1768" s="515"/>
      <c r="J1768" s="2443"/>
      <c r="K1768" s="2369"/>
      <c r="L1768" s="2433" t="str">
        <f>IF(OR(O1768="No",O1769="No",O1770="No",O1771="No",O1773="No"),"Unmet criterion results in no points!","")</f>
        <v/>
      </c>
      <c r="M1768" s="500"/>
      <c r="N1768" s="2473" t="s">
        <v>2062</v>
      </c>
      <c r="O1768" s="2372" t="str">
        <f>'Part IX A-Scoring Criteria'!O251</f>
        <v>Yes</v>
      </c>
      <c r="P1768" s="2372">
        <f>'Part IX A-Scoring Criteria'!P251</f>
        <v>0</v>
      </c>
      <c r="Q1768" s="500"/>
      <c r="R1768" s="500"/>
      <c r="S1768" s="500"/>
    </row>
    <row r="1769" spans="1:19">
      <c r="A1769" s="500"/>
      <c r="B1769" s="2540" t="s">
        <v>2064</v>
      </c>
      <c r="C1769" s="500" t="s">
        <v>588</v>
      </c>
      <c r="D1769" s="500"/>
      <c r="E1769" s="500"/>
      <c r="F1769" s="500"/>
      <c r="G1769" s="500"/>
      <c r="H1769" s="500"/>
      <c r="I1769" s="500"/>
      <c r="J1769" s="500"/>
      <c r="K1769" s="500"/>
      <c r="L1769" s="2433"/>
      <c r="M1769" s="500"/>
      <c r="N1769" s="2473" t="s">
        <v>2064</v>
      </c>
      <c r="O1769" s="2372" t="str">
        <f>'Part IX A-Scoring Criteria'!O252</f>
        <v>Yes</v>
      </c>
      <c r="P1769" s="2372">
        <f>'Part IX A-Scoring Criteria'!P252</f>
        <v>0</v>
      </c>
      <c r="Q1769" s="500"/>
      <c r="R1769" s="500"/>
      <c r="S1769" s="500"/>
    </row>
    <row r="1770" spans="1:19">
      <c r="A1770" s="500"/>
      <c r="B1770" s="2540" t="s">
        <v>2622</v>
      </c>
      <c r="C1770" s="500" t="s">
        <v>589</v>
      </c>
      <c r="D1770" s="500"/>
      <c r="E1770" s="500"/>
      <c r="F1770" s="500"/>
      <c r="G1770" s="500"/>
      <c r="H1770" s="500"/>
      <c r="I1770" s="500"/>
      <c r="J1770" s="500"/>
      <c r="K1770" s="500"/>
      <c r="L1770" s="2433" t="str">
        <f>IF(OR(P1768="No",P1769="No",P1770="No",P1771="No",P1773="No"),"Unmet criterion results in no points!","")</f>
        <v/>
      </c>
      <c r="M1770" s="500"/>
      <c r="N1770" s="2473" t="s">
        <v>2622</v>
      </c>
      <c r="O1770" s="2372" t="str">
        <f>'Part IX A-Scoring Criteria'!O253</f>
        <v>Yes</v>
      </c>
      <c r="P1770" s="2372">
        <f>'Part IX A-Scoring Criteria'!P253</f>
        <v>0</v>
      </c>
      <c r="Q1770" s="500"/>
      <c r="R1770" s="500"/>
      <c r="S1770" s="500"/>
    </row>
    <row r="1771" spans="1:19">
      <c r="A1771" s="500"/>
      <c r="B1771" s="2540" t="s">
        <v>1270</v>
      </c>
      <c r="C1771" s="500" t="s">
        <v>3979</v>
      </c>
      <c r="D1771" s="500"/>
      <c r="E1771" s="500"/>
      <c r="F1771" s="500"/>
      <c r="G1771" s="500"/>
      <c r="H1771" s="500"/>
      <c r="I1771" s="500"/>
      <c r="J1771" s="500"/>
      <c r="K1771" s="500"/>
      <c r="L1771" s="2433"/>
      <c r="M1771" s="500"/>
      <c r="N1771" s="2473" t="s">
        <v>1270</v>
      </c>
      <c r="O1771" s="2372" t="str">
        <f>'Part IX A-Scoring Criteria'!O254</f>
        <v>Yes</v>
      </c>
      <c r="P1771" s="2372">
        <f>'Part IX A-Scoring Criteria'!P254</f>
        <v>0</v>
      </c>
      <c r="Q1771" s="500"/>
      <c r="R1771" s="500"/>
      <c r="S1771" s="500"/>
    </row>
    <row r="1772" spans="1:19">
      <c r="A1772" s="500"/>
      <c r="B1772" s="2345" t="s">
        <v>2520</v>
      </c>
      <c r="C1772" s="500" t="s">
        <v>4481</v>
      </c>
      <c r="D1772" s="500"/>
      <c r="E1772" s="500"/>
      <c r="F1772" s="500"/>
      <c r="G1772" s="500"/>
      <c r="H1772" s="500"/>
      <c r="I1772" s="500"/>
      <c r="J1772" s="500"/>
      <c r="K1772" s="500"/>
      <c r="L1772" s="500"/>
      <c r="M1772" s="500"/>
      <c r="N1772" s="2473" t="s">
        <v>2520</v>
      </c>
      <c r="O1772" s="2372" t="str">
        <f>'Part IX A-Scoring Criteria'!O255</f>
        <v>N/a</v>
      </c>
      <c r="P1772" s="2372">
        <f>'Part IX A-Scoring Criteria'!P255</f>
        <v>0</v>
      </c>
      <c r="Q1772" s="500"/>
      <c r="R1772" s="500"/>
      <c r="S1772" s="500"/>
    </row>
    <row r="1773" spans="1:19" ht="12.75" customHeight="1">
      <c r="A1773" s="2415" t="s">
        <v>3529</v>
      </c>
      <c r="B1773" s="2415" t="s">
        <v>2521</v>
      </c>
      <c r="C1773" s="2374" t="s">
        <v>3980</v>
      </c>
      <c r="D1773" s="2374"/>
      <c r="E1773" s="2374"/>
      <c r="F1773" s="2374"/>
      <c r="G1773" s="2374"/>
      <c r="H1773" s="2374"/>
      <c r="I1773" s="2374"/>
      <c r="J1773" s="2374"/>
      <c r="K1773" s="2374"/>
      <c r="L1773" s="2374"/>
      <c r="M1773" s="2374"/>
      <c r="N1773" s="2460" t="s">
        <v>2521</v>
      </c>
      <c r="O1773" s="2372" t="str">
        <f>'Part IX A-Scoring Criteria'!O256</f>
        <v>Yes</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4</v>
      </c>
      <c r="P1774" s="2439">
        <f>'Part IX A-Scoring Criteria'!P257</f>
        <v>0</v>
      </c>
      <c r="Q1774" s="2443"/>
      <c r="R1774" s="2443"/>
      <c r="S1774" s="2443"/>
    </row>
    <row r="1775" spans="1:19">
      <c r="B1775" s="2520" t="s">
        <v>2062</v>
      </c>
      <c r="C1775" s="2419" t="s">
        <v>4482</v>
      </c>
      <c r="I1775" s="2564" t="s">
        <v>2066</v>
      </c>
      <c r="J1775" s="2564"/>
      <c r="L1775" s="2564" t="s">
        <v>2066</v>
      </c>
      <c r="M1775" s="2564"/>
      <c r="N1775" s="2473"/>
      <c r="O1775" s="2255"/>
      <c r="P1775" s="2255"/>
    </row>
    <row r="1776" spans="1:19" ht="15">
      <c r="A1776" s="2485"/>
      <c r="B1776" s="2345" t="s">
        <v>2520</v>
      </c>
      <c r="C1776" s="515"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5" t="s">
        <v>3985</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5" t="s">
        <v>2716</v>
      </c>
      <c r="H1778" s="2345" t="s">
        <v>2522</v>
      </c>
      <c r="I1778" s="2565">
        <f>'Part IX A-Scoring Criteria'!I261</f>
        <v>1250099</v>
      </c>
      <c r="J1778" s="2565"/>
      <c r="K1778" s="2345" t="s">
        <v>2522</v>
      </c>
      <c r="L1778" s="2565">
        <f>'Part IX A-Scoring Criteria'!L261</f>
        <v>0</v>
      </c>
      <c r="M1778" s="2565"/>
      <c r="N1778" s="2473"/>
      <c r="O1778" s="2255"/>
      <c r="P1778" s="2255"/>
      <c r="R1778" s="2453"/>
    </row>
    <row r="1779" spans="1:19">
      <c r="A1779" s="2350"/>
      <c r="B1779" s="2345" t="s">
        <v>2523</v>
      </c>
      <c r="C1779" s="515" t="s">
        <v>3714</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5" t="s">
        <v>2842</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5"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5" t="s">
        <v>3983</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5" t="s">
        <v>3984</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5" t="s">
        <v>3986</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3987</v>
      </c>
      <c r="C1785" s="515" t="s">
        <v>3988</v>
      </c>
      <c r="H1785" s="2345" t="s">
        <v>3987</v>
      </c>
      <c r="I1785" s="2565">
        <f>'Part IX A-Scoring Criteria'!I268</f>
        <v>0</v>
      </c>
      <c r="J1785" s="2565"/>
      <c r="K1785" s="2345" t="s">
        <v>3987</v>
      </c>
      <c r="L1785" s="2565">
        <f>'Part IX A-Scoring Criteria'!L268</f>
        <v>0</v>
      </c>
      <c r="M1785" s="2565"/>
      <c r="N1785" s="2566" t="s">
        <v>3989</v>
      </c>
      <c r="O1785" s="2255"/>
      <c r="P1785" s="2255"/>
      <c r="R1785" s="2453"/>
    </row>
    <row r="1786" spans="1:19">
      <c r="A1786" s="2350"/>
      <c r="B1786" s="2540"/>
      <c r="C1786" s="2308" t="s">
        <v>2718</v>
      </c>
      <c r="H1786" s="500"/>
      <c r="I1786" s="2565">
        <f>SUM(I1776:J1785)</f>
        <v>1250099</v>
      </c>
      <c r="J1786" s="2565"/>
      <c r="L1786" s="2565">
        <f>SUM($L1776:$L1785)</f>
        <v>0</v>
      </c>
      <c r="M1786" s="2565"/>
      <c r="N1786" s="2473"/>
      <c r="O1786" s="2255"/>
      <c r="P1786" s="2255"/>
      <c r="R1786" s="2453"/>
    </row>
    <row r="1787" spans="1:19" ht="15">
      <c r="A1787" s="2079"/>
      <c r="B1787" s="2567"/>
      <c r="C1787" s="2443"/>
      <c r="D1787" s="515"/>
      <c r="E1787" s="515"/>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11097534</v>
      </c>
      <c r="J1788" s="2565"/>
      <c r="L1788" s="2219"/>
      <c r="M1788" s="2219"/>
      <c r="N1788" s="2219"/>
      <c r="O1788" s="2219"/>
      <c r="P1788" s="2219"/>
    </row>
    <row r="1789" spans="1:19">
      <c r="B1789" s="2473"/>
      <c r="C1789" s="2568"/>
      <c r="D1789" s="2468" t="s">
        <v>2720</v>
      </c>
      <c r="G1789" s="2344"/>
      <c r="H1789" s="2344"/>
      <c r="I1789" s="2569">
        <f>IF($I1788=0,0,$I1786/$I1788)</f>
        <v>0.11264655733426904</v>
      </c>
      <c r="J1789" s="2569"/>
      <c r="L1789" s="2569">
        <f>IF($I1788=0,0,$L1786/$I1788)</f>
        <v>0</v>
      </c>
      <c r="M1789" s="2569"/>
    </row>
    <row r="1790" spans="1:19" ht="15">
      <c r="A1790" s="2289" t="s">
        <v>2061</v>
      </c>
      <c r="B1790" s="2455" t="s">
        <v>3990</v>
      </c>
      <c r="C1790" s="2443"/>
      <c r="D1790" s="515"/>
      <c r="E1790" s="515"/>
      <c r="F1790" s="2258"/>
      <c r="G1790" s="2443"/>
      <c r="H1790" s="515"/>
      <c r="I1790" s="2258"/>
      <c r="J1790" s="2308"/>
      <c r="K1790" s="2308"/>
      <c r="L1790" s="2308"/>
      <c r="M1790" s="2080">
        <v>2</v>
      </c>
      <c r="N1790" s="2345" t="s">
        <v>2061</v>
      </c>
      <c r="O1790" s="2439">
        <f>'Part IX A-Scoring Criteria'!O273</f>
        <v>0</v>
      </c>
      <c r="P1790" s="2439">
        <f>'Part IX A-Scoring Criteria'!P273</f>
        <v>0</v>
      </c>
      <c r="Q1790" s="2312" t="s">
        <v>2810</v>
      </c>
      <c r="R1790" s="2443"/>
      <c r="S1790" s="2443"/>
    </row>
    <row r="1791" spans="1:19" ht="15">
      <c r="A1791" s="2289"/>
      <c r="B1791" s="515" t="s">
        <v>3991</v>
      </c>
      <c r="C1791" s="515"/>
      <c r="D1791" s="515"/>
      <c r="E1791" s="515"/>
      <c r="F1791" s="515"/>
      <c r="G1791" s="515"/>
      <c r="H1791" s="515"/>
      <c r="I1791" s="515"/>
      <c r="J1791" s="515"/>
      <c r="K1791" s="515"/>
      <c r="L1791" s="515"/>
      <c r="M1791" s="515"/>
      <c r="N1791" s="515"/>
      <c r="O1791" s="2372" t="str">
        <f>'Part IX A-Scoring Criteria'!O274</f>
        <v>No</v>
      </c>
      <c r="P1791" s="2372">
        <f>'Part IX A-Scoring Criteria'!P274</f>
        <v>0</v>
      </c>
      <c r="Q1791" s="2443"/>
      <c r="R1791" s="2443"/>
      <c r="S1791" s="2443"/>
    </row>
    <row r="1792" spans="1:19" ht="15">
      <c r="A1792" s="2289" t="s">
        <v>779</v>
      </c>
      <c r="B1792" s="2455" t="s">
        <v>667</v>
      </c>
      <c r="C1792" s="2443"/>
      <c r="D1792" s="515"/>
      <c r="E1792" s="515"/>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5" t="s">
        <v>2972</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3993</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4084</v>
      </c>
      <c r="F1795" s="2414"/>
      <c r="G1795" s="2414"/>
      <c r="H1795" s="2414"/>
      <c r="I1795" s="2405">
        <f>'Part IX A-Scoring Criteria'!I278</f>
        <v>0</v>
      </c>
      <c r="K1795" s="2414"/>
      <c r="L1795" s="2414"/>
      <c r="M1795" s="2414"/>
      <c r="N1795" s="2414"/>
      <c r="O1795" s="2414"/>
      <c r="P1795" s="2414"/>
    </row>
    <row r="1796" spans="1:19">
      <c r="A1796" s="2350"/>
      <c r="B1796" s="2397" t="s">
        <v>3992</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5" t="s">
        <v>3701</v>
      </c>
      <c r="E1798" s="2425"/>
      <c r="I1798" s="2572">
        <f>'Part IX A-Scoring Criteria'!I281</f>
        <v>0</v>
      </c>
      <c r="J1798" s="2572"/>
      <c r="L1798" s="2565">
        <f>'Part IX A-Scoring Criteria'!L281</f>
        <v>0</v>
      </c>
      <c r="M1798" s="2565"/>
      <c r="P1798" s="2255"/>
    </row>
    <row r="1799" spans="1:19" ht="15">
      <c r="A1799" s="2079"/>
      <c r="B1799" s="2443"/>
      <c r="C1799" s="515" t="s">
        <v>4165</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5"/>
      <c r="I1800" s="515"/>
      <c r="J1800" s="515"/>
      <c r="K1800" s="515"/>
      <c r="L1800" s="2443"/>
      <c r="M1800" s="2080"/>
      <c r="N1800" s="2253"/>
      <c r="O1800" s="2439"/>
      <c r="P1800" s="2255"/>
      <c r="Q1800" s="2443"/>
      <c r="R1800" s="2443"/>
      <c r="S1800" s="2443"/>
    </row>
    <row r="1801" spans="1:19" ht="146.25">
      <c r="A1801" s="2374" t="str">
        <f>'Part IX A-Scoring Criteria'!A284</f>
        <v>Applicant agrees to use the HOME award per the required criteria.  A copy of the HOME award is included in both Tab 1 and Tab 37.</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3604</v>
      </c>
      <c r="C1805" s="2345"/>
      <c r="D1805" s="2443"/>
      <c r="E1805" s="2472"/>
      <c r="F1805" s="2443"/>
      <c r="G1805" s="2277" t="s">
        <v>2912</v>
      </c>
      <c r="H1805" s="2443"/>
      <c r="I1805" s="2269" t="str">
        <f>'Part I-Project Information'!$H$90</f>
        <v>Rural</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2843</v>
      </c>
      <c r="C1806" s="2443"/>
      <c r="D1806" s="2079"/>
      <c r="E1806" s="2443"/>
      <c r="F1806" s="2443"/>
      <c r="G1806" s="500" t="s">
        <v>2433</v>
      </c>
      <c r="H1806" s="2443"/>
      <c r="I1806" s="2443"/>
      <c r="J1806" s="2443"/>
      <c r="K1806" s="2443"/>
      <c r="L1806" s="2443"/>
      <c r="M1806" s="2080">
        <v>3</v>
      </c>
      <c r="N1806" s="2345" t="s">
        <v>2058</v>
      </c>
      <c r="O1806" s="2372" t="str">
        <f>'Part IX A-Scoring Criteria'!O289</f>
        <v>No</v>
      </c>
      <c r="P1806" s="2372">
        <f>'Part IX A-Scoring Criteria'!P289</f>
        <v>0</v>
      </c>
      <c r="Q1806" s="2443"/>
      <c r="R1806" s="2453"/>
      <c r="S1806" s="2443"/>
    </row>
    <row r="1807" spans="1:19" ht="15" customHeight="1">
      <c r="A1807" s="2289" t="s">
        <v>2061</v>
      </c>
      <c r="B1807" s="2277" t="s">
        <v>3605</v>
      </c>
      <c r="C1807" s="2443"/>
      <c r="D1807" s="2079"/>
      <c r="E1807" s="2443"/>
      <c r="F1807" s="2345"/>
      <c r="G1807" s="500" t="s">
        <v>4112</v>
      </c>
      <c r="H1807" s="2443"/>
      <c r="I1807" s="2368" t="str">
        <f>'Part IX A-Scoring Criteria'!I290</f>
        <v>&lt;&lt; Choose category in which to compete &gt;&gt;</v>
      </c>
      <c r="J1807" s="2368"/>
      <c r="K1807" s="2368"/>
      <c r="L1807" s="2368"/>
      <c r="M1807" s="2443"/>
      <c r="N1807" s="2443"/>
      <c r="O1807" s="2153" t="s">
        <v>4483</v>
      </c>
      <c r="P1807" s="2153"/>
      <c r="Q1807" s="2443"/>
      <c r="R1807" s="2453"/>
      <c r="S1807" s="2443"/>
    </row>
    <row r="1808" spans="1:19" ht="15">
      <c r="A1808" s="2462" t="s">
        <v>779</v>
      </c>
      <c r="B1808" s="2306" t="s">
        <v>3994</v>
      </c>
      <c r="C1808" s="2465"/>
      <c r="D1808" s="2251"/>
      <c r="E1808" s="2251"/>
      <c r="F1808" s="2079"/>
      <c r="G1808" s="2443"/>
      <c r="H1808" s="2443"/>
      <c r="I1808" s="2443"/>
      <c r="J1808" s="2443"/>
      <c r="K1808" s="2443"/>
      <c r="L1808" s="2573" t="s">
        <v>4001</v>
      </c>
      <c r="M1808" s="2443"/>
      <c r="N1808" s="2443"/>
      <c r="O1808" s="2153"/>
      <c r="P1808" s="2153"/>
      <c r="Q1808" s="2443"/>
      <c r="R1808" s="2453"/>
      <c r="S1808" s="2443"/>
    </row>
    <row r="1809" spans="1:19" ht="15">
      <c r="A1809" s="2289"/>
      <c r="B1809" s="2520" t="s">
        <v>2062</v>
      </c>
      <c r="C1809" s="515" t="s">
        <v>3995</v>
      </c>
      <c r="D1809" s="2079"/>
      <c r="E1809" s="2458"/>
      <c r="F1809" s="2079"/>
      <c r="G1809" s="2458"/>
      <c r="H1809" s="515"/>
      <c r="I1809" s="2458"/>
      <c r="J1809" s="2458"/>
      <c r="K1809" s="2458"/>
      <c r="L1809" s="2540" t="s">
        <v>4002</v>
      </c>
      <c r="M1809" s="2458"/>
      <c r="N1809" s="2345" t="s">
        <v>779</v>
      </c>
      <c r="O1809" s="2473" t="s">
        <v>2062</v>
      </c>
      <c r="P1809" s="2372">
        <f>'Part IX A-Scoring Criteria'!P292</f>
        <v>0</v>
      </c>
      <c r="Q1809" s="2458"/>
      <c r="R1809" s="2453"/>
      <c r="S1809" s="2458"/>
    </row>
    <row r="1810" spans="1:19" ht="15">
      <c r="A1810" s="2289"/>
      <c r="B1810" s="2520" t="s">
        <v>2064</v>
      </c>
      <c r="C1810" s="515" t="s">
        <v>3996</v>
      </c>
      <c r="D1810" s="2079"/>
      <c r="E1810" s="2458"/>
      <c r="F1810" s="2079"/>
      <c r="G1810" s="2458"/>
      <c r="H1810" s="515"/>
      <c r="I1810" s="2458"/>
      <c r="J1810" s="2458"/>
      <c r="K1810" s="2458"/>
      <c r="L1810" s="2540" t="s">
        <v>4002</v>
      </c>
      <c r="M1810" s="2458"/>
      <c r="N1810" s="2458"/>
      <c r="O1810" s="2473" t="s">
        <v>2064</v>
      </c>
      <c r="P1810" s="2372">
        <f>'Part IX A-Scoring Criteria'!P293</f>
        <v>0</v>
      </c>
      <c r="Q1810" s="2458"/>
      <c r="R1810" s="2453"/>
      <c r="S1810" s="2458"/>
    </row>
    <row r="1811" spans="1:19" ht="15">
      <c r="A1811" s="2289"/>
      <c r="B1811" s="2520" t="s">
        <v>2622</v>
      </c>
      <c r="C1811" s="515" t="s">
        <v>3997</v>
      </c>
      <c r="D1811" s="2079"/>
      <c r="E1811" s="2458"/>
      <c r="F1811" s="2079"/>
      <c r="G1811" s="2458"/>
      <c r="H1811" s="515"/>
      <c r="I1811" s="2458"/>
      <c r="J1811" s="2458"/>
      <c r="K1811" s="2458"/>
      <c r="L1811" s="2540" t="s">
        <v>4003</v>
      </c>
      <c r="M1811" s="2458"/>
      <c r="N1811" s="2458"/>
      <c r="O1811" s="2473" t="s">
        <v>2622</v>
      </c>
      <c r="P1811" s="2372">
        <f>'Part IX A-Scoring Criteria'!P294</f>
        <v>0</v>
      </c>
      <c r="Q1811" s="2458"/>
      <c r="R1811" s="2453"/>
      <c r="S1811" s="2458"/>
    </row>
    <row r="1812" spans="1:19" ht="15">
      <c r="A1812" s="2289"/>
      <c r="B1812" s="2520" t="s">
        <v>1270</v>
      </c>
      <c r="C1812" s="515" t="s">
        <v>3998</v>
      </c>
      <c r="D1812" s="2079"/>
      <c r="E1812" s="2458"/>
      <c r="F1812" s="2079"/>
      <c r="G1812" s="2458"/>
      <c r="H1812" s="515"/>
      <c r="I1812" s="2458"/>
      <c r="J1812" s="2458"/>
      <c r="K1812" s="2458"/>
      <c r="L1812" s="2540" t="s">
        <v>4003</v>
      </c>
      <c r="M1812" s="2458"/>
      <c r="N1812" s="2458"/>
      <c r="O1812" s="2473" t="s">
        <v>1270</v>
      </c>
      <c r="P1812" s="2372">
        <f>'Part IX A-Scoring Criteria'!P295</f>
        <v>0</v>
      </c>
      <c r="Q1812" s="2458"/>
      <c r="R1812" s="2453"/>
      <c r="S1812" s="2458"/>
    </row>
    <row r="1813" spans="1:19" ht="15">
      <c r="A1813" s="2289"/>
      <c r="B1813" s="2520" t="s">
        <v>1271</v>
      </c>
      <c r="C1813" s="515" t="s">
        <v>3999</v>
      </c>
      <c r="D1813" s="2079"/>
      <c r="E1813" s="2458"/>
      <c r="F1813" s="2079"/>
      <c r="G1813" s="2458"/>
      <c r="H1813" s="515"/>
      <c r="I1813" s="2458"/>
      <c r="J1813" s="2458"/>
      <c r="K1813" s="2458"/>
      <c r="L1813" s="2540" t="s">
        <v>4003</v>
      </c>
      <c r="M1813" s="2458"/>
      <c r="N1813" s="2458"/>
      <c r="O1813" s="2473" t="s">
        <v>1271</v>
      </c>
      <c r="P1813" s="2372">
        <f>'Part IX A-Scoring Criteria'!P296</f>
        <v>0</v>
      </c>
      <c r="Q1813" s="2458"/>
      <c r="R1813" s="2453"/>
      <c r="S1813" s="2458"/>
    </row>
    <row r="1814" spans="1:19" ht="15">
      <c r="A1814" s="2410"/>
      <c r="B1814" s="2533" t="s">
        <v>1955</v>
      </c>
      <c r="C1814" s="2397" t="s">
        <v>4000</v>
      </c>
      <c r="D1814" s="2397"/>
      <c r="E1814" s="2397"/>
      <c r="F1814" s="2397"/>
      <c r="G1814" s="2397"/>
      <c r="H1814" s="2397"/>
      <c r="I1814" s="2397"/>
      <c r="J1814" s="2397"/>
      <c r="K1814" s="2397"/>
      <c r="L1814" s="2540" t="s">
        <v>4003</v>
      </c>
      <c r="M1814" s="2482"/>
      <c r="N1814" s="2482"/>
      <c r="O1814" s="2460" t="s">
        <v>1955</v>
      </c>
      <c r="P1814" s="2372">
        <f>'Part IX A-Scoring Criteria'!P297</f>
        <v>0</v>
      </c>
      <c r="Q1814" s="2482"/>
      <c r="R1814" s="2481"/>
      <c r="S1814" s="2482"/>
    </row>
    <row r="1815" spans="1:19" ht="15">
      <c r="A1815" s="2443"/>
      <c r="B1815" s="2336" t="s">
        <v>1937</v>
      </c>
      <c r="C1815" s="500"/>
      <c r="D1815" s="2079"/>
      <c r="E1815" s="2443"/>
      <c r="F1815" s="2079"/>
      <c r="G1815" s="2443"/>
      <c r="H1815" s="500"/>
      <c r="I1815" s="2443"/>
      <c r="J1815" s="2443"/>
      <c r="K1815" s="2443"/>
      <c r="L1815" s="2540" t="s">
        <v>4004</v>
      </c>
      <c r="M1815" s="2443"/>
      <c r="N1815" s="2443"/>
      <c r="O1815" s="2574" t="s">
        <v>3606</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2825</v>
      </c>
      <c r="C1818" s="2330"/>
      <c r="D1818" s="2426"/>
      <c r="E1818" s="515"/>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4069</v>
      </c>
      <c r="C1819" s="2443"/>
      <c r="D1819" s="2079"/>
      <c r="E1819" s="2079"/>
      <c r="F1819" s="2079"/>
      <c r="G1819" s="2443"/>
      <c r="H1819" s="2575" t="s">
        <v>4350</v>
      </c>
      <c r="I1819" s="2576">
        <f>IF('Part VI-Revenues &amp; Expenses'!$O$62=0,0,L1820/'Part VI-Revenues &amp; Expenses'!$O$62)</f>
        <v>9.7222222222222224E-2</v>
      </c>
      <c r="J1819" s="2443"/>
      <c r="K1819" s="2345" t="s">
        <v>4068</v>
      </c>
      <c r="L1819" s="2576">
        <f>IF('Part VI-Revenues &amp; Expenses'!$O$58=0,0,'Part VI-Revenues &amp; Expenses'!$K$58/'Part VI-Revenues &amp; Expenses'!$O$58)</f>
        <v>0.16666666666666666</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4347</v>
      </c>
      <c r="D1820" s="2374"/>
      <c r="E1820" s="2374"/>
      <c r="F1820" s="2374"/>
      <c r="G1820" s="2374"/>
      <c r="H1820" s="2374"/>
      <c r="I1820" s="2577" t="s">
        <v>4351</v>
      </c>
      <c r="J1820" s="2578">
        <f>'Part IX A-Scoring Criteria'!J303</f>
        <v>7</v>
      </c>
      <c r="K1820" s="2577" t="s">
        <v>4349</v>
      </c>
      <c r="L1820" s="2578">
        <f>'Part IX A-Scoring Criteria'!L303</f>
        <v>7</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3607</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4007</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2826</v>
      </c>
      <c r="C1824" s="2443"/>
      <c r="D1824" s="2308"/>
      <c r="E1824" s="2443"/>
      <c r="F1824" s="2443"/>
      <c r="G1824" s="515"/>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3715</v>
      </c>
      <c r="D1825" s="2374"/>
      <c r="E1825" s="2374"/>
      <c r="F1825" s="2374"/>
      <c r="G1825" s="2374"/>
      <c r="H1825" s="2374"/>
      <c r="I1825" s="2374"/>
      <c r="J1825" s="2374"/>
      <c r="K1825" s="2374"/>
      <c r="L1825" s="2374"/>
      <c r="M1825" s="2374"/>
      <c r="N1825" s="2460" t="s">
        <v>2062</v>
      </c>
      <c r="O1825" s="2372" t="str">
        <f>'Part IX A-Scoring Criteria'!O308</f>
        <v>Disagree</v>
      </c>
      <c r="P1825" s="2372">
        <f>'Part IX A-Scoring Criteria'!P308</f>
        <v>0</v>
      </c>
      <c r="Q1825" s="2579"/>
      <c r="R1825" s="2481"/>
      <c r="S1825" s="2482"/>
    </row>
    <row r="1826" spans="1:19" ht="22.5">
      <c r="A1826" s="2410"/>
      <c r="B1826" s="2533"/>
      <c r="C1826" s="2423" t="s">
        <v>4086</v>
      </c>
      <c r="D1826" s="2377"/>
      <c r="E1826" s="2377"/>
      <c r="F1826" s="2377"/>
      <c r="G1826" s="2374" t="str">
        <f>'Part IX A-Scoring Criteria'!G309</f>
        <v>N/A</v>
      </c>
      <c r="H1826" s="2374"/>
      <c r="I1826" s="2374"/>
      <c r="J1826" s="2374"/>
      <c r="K1826" s="2377" t="s">
        <v>4087</v>
      </c>
      <c r="L1826" s="2581">
        <f>'Part IX A-Scoring Criteria'!L309</f>
        <v>0</v>
      </c>
      <c r="M1826" s="2374"/>
      <c r="N1826" s="2460"/>
      <c r="O1826" s="2460"/>
      <c r="P1826" s="2460"/>
      <c r="Q1826" s="2579"/>
      <c r="R1826" s="2481"/>
      <c r="S1826" s="2482"/>
    </row>
    <row r="1827" spans="1:19">
      <c r="A1827" s="2330"/>
      <c r="B1827" s="2533" t="s">
        <v>2064</v>
      </c>
      <c r="C1827" s="2397" t="s">
        <v>3608</v>
      </c>
      <c r="D1827" s="2397"/>
      <c r="E1827" s="2397"/>
      <c r="F1827" s="2397"/>
      <c r="G1827" s="2397"/>
      <c r="H1827" s="2397"/>
      <c r="I1827" s="2397"/>
      <c r="J1827" s="2397" t="s">
        <v>4085</v>
      </c>
      <c r="K1827" s="2397"/>
      <c r="L1827" s="2344">
        <f>'Part IX A-Scoring Criteria'!L310</f>
        <v>0</v>
      </c>
      <c r="M1827" s="2582">
        <f>IF('Part VI-Revenues &amp; Expenses'!$O$62=0,0,L1827/'Part VI-Revenues &amp; Expenses'!$O$62)</f>
        <v>0</v>
      </c>
      <c r="N1827" s="2460" t="s">
        <v>2064</v>
      </c>
      <c r="O1827" s="2372" t="str">
        <f>'Part IX A-Scoring Criteria'!O310</f>
        <v>Disagree</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3" t="s">
        <v>3601</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3716</v>
      </c>
      <c r="C1833" s="2482"/>
      <c r="D1833" s="515" t="str">
        <f>'Part IX A-Scoring Criteria'!D316</f>
        <v>&lt;&lt;Select applicable status&gt;&gt;</v>
      </c>
      <c r="E1833" s="515"/>
      <c r="F1833" s="515"/>
      <c r="G1833" s="515"/>
      <c r="H1833" s="515"/>
      <c r="I1833" s="515"/>
      <c r="J1833" s="2397" t="s">
        <v>2961</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4484</v>
      </c>
      <c r="C1835" s="2397"/>
      <c r="D1835" s="2397"/>
      <c r="E1835" s="2397"/>
      <c r="F1835" s="2397"/>
      <c r="G1835" s="2397"/>
      <c r="H1835" s="2397"/>
      <c r="I1835" s="2397"/>
      <c r="J1835" s="2397" t="s">
        <v>4008</v>
      </c>
      <c r="K1835" s="2482"/>
      <c r="L1835" s="2583">
        <f>'Part VI-Revenues &amp; Expenses'!$O$82</f>
        <v>0</v>
      </c>
      <c r="M1835" s="2480">
        <v>2</v>
      </c>
      <c r="N1835" s="2415" t="s">
        <v>2058</v>
      </c>
      <c r="O1835" s="2439">
        <f>'Part IX A-Scoring Criteria'!O318</f>
        <v>0</v>
      </c>
      <c r="P1835" s="2439">
        <f>'Part IX A-Scoring Criteria'!P318</f>
        <v>0</v>
      </c>
      <c r="Q1835" s="2074" t="s">
        <v>2810</v>
      </c>
      <c r="R1835" s="2482"/>
      <c r="S1835" s="2482"/>
    </row>
    <row r="1836" spans="1:19" ht="15" customHeight="1">
      <c r="A1836" s="2579"/>
      <c r="B1836" s="2374" t="s">
        <v>4009</v>
      </c>
      <c r="C1836" s="2374"/>
      <c r="D1836" s="2374"/>
      <c r="E1836" s="2374"/>
      <c r="F1836" s="2374"/>
      <c r="G1836" s="2374"/>
      <c r="H1836" s="2374"/>
      <c r="I1836" s="2397"/>
      <c r="J1836" s="2423" t="s">
        <v>2959</v>
      </c>
      <c r="K1836" s="2482"/>
      <c r="L1836" s="2583">
        <f>'Part VI-Revenues &amp; Expenses'!$O$62</f>
        <v>72</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2960</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This project is New Construction so this section does not apply.</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3544</v>
      </c>
      <c r="C1841" s="2397"/>
      <c r="D1841" s="2482"/>
      <c r="E1841" s="2482"/>
      <c r="F1841" s="2482"/>
      <c r="G1841" s="2482"/>
      <c r="H1841" s="2397"/>
      <c r="I1841" s="2482"/>
      <c r="J1841" s="2397" t="s">
        <v>3610</v>
      </c>
      <c r="K1841" s="2482"/>
      <c r="L1841" s="2583">
        <f>'Part VI-Revenues &amp; Expenses'!$O$84</f>
        <v>0</v>
      </c>
      <c r="M1841" s="2480">
        <v>1</v>
      </c>
      <c r="N1841" s="2415" t="s">
        <v>2061</v>
      </c>
      <c r="O1841" s="2439">
        <f>'Part IX A-Scoring Criteria'!O324</f>
        <v>0</v>
      </c>
      <c r="P1841" s="2439">
        <f>'Part IX A-Scoring Criteria'!P324</f>
        <v>0</v>
      </c>
      <c r="Q1841" s="2074" t="s">
        <v>2810</v>
      </c>
      <c r="R1841" s="2482"/>
      <c r="S1841" s="2482"/>
    </row>
    <row r="1842" spans="1:19" ht="15" customHeight="1">
      <c r="A1842" s="2584"/>
      <c r="B1842" s="2374" t="s">
        <v>4114</v>
      </c>
      <c r="C1842" s="2374"/>
      <c r="D1842" s="2374"/>
      <c r="E1842" s="2374"/>
      <c r="F1842" s="2374"/>
      <c r="G1842" s="2374"/>
      <c r="H1842" s="2374"/>
      <c r="I1842" s="2374"/>
      <c r="J1842" s="2423" t="s">
        <v>2959</v>
      </c>
      <c r="K1842" s="2482"/>
      <c r="L1842" s="2583">
        <f>'Part VI-Revenues &amp; Expenses'!$O$62</f>
        <v>72</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2960</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4485</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4115</v>
      </c>
      <c r="C1849" s="2261"/>
      <c r="D1849" s="2587">
        <f>IF('Part VI-Revenues &amp; Expenses'!$O$62=0,0,'Part IV-Uses of Funds'!$J$172/'Part VI-Revenues &amp; Expenses'!$O$62)</f>
        <v>9304.0763888888887</v>
      </c>
      <c r="E1849" s="2587"/>
      <c r="F1849" s="2261" t="s">
        <v>4116</v>
      </c>
      <c r="G1849" s="2588"/>
      <c r="H1849" s="2589">
        <f>IF('Part VI-Revenues &amp; Expenses'!$O$62=0,0,('Part VI-Revenues &amp; Expenses'!$O$77+'Part VI-Revenues &amp; Expenses'!$O$80+'Part VI-Revenues &amp; Expenses'!$O$84)/'Part VI-Revenues &amp; Expenses'!$O$62)</f>
        <v>0</v>
      </c>
      <c r="I1849" s="2307" t="s">
        <v>4486</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5" t="s">
        <v>4010</v>
      </c>
      <c r="D1850" s="2443"/>
      <c r="E1850" s="515"/>
      <c r="F1850" s="515"/>
      <c r="G1850" s="515"/>
      <c r="H1850" s="2443"/>
      <c r="I1850" s="2443"/>
      <c r="J1850" s="2443"/>
      <c r="K1850" s="2443"/>
      <c r="L1850" s="2443"/>
      <c r="M1850" s="2480">
        <v>6</v>
      </c>
      <c r="N1850" s="2472"/>
      <c r="O1850" s="2590">
        <f>'Part IX A-Scoring Criteria'!O333</f>
        <v>0</v>
      </c>
      <c r="P1850" s="2590">
        <f>'Part IX A-Scoring Criteria'!P333</f>
        <v>0</v>
      </c>
      <c r="Q1850" s="2074" t="s">
        <v>2810</v>
      </c>
      <c r="R1850" s="2443"/>
      <c r="S1850" s="2443"/>
    </row>
    <row r="1851" spans="1:19" ht="15">
      <c r="A1851" s="2367"/>
      <c r="B1851" s="2372"/>
      <c r="C1851" s="2308" t="s">
        <v>3880</v>
      </c>
      <c r="D1851" s="2344">
        <f>'Part IX A-Scoring Criteria'!D334</f>
        <v>0</v>
      </c>
      <c r="E1851" s="515"/>
      <c r="F1851" s="2308" t="s">
        <v>3881</v>
      </c>
      <c r="G1851" s="2591">
        <f>'Part IX A-Scoring Criteria'!G334</f>
        <v>0</v>
      </c>
      <c r="H1851" s="2443"/>
      <c r="I1851" s="500" t="s">
        <v>4011</v>
      </c>
      <c r="J1851" s="500"/>
      <c r="K1851" s="2426">
        <f>'Part IX A-Scoring Criteria'!K334:L334</f>
        <v>0</v>
      </c>
      <c r="L1851" s="2426"/>
      <c r="M1851" s="2480"/>
      <c r="N1851" s="2472"/>
      <c r="O1851" s="2590"/>
      <c r="P1851" s="2590"/>
      <c r="Q1851" s="2074"/>
      <c r="R1851" s="2443"/>
      <c r="S1851" s="2443"/>
    </row>
    <row r="1852" spans="1:19" ht="15">
      <c r="A1852" s="2367" t="s">
        <v>1403</v>
      </c>
      <c r="B1852" s="2372" t="s">
        <v>2064</v>
      </c>
      <c r="C1852" s="515" t="s">
        <v>4012</v>
      </c>
      <c r="D1852" s="2443"/>
      <c r="E1852" s="515"/>
      <c r="F1852" s="515"/>
      <c r="G1852" s="515"/>
      <c r="H1852" s="2443"/>
      <c r="I1852" s="2443"/>
      <c r="J1852" s="2443"/>
      <c r="K1852" s="2443"/>
      <c r="L1852" s="2443"/>
      <c r="M1852" s="2480">
        <v>2</v>
      </c>
      <c r="N1852" s="2472"/>
      <c r="O1852" s="2590"/>
      <c r="P1852" s="2590"/>
      <c r="Q1852" s="2074"/>
      <c r="R1852" s="2443"/>
      <c r="S1852" s="2443"/>
    </row>
    <row r="1853" spans="1:19" ht="15">
      <c r="A1853" s="2367"/>
      <c r="B1853" s="2443"/>
      <c r="C1853" s="2308" t="s">
        <v>3880</v>
      </c>
      <c r="D1853" s="2344">
        <f>'Part IX A-Scoring Criteria'!D336</f>
        <v>0</v>
      </c>
      <c r="E1853" s="515"/>
      <c r="F1853" s="2308" t="s">
        <v>3881</v>
      </c>
      <c r="G1853" s="2591">
        <f>'Part IX A-Scoring Criteria'!G336</f>
        <v>0</v>
      </c>
      <c r="H1853" s="2443"/>
      <c r="I1853" s="500" t="s">
        <v>4011</v>
      </c>
      <c r="J1853" s="500"/>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3611</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3868</v>
      </c>
      <c r="D1855" s="2580"/>
      <c r="E1855" s="2482"/>
      <c r="F1855" s="2482"/>
      <c r="G1855" s="2594">
        <f>'Part IX A-Scoring Criteria'!G338</f>
        <v>0</v>
      </c>
      <c r="H1855" s="2580"/>
      <c r="I1855" s="2423" t="s">
        <v>3867</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4013</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2" t="s">
        <v>2810</v>
      </c>
      <c r="R1856" s="2482"/>
      <c r="S1856" s="2482"/>
    </row>
    <row r="1857" spans="1:19" ht="22.5">
      <c r="A1857" s="2410"/>
      <c r="B1857" s="2533"/>
      <c r="C1857" s="2423" t="s">
        <v>4088</v>
      </c>
      <c r="D1857" s="2377"/>
      <c r="E1857" s="2377"/>
      <c r="F1857" s="2374">
        <f>'Part IX A-Scoring Criteria'!F340</f>
        <v>0</v>
      </c>
      <c r="G1857" s="2374"/>
      <c r="H1857" s="2374"/>
      <c r="I1857" s="2374"/>
      <c r="K1857" s="2377" t="s">
        <v>4087</v>
      </c>
      <c r="L1857" s="2581">
        <f>'Part IX A-Scoring Criteria'!L340</f>
        <v>0</v>
      </c>
      <c r="M1857" s="2374"/>
      <c r="N1857" s="2460"/>
      <c r="O1857" s="2460"/>
      <c r="P1857" s="2460"/>
      <c r="Q1857" s="2579"/>
      <c r="R1857" s="2481"/>
      <c r="S1857" s="2482"/>
    </row>
    <row r="1858" spans="1:19" ht="15" customHeight="1">
      <c r="A1858" s="2410" t="s">
        <v>779</v>
      </c>
      <c r="B1858" s="2482"/>
      <c r="C1858" s="2374" t="s">
        <v>4014</v>
      </c>
      <c r="D1858" s="2374"/>
      <c r="E1858" s="2374"/>
      <c r="F1858" s="2374"/>
      <c r="G1858" s="2374"/>
      <c r="H1858" s="2374"/>
      <c r="I1858" s="2374"/>
      <c r="J1858" s="2374" t="s">
        <v>4016</v>
      </c>
      <c r="K1858" s="2374"/>
      <c r="L1858" s="2372" t="str">
        <f>'Part I-Project Information'!$H$90</f>
        <v>Rural</v>
      </c>
      <c r="M1858" s="2480">
        <v>3</v>
      </c>
      <c r="N1858" s="2593"/>
      <c r="O1858" s="2590">
        <f>'Part IX A-Scoring Criteria'!O341</f>
        <v>0</v>
      </c>
      <c r="P1858" s="2590">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4017</v>
      </c>
      <c r="K1859" s="2374"/>
      <c r="L1859" s="2595">
        <f>'Part IX A-Scoring Criteria'!L342</f>
        <v>5</v>
      </c>
      <c r="M1859" s="2480"/>
      <c r="N1859" s="2593"/>
      <c r="O1859" s="2590"/>
      <c r="P1859" s="2590"/>
      <c r="Q1859" s="2074"/>
      <c r="R1859" s="2482"/>
      <c r="S1859" s="2482"/>
    </row>
    <row r="1860" spans="1:19" ht="15" customHeight="1">
      <c r="A1860" s="2410" t="s">
        <v>2193</v>
      </c>
      <c r="B1860" s="2482"/>
      <c r="C1860" s="2374" t="s">
        <v>4015</v>
      </c>
      <c r="D1860" s="2374"/>
      <c r="E1860" s="2374"/>
      <c r="F1860" s="2374"/>
      <c r="G1860" s="2374"/>
      <c r="H1860" s="2374"/>
      <c r="I1860" s="2397"/>
      <c r="J1860" s="2374" t="s">
        <v>4018</v>
      </c>
      <c r="K1860" s="2374"/>
      <c r="L1860" s="2595">
        <f>'Part IX A-Scoring Criteria'!L343</f>
        <v>0</v>
      </c>
      <c r="M1860" s="2480">
        <v>3</v>
      </c>
      <c r="N1860" s="2593"/>
      <c r="O1860" s="2439">
        <f>'Part IX A-Scoring Criteria'!O343</f>
        <v>0</v>
      </c>
      <c r="P1860" s="2439">
        <f>'Part IX A-Scoring Criteria'!P343</f>
        <v>0</v>
      </c>
      <c r="Q1860" s="2074" t="s">
        <v>2810</v>
      </c>
      <c r="R1860" s="2482"/>
      <c r="S1860" s="2482"/>
    </row>
    <row r="1861" spans="1:19" ht="15" customHeight="1">
      <c r="A1861" s="2410" t="s">
        <v>1801</v>
      </c>
      <c r="B1861" s="2372" t="s">
        <v>2062</v>
      </c>
      <c r="C1861" s="2374" t="s">
        <v>3704</v>
      </c>
      <c r="D1861" s="2374"/>
      <c r="E1861" s="2374"/>
      <c r="F1861" s="2374"/>
      <c r="G1861" s="2374"/>
      <c r="H1861" s="2374"/>
      <c r="I1861" s="2374"/>
      <c r="J1861" s="2374"/>
      <c r="K1861" s="2374"/>
      <c r="L1861" s="2374"/>
      <c r="M1861" s="2480">
        <v>2</v>
      </c>
      <c r="N1861" s="2472"/>
      <c r="O1861" s="2590">
        <f>'Part IX A-Scoring Criteria'!O344</f>
        <v>0</v>
      </c>
      <c r="P1861" s="2590">
        <f>'Part IX A-Scoring Criteria'!P344</f>
        <v>0</v>
      </c>
      <c r="Q1861" s="2074" t="s">
        <v>2810</v>
      </c>
      <c r="R1861" s="2443"/>
      <c r="S1861" s="2443"/>
    </row>
    <row r="1862" spans="1:19" ht="15" customHeight="1">
      <c r="A1862" s="2367" t="s">
        <v>1403</v>
      </c>
      <c r="B1862" s="2372" t="s">
        <v>2064</v>
      </c>
      <c r="C1862" s="2382" t="s">
        <v>3703</v>
      </c>
      <c r="D1862" s="2382"/>
      <c r="E1862" s="2382"/>
      <c r="F1862" s="2382"/>
      <c r="G1862" s="2382"/>
      <c r="H1862" s="2382"/>
      <c r="I1862" s="2382"/>
      <c r="J1862" s="2382"/>
      <c r="K1862" s="2382"/>
      <c r="L1862" s="2382"/>
      <c r="M1862" s="2253">
        <v>1</v>
      </c>
      <c r="N1862" s="2472"/>
      <c r="O1862" s="2590"/>
      <c r="P1862" s="2590"/>
      <c r="Q1862" s="500"/>
      <c r="R1862" s="2443"/>
      <c r="S1862" s="2443"/>
    </row>
    <row r="1863" spans="1:19" ht="15">
      <c r="A1863" s="2443"/>
      <c r="B1863" s="2367"/>
      <c r="C1863" s="2596" t="s">
        <v>3878</v>
      </c>
      <c r="D1863" s="2596"/>
      <c r="E1863" s="2596"/>
      <c r="F1863" s="2404" t="s">
        <v>3871</v>
      </c>
      <c r="G1863" s="2404" t="s">
        <v>3872</v>
      </c>
      <c r="H1863" s="2404" t="s">
        <v>3873</v>
      </c>
      <c r="I1863" s="2404" t="s">
        <v>3874</v>
      </c>
      <c r="J1863" s="2404" t="s">
        <v>3875</v>
      </c>
      <c r="K1863" s="2404" t="s">
        <v>3876</v>
      </c>
      <c r="L1863" s="2404" t="s">
        <v>3877</v>
      </c>
      <c r="M1863" s="2597"/>
      <c r="N1863" s="2597"/>
      <c r="O1863" s="2597"/>
      <c r="P1863" s="2597"/>
      <c r="Q1863" s="500"/>
      <c r="R1863" s="2443"/>
      <c r="S1863" s="2443"/>
    </row>
    <row r="1864" spans="1:19" ht="15">
      <c r="A1864" s="2443"/>
      <c r="B1864" s="2367"/>
      <c r="C1864" s="2336" t="s">
        <v>3879</v>
      </c>
      <c r="D1864" s="2336"/>
      <c r="E1864" s="2336"/>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0"/>
      <c r="R1864" s="2443"/>
      <c r="S1864" s="2443"/>
    </row>
    <row r="1865" spans="1:19" ht="15" customHeight="1">
      <c r="A1865" s="2410" t="s">
        <v>1802</v>
      </c>
      <c r="B1865" s="2408" t="s">
        <v>2062</v>
      </c>
      <c r="C1865" s="2374" t="s">
        <v>3612</v>
      </c>
      <c r="D1865" s="2374"/>
      <c r="E1865" s="2374"/>
      <c r="F1865" s="2374"/>
      <c r="G1865" s="2374"/>
      <c r="H1865" s="2374"/>
      <c r="I1865" s="2374"/>
      <c r="J1865" s="2482"/>
      <c r="K1865" s="2374" t="s">
        <v>4118</v>
      </c>
      <c r="L1865" s="2374"/>
      <c r="M1865" s="2480">
        <v>2</v>
      </c>
      <c r="N1865" s="2593"/>
      <c r="O1865" s="2590">
        <f>'Part IX A-Scoring Criteria'!O348</f>
        <v>0</v>
      </c>
      <c r="P1865" s="2590">
        <f>'Part IX A-Scoring Criteria'!P348</f>
        <v>0</v>
      </c>
      <c r="Q1865" s="2074" t="s">
        <v>2810</v>
      </c>
      <c r="R1865" s="2482"/>
      <c r="S1865" s="2482"/>
    </row>
    <row r="1866" spans="1:19" ht="15" customHeight="1">
      <c r="A1866" s="2367" t="s">
        <v>1403</v>
      </c>
      <c r="B1866" s="2408" t="s">
        <v>2064</v>
      </c>
      <c r="C1866" s="2374" t="s">
        <v>3613</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3614</v>
      </c>
      <c r="D1867" s="2337"/>
      <c r="E1867" s="2337"/>
      <c r="F1867" s="2337"/>
      <c r="G1867" s="2337"/>
      <c r="H1867" s="2337"/>
      <c r="I1867" s="2337"/>
      <c r="J1867" s="2337"/>
      <c r="K1867" s="2337"/>
      <c r="L1867" s="2337"/>
      <c r="M1867" s="2262">
        <v>2</v>
      </c>
      <c r="N1867" s="2599"/>
      <c r="O1867" s="2439">
        <f>'Part IX A-Scoring Criteria'!O350</f>
        <v>0</v>
      </c>
      <c r="P1867" s="2439">
        <f>'Part IX A-Scoring Criteria'!P350</f>
        <v>0</v>
      </c>
      <c r="Q1867" s="2074" t="s">
        <v>2810</v>
      </c>
      <c r="R1867" s="2458"/>
      <c r="S1867" s="2458"/>
    </row>
    <row r="1868" spans="1:19" ht="15" customHeight="1">
      <c r="A1868" s="2289"/>
      <c r="B1868" s="2443"/>
      <c r="C1868" s="2308" t="s">
        <v>4019</v>
      </c>
      <c r="D1868" s="2597"/>
      <c r="E1868" s="2572">
        <f>'Part IV-Uses of Funds'!$B$44</f>
        <v>7775420</v>
      </c>
      <c r="F1868" s="2572"/>
      <c r="G1868" s="515" t="s">
        <v>4020</v>
      </c>
      <c r="H1868" s="515"/>
      <c r="I1868" s="2600">
        <f>'Part IV-Uses of Funds'!$G$131</f>
        <v>11097534</v>
      </c>
      <c r="J1868" s="2337" t="s">
        <v>4021</v>
      </c>
      <c r="K1868" s="2337"/>
      <c r="L1868" s="2598">
        <f>IF(I1868=0, 0,E1868/I1868)</f>
        <v>0.70064394486198467</v>
      </c>
      <c r="M1868" s="2260"/>
      <c r="N1868" s="2260"/>
      <c r="O1868" s="2260"/>
      <c r="P1868" s="2260"/>
      <c r="Q1868" s="2074"/>
      <c r="R1868" s="2443"/>
      <c r="S1868" s="2443"/>
    </row>
    <row r="1869" spans="1:19" ht="15" customHeight="1">
      <c r="A1869" s="2410" t="s">
        <v>3559</v>
      </c>
      <c r="B1869" s="2482"/>
      <c r="C1869" s="2374" t="s">
        <v>3615</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2" t="s">
        <v>2810</v>
      </c>
      <c r="R1869" s="2482"/>
      <c r="S1869" s="2482"/>
    </row>
    <row r="1870" spans="1:19" ht="15" customHeight="1">
      <c r="A1870" s="2410" t="s">
        <v>640</v>
      </c>
      <c r="B1870" s="2482"/>
      <c r="C1870" s="2374" t="s">
        <v>3705</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2" t="s">
        <v>2810</v>
      </c>
      <c r="R1870" s="2482"/>
      <c r="S1870" s="2482"/>
    </row>
    <row r="1871" spans="1:19" ht="15" customHeight="1">
      <c r="A1871" s="2410" t="s">
        <v>3560</v>
      </c>
      <c r="B1871" s="2482"/>
      <c r="C1871" s="2374" t="s">
        <v>3616</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2" t="s">
        <v>2810</v>
      </c>
      <c r="R1871" s="2482"/>
      <c r="S1871" s="2482"/>
    </row>
    <row r="1872" spans="1:19" ht="22.5" customHeight="1">
      <c r="A1872" s="2410" t="s">
        <v>4022</v>
      </c>
      <c r="B1872" s="2482"/>
      <c r="C1872" s="2374" t="s">
        <v>4023</v>
      </c>
      <c r="D1872" s="2374"/>
      <c r="E1872" s="2374"/>
      <c r="F1872" s="2374"/>
      <c r="G1872" s="2374"/>
      <c r="H1872" s="2374"/>
      <c r="I1872" s="2374"/>
      <c r="J1872" s="2374"/>
      <c r="K1872" s="2374" t="s">
        <v>4024</v>
      </c>
      <c r="L1872" s="2600">
        <f>'Part IV-Uses of Funds'!$G$127</f>
        <v>0</v>
      </c>
      <c r="M1872" s="2601">
        <v>1</v>
      </c>
      <c r="N1872" s="2601"/>
      <c r="O1872" s="2439">
        <f>'Part IX A-Scoring Criteria'!O355</f>
        <v>0</v>
      </c>
      <c r="P1872" s="2439">
        <f>'Part IX A-Scoring Criteria'!P355</f>
        <v>0</v>
      </c>
      <c r="Q1872" s="1302" t="s">
        <v>2810</v>
      </c>
      <c r="R1872" s="2482"/>
      <c r="S1872" s="2482"/>
    </row>
    <row r="1873" spans="1:19" ht="22.5">
      <c r="A1873" s="2410"/>
      <c r="B1873" s="2482"/>
      <c r="C1873" s="2374"/>
      <c r="D1873" s="2374"/>
      <c r="E1873" s="2374"/>
      <c r="F1873" s="2374"/>
      <c r="G1873" s="2374"/>
      <c r="H1873" s="2374"/>
      <c r="I1873" s="2374"/>
      <c r="J1873" s="2374"/>
      <c r="K1873" s="2374" t="s">
        <v>4025</v>
      </c>
      <c r="L1873" s="2600">
        <f>'Part IV-Uses of Funds'!$G$20</f>
        <v>0</v>
      </c>
      <c r="M1873" s="2601"/>
      <c r="N1873" s="2601"/>
      <c r="O1873" s="2601"/>
      <c r="P1873" s="2601"/>
      <c r="Q1873" s="1302"/>
      <c r="R1873" s="2482"/>
      <c r="S1873" s="2482"/>
    </row>
    <row r="1874" spans="1:19" ht="15">
      <c r="A1874" s="2079"/>
      <c r="B1874" s="2336" t="s">
        <v>267</v>
      </c>
      <c r="C1874" s="2079"/>
      <c r="D1874" s="2261"/>
      <c r="E1874" s="2261"/>
      <c r="F1874" s="2261"/>
      <c r="G1874" s="2261"/>
      <c r="H1874" s="515"/>
      <c r="I1874" s="515"/>
      <c r="J1874" s="515"/>
      <c r="K1874" s="515"/>
      <c r="L1874" s="2443"/>
      <c r="M1874" s="2080"/>
      <c r="N1874" s="2253"/>
      <c r="O1874" s="2439"/>
      <c r="P1874" s="2255"/>
      <c r="Q1874" s="2443"/>
      <c r="R1874" s="2443"/>
      <c r="S1874" s="2443"/>
    </row>
    <row r="1875" spans="1:19" ht="78.75">
      <c r="A1875" s="2374" t="str">
        <f>'Part IX A-Scoring Criteria'!A358</f>
        <v>This project is New Construction so this section does not apply.</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2962</v>
      </c>
      <c r="B1879" s="2441" t="s">
        <v>3627</v>
      </c>
      <c r="C1879" s="2443"/>
      <c r="D1879" s="2472"/>
      <c r="E1879" s="2472"/>
      <c r="F1879" s="2472"/>
      <c r="G1879" s="2472"/>
      <c r="H1879" s="2472"/>
      <c r="I1879" s="2472"/>
      <c r="J1879" s="2472"/>
      <c r="K1879" s="2472"/>
      <c r="L1879" s="2472"/>
      <c r="M1879" s="2258">
        <v>2</v>
      </c>
      <c r="N1879" s="2473"/>
      <c r="O1879" s="2439">
        <f>'Part IX A-Scoring Criteria'!O362</f>
        <v>2</v>
      </c>
      <c r="P1879" s="2439">
        <f>'Part IX A-Scoring Criteria'!P362</f>
        <v>0</v>
      </c>
      <c r="Q1879" s="2258" t="s">
        <v>456</v>
      </c>
      <c r="R1879" s="2074"/>
      <c r="S1879" s="2443"/>
    </row>
    <row r="1880" spans="1:19" ht="15" customHeight="1">
      <c r="A1880" s="2443"/>
      <c r="B1880" s="2382" t="s">
        <v>3629</v>
      </c>
      <c r="C1880" s="2382"/>
      <c r="D1880" s="2382"/>
      <c r="E1880" s="2382"/>
      <c r="F1880" s="2382"/>
      <c r="G1880" s="2382"/>
      <c r="H1880" s="2382"/>
      <c r="I1880" s="2382"/>
      <c r="J1880" s="2382"/>
      <c r="K1880" s="2382"/>
      <c r="L1880" s="2382"/>
      <c r="M1880" s="2382"/>
      <c r="N1880" s="2382"/>
      <c r="O1880" s="2372" t="str">
        <f>'Part IX A-Scoring Criteria'!O363</f>
        <v>Yes</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4026</v>
      </c>
      <c r="C1882" s="2443"/>
      <c r="D1882" s="2443"/>
      <c r="E1882" s="2443"/>
      <c r="F1882" s="515" t="s">
        <v>3624</v>
      </c>
      <c r="G1882" s="515"/>
      <c r="H1882" s="2443"/>
      <c r="I1882" s="2443"/>
      <c r="J1882" s="2337" t="str">
        <f>'Part IX A-Scoring Criteria'!J365</f>
        <v>Camden County - 620</v>
      </c>
      <c r="K1882" s="2337"/>
      <c r="L1882" s="2337"/>
      <c r="M1882" s="2337"/>
      <c r="N1882" s="2337"/>
      <c r="O1882" s="2153" t="s">
        <v>3722</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0" t="s">
        <v>3051</v>
      </c>
      <c r="G1884" s="500"/>
      <c r="H1884" s="2443"/>
      <c r="I1884" s="2443"/>
      <c r="J1884" s="2426" t="str">
        <f>'Part I-Project Information'!$H$67</f>
        <v>Family</v>
      </c>
      <c r="K1884" s="2426"/>
      <c r="L1884" s="2602"/>
      <c r="M1884" s="2153" t="s">
        <v>3900</v>
      </c>
      <c r="N1884" s="2382"/>
      <c r="O1884" s="2153"/>
      <c r="P1884" s="2382"/>
      <c r="Q1884" s="2443"/>
      <c r="R1884" s="2443"/>
      <c r="S1884" s="2443"/>
    </row>
    <row r="1885" spans="1:19" ht="15" customHeight="1">
      <c r="A1885" s="2289"/>
      <c r="B1885" s="2219" t="s">
        <v>3625</v>
      </c>
      <c r="C1885" s="2343"/>
      <c r="D1885" s="2343"/>
      <c r="E1885" s="2602"/>
      <c r="F1885" s="2453"/>
      <c r="G1885" s="2443"/>
      <c r="H1885" s="2602"/>
      <c r="I1885" s="2602"/>
      <c r="J1885" s="2602"/>
      <c r="K1885" s="2602"/>
      <c r="L1885" s="2602"/>
      <c r="M1885" s="2153"/>
      <c r="N1885" s="2382"/>
      <c r="O1885" s="2153"/>
      <c r="P1885" s="2337" t="s">
        <v>3621</v>
      </c>
      <c r="Q1885" s="2443"/>
      <c r="R1885" s="2443"/>
      <c r="S1885" s="2443"/>
    </row>
    <row r="1886" spans="1:19" ht="15">
      <c r="A1886" s="2289"/>
      <c r="B1886" s="2443"/>
      <c r="C1886" s="2303"/>
      <c r="D1886" s="2443"/>
      <c r="E1886" s="2443"/>
      <c r="F1886" s="2308" t="s">
        <v>3626</v>
      </c>
      <c r="G1886" s="2443"/>
      <c r="H1886" s="2602"/>
      <c r="I1886" s="2396" t="s">
        <v>3620</v>
      </c>
      <c r="J1886" s="2425" t="s">
        <v>3622</v>
      </c>
      <c r="K1886" s="2369" t="s">
        <v>3621</v>
      </c>
      <c r="L1886" s="2262" t="s">
        <v>3623</v>
      </c>
      <c r="M1886" s="2153"/>
      <c r="N1886" s="2260"/>
      <c r="O1886" s="2153"/>
      <c r="P1886" s="2337"/>
      <c r="Q1886" s="2443"/>
      <c r="R1886" s="2443"/>
      <c r="S1886" s="2443"/>
    </row>
    <row r="1887" spans="1:19" ht="33.75">
      <c r="A1887" s="2289"/>
      <c r="B1887" s="2345" t="s">
        <v>2520</v>
      </c>
      <c r="C1887" s="2343" t="s">
        <v>3619</v>
      </c>
      <c r="D1887" s="2343"/>
      <c r="E1887" s="2602"/>
      <c r="F1887" s="2337" t="str">
        <f>'Part IX A-Scoring Criteria'!F370</f>
        <v>Sugarmill Elementary-0197</v>
      </c>
      <c r="G1887" s="2337"/>
      <c r="H1887" s="2337"/>
      <c r="I1887" s="2404" t="str">
        <f>'Part IX A-Scoring Criteria'!I370</f>
        <v>PK thru 5</v>
      </c>
      <c r="J1887" s="2404" t="str">
        <f>'Part IX A-Scoring Criteria'!J370</f>
        <v>No</v>
      </c>
      <c r="K1887" s="2603">
        <f>'Part IX A-Scoring Criteria'!K370</f>
        <v>90.8</v>
      </c>
      <c r="L1887" s="2260">
        <v>78</v>
      </c>
      <c r="M1887" s="2262" t="str">
        <f>IF(K1887="","",IF(K1887&gt;=L1887,"Yes",IF(K1887&lt;L1887,"No","")))</f>
        <v>Yes</v>
      </c>
      <c r="N1887" s="2260"/>
      <c r="O1887" s="2262" t="str">
        <f>IF(P1887="","",IF(P1887&gt;=L1887,"Yes",IF(P1887&lt;L1887,"No","")))</f>
        <v>No</v>
      </c>
      <c r="P1887" s="2603">
        <f>'Part IX A-Scoring Criteria'!P370</f>
        <v>0</v>
      </c>
      <c r="Q1887" s="515" t="s">
        <v>4119</v>
      </c>
      <c r="R1887" s="2443"/>
      <c r="S1887" s="2443"/>
    </row>
    <row r="1888" spans="1:19" ht="33.75">
      <c r="A1888" s="2289"/>
      <c r="B1888" s="2415" t="s">
        <v>2521</v>
      </c>
      <c r="C1888" s="2343" t="s">
        <v>3617</v>
      </c>
      <c r="D1888" s="2343"/>
      <c r="E1888" s="2602"/>
      <c r="F1888" s="2337" t="str">
        <f>'Part IX A-Scoring Criteria'!F371</f>
        <v>St. Marys Middle School-0105</v>
      </c>
      <c r="G1888" s="2337"/>
      <c r="H1888" s="2337"/>
      <c r="I1888" s="2404" t="str">
        <f>'Part IX A-Scoring Criteria'!I371</f>
        <v>6 thru 8</v>
      </c>
      <c r="J1888" s="2404" t="str">
        <f>'Part IX A-Scoring Criteria'!J371</f>
        <v>No</v>
      </c>
      <c r="K1888" s="2603">
        <f>'Part IX A-Scoring Criteria'!K371</f>
        <v>85.7</v>
      </c>
      <c r="L1888" s="2260">
        <v>75</v>
      </c>
      <c r="M1888" s="2262" t="str">
        <f>IF(K1888="","",IF(K1888&gt;=L1888,"Yes",IF(K1888&lt;L1888,"No","")))</f>
        <v>Yes</v>
      </c>
      <c r="N1888" s="2260"/>
      <c r="O1888" s="2262" t="str">
        <f>IF(P1888="","",IF(P1888&gt;=L1888,"Yes",IF(P1888&lt;L1888,"No","")))</f>
        <v>No</v>
      </c>
      <c r="P1888" s="2603">
        <f>'Part IX A-Scoring Criteria'!P371</f>
        <v>0</v>
      </c>
      <c r="Q1888" s="515" t="s">
        <v>4119</v>
      </c>
      <c r="R1888" s="2443"/>
      <c r="S1888" s="2443"/>
    </row>
    <row r="1889" spans="1:19" ht="33.75">
      <c r="A1889" s="2289"/>
      <c r="B1889" s="2345" t="s">
        <v>2522</v>
      </c>
      <c r="C1889" s="2343" t="s">
        <v>3618</v>
      </c>
      <c r="D1889" s="2343"/>
      <c r="E1889" s="2602"/>
      <c r="F1889" s="2337" t="str">
        <f>'Part IX A-Scoring Criteria'!F372</f>
        <v>Camden County High School-0295</v>
      </c>
      <c r="G1889" s="2337"/>
      <c r="H1889" s="2337"/>
      <c r="I1889" s="2404" t="str">
        <f>'Part IX A-Scoring Criteria'!I372</f>
        <v>9 thru 12</v>
      </c>
      <c r="J1889" s="2404" t="str">
        <f>'Part IX A-Scoring Criteria'!J372</f>
        <v>No</v>
      </c>
      <c r="K1889" s="2603">
        <f>'Part IX A-Scoring Criteria'!K372</f>
        <v>86.5</v>
      </c>
      <c r="L1889" s="2260">
        <v>72</v>
      </c>
      <c r="M1889" s="2262" t="str">
        <f>IF(K1889="","",IF(K1889&gt;=L1889,"Yes",IF(K1889&lt;L1889,"No","")))</f>
        <v>Yes</v>
      </c>
      <c r="N1889" s="2260"/>
      <c r="O1889" s="2262" t="str">
        <f>IF(P1889="","",IF(P1889&gt;=L1889,"Yes",IF(P1889&lt;L1889,"No","")))</f>
        <v>No</v>
      </c>
      <c r="P1889" s="2603">
        <f>'Part IX A-Scoring Criteria'!P372</f>
        <v>0</v>
      </c>
      <c r="Q1889" s="515" t="s">
        <v>4119</v>
      </c>
      <c r="R1889" s="2443"/>
      <c r="S1889" s="2443"/>
    </row>
    <row r="1890" spans="1:19" ht="15">
      <c r="A1890" s="2079"/>
      <c r="B1890" s="2336" t="s">
        <v>267</v>
      </c>
      <c r="C1890" s="2079"/>
      <c r="D1890" s="2261"/>
      <c r="E1890" s="2261"/>
      <c r="F1890" s="2261"/>
      <c r="G1890" s="2261"/>
      <c r="H1890" s="515"/>
      <c r="I1890" s="515"/>
      <c r="J1890" s="515"/>
      <c r="K1890" s="515"/>
      <c r="L1890" s="2443"/>
      <c r="M1890" s="2080"/>
      <c r="N1890" s="2253"/>
      <c r="O1890" s="2439"/>
      <c r="P1890" s="2255"/>
      <c r="Q1890" s="2443"/>
      <c r="R1890" s="2443"/>
      <c r="S1890" s="2443"/>
    </row>
    <row r="1891" spans="1:19" ht="67.5">
      <c r="A1891" s="2374" t="str">
        <f>'Part IX A-Scoring Criteria'!A374</f>
        <v>All schools in this area meet or exceed the state average.</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2965</v>
      </c>
      <c r="B1895" s="2441" t="s">
        <v>2964</v>
      </c>
      <c r="C1895" s="2443"/>
      <c r="D1895" s="2472"/>
      <c r="E1895" s="2472"/>
      <c r="F1895" s="2472"/>
      <c r="G1895" s="2369" t="s">
        <v>4027</v>
      </c>
      <c r="H1895" s="2472"/>
      <c r="I1895" s="2443"/>
      <c r="J1895" s="2443"/>
      <c r="K1895" s="2443"/>
      <c r="L1895" s="2443"/>
      <c r="M1895" s="2258">
        <v>2</v>
      </c>
      <c r="N1895" s="2473"/>
      <c r="O1895" s="2439">
        <f>'Part IX A-Scoring Criteria'!O378</f>
        <v>0</v>
      </c>
      <c r="P1895" s="2439">
        <f>'Part IX A-Scoring Criteria'!P378</f>
        <v>0</v>
      </c>
      <c r="Q1895" s="2258" t="s">
        <v>456</v>
      </c>
      <c r="R1895" s="515" t="s">
        <v>2810</v>
      </c>
      <c r="S1895" s="2443"/>
    </row>
    <row r="1896" spans="1:19">
      <c r="A1896" s="500"/>
      <c r="B1896" s="500"/>
      <c r="C1896" s="500"/>
      <c r="D1896" s="500"/>
      <c r="E1896" s="500"/>
      <c r="F1896" s="500"/>
      <c r="G1896" s="500"/>
      <c r="H1896" s="500"/>
      <c r="I1896" s="500"/>
      <c r="J1896" s="500"/>
      <c r="K1896" s="500"/>
      <c r="L1896" s="500"/>
      <c r="M1896" s="500"/>
      <c r="N1896" s="500"/>
      <c r="O1896" s="500"/>
      <c r="P1896" s="500"/>
      <c r="Q1896" s="500"/>
      <c r="R1896" s="2604"/>
      <c r="S1896" s="500"/>
    </row>
    <row r="1897" spans="1:19">
      <c r="A1897" s="500"/>
      <c r="B1897" s="2289" t="s">
        <v>2058</v>
      </c>
      <c r="C1897" s="515" t="s">
        <v>4487</v>
      </c>
      <c r="D1897" s="500"/>
      <c r="E1897" s="500"/>
      <c r="F1897" s="500"/>
      <c r="G1897" s="500"/>
      <c r="H1897" s="500"/>
      <c r="I1897" s="500"/>
      <c r="J1897" s="500"/>
      <c r="K1897" s="500"/>
      <c r="L1897" s="500"/>
      <c r="M1897" s="2425">
        <v>2</v>
      </c>
      <c r="N1897" s="500"/>
      <c r="O1897" s="500"/>
      <c r="P1897" s="500"/>
      <c r="Q1897" s="500"/>
      <c r="R1897" s="2604"/>
      <c r="S1897" s="500"/>
    </row>
    <row r="1898" spans="1:19">
      <c r="A1898" s="500"/>
      <c r="B1898" s="2289" t="s">
        <v>2061</v>
      </c>
      <c r="C1898" s="515" t="s">
        <v>4488</v>
      </c>
      <c r="D1898" s="500"/>
      <c r="E1898" s="500"/>
      <c r="F1898" s="500"/>
      <c r="G1898" s="500"/>
      <c r="H1898" s="500"/>
      <c r="I1898" s="500"/>
      <c r="J1898" s="500"/>
      <c r="K1898" s="500"/>
      <c r="L1898" s="500"/>
      <c r="M1898" s="2425">
        <v>1</v>
      </c>
      <c r="N1898" s="500"/>
      <c r="O1898" s="500"/>
      <c r="P1898" s="500"/>
      <c r="Q1898" s="500"/>
      <c r="R1898" s="2604"/>
      <c r="S1898" s="500"/>
    </row>
    <row r="1899" spans="1:19">
      <c r="A1899" s="500"/>
      <c r="B1899" s="500"/>
      <c r="C1899" s="500"/>
      <c r="D1899" s="2368"/>
      <c r="E1899" s="2368"/>
      <c r="F1899" s="2368"/>
      <c r="G1899" s="2368"/>
      <c r="H1899" s="2368"/>
      <c r="I1899" s="2368"/>
      <c r="J1899" s="2368"/>
      <c r="K1899" s="2368"/>
      <c r="L1899" s="2368"/>
      <c r="M1899" s="2368"/>
      <c r="N1899" s="500"/>
      <c r="O1899" s="500"/>
      <c r="P1899" s="500"/>
      <c r="Q1899" s="500"/>
      <c r="R1899" s="2604"/>
      <c r="S1899" s="500"/>
    </row>
    <row r="1900" spans="1:19" ht="12.75" customHeight="1">
      <c r="A1900" s="500"/>
      <c r="B1900" s="2605" t="s">
        <v>4028</v>
      </c>
      <c r="C1900" s="2605"/>
      <c r="D1900" s="2447" t="s">
        <v>2966</v>
      </c>
      <c r="E1900" s="2433" t="s">
        <v>3628</v>
      </c>
      <c r="F1900" s="2433"/>
      <c r="G1900" s="2433"/>
      <c r="H1900" s="2433"/>
      <c r="I1900" s="2433"/>
      <c r="J1900" s="2433"/>
      <c r="K1900" s="2433"/>
      <c r="L1900" s="2433"/>
      <c r="M1900" s="2447" t="s">
        <v>1659</v>
      </c>
      <c r="N1900" s="2433" t="s">
        <v>2687</v>
      </c>
      <c r="O1900" s="2433"/>
      <c r="P1900" s="500"/>
      <c r="Q1900" s="500"/>
      <c r="R1900" s="500"/>
      <c r="S1900" s="500"/>
    </row>
    <row r="1901" spans="1:19" ht="12.75" customHeight="1">
      <c r="A1901" s="2373"/>
      <c r="B1901" s="2605"/>
      <c r="C1901" s="2605"/>
      <c r="D1901" s="2447" t="s">
        <v>1251</v>
      </c>
      <c r="E1901" s="2374" t="s">
        <v>2970</v>
      </c>
      <c r="F1901" s="2374"/>
      <c r="G1901" s="2374"/>
      <c r="H1901" s="2374"/>
      <c r="I1901" s="2374"/>
      <c r="J1901" s="2374"/>
      <c r="K1901" s="2374"/>
      <c r="L1901" s="2374"/>
      <c r="M1901" s="2447" t="s">
        <v>2701</v>
      </c>
      <c r="N1901" s="2433" t="s">
        <v>1326</v>
      </c>
      <c r="O1901" s="2433"/>
      <c r="P1901" s="500"/>
      <c r="Q1901" s="500"/>
      <c r="R1901" s="500"/>
      <c r="S1901" s="500"/>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0"/>
      <c r="Q1902" s="500"/>
      <c r="R1902" s="500"/>
      <c r="S1902" s="500"/>
    </row>
    <row r="1903" spans="1:19">
      <c r="A1903" s="2373"/>
      <c r="B1903" s="2373"/>
      <c r="C1903" s="500"/>
      <c r="D1903" s="500"/>
      <c r="E1903" s="500"/>
      <c r="F1903" s="500"/>
      <c r="G1903" s="500"/>
      <c r="H1903" s="500"/>
      <c r="I1903" s="2425" t="s">
        <v>3910</v>
      </c>
      <c r="J1903" s="2425" t="s">
        <v>3911</v>
      </c>
      <c r="K1903" s="2600"/>
      <c r="L1903" s="2600"/>
      <c r="M1903" s="2600"/>
      <c r="N1903" s="500"/>
      <c r="O1903" s="500"/>
      <c r="P1903" s="500"/>
      <c r="Q1903" s="500"/>
      <c r="R1903" s="2604"/>
      <c r="S1903" s="500"/>
    </row>
    <row r="1904" spans="1:19">
      <c r="A1904" s="500"/>
      <c r="B1904" s="500"/>
      <c r="C1904" s="2606" t="s">
        <v>4033</v>
      </c>
      <c r="D1904" s="2600"/>
      <c r="E1904" s="2600"/>
      <c r="F1904" s="2600"/>
      <c r="G1904" s="2600"/>
      <c r="H1904" s="2600"/>
      <c r="I1904" s="2600">
        <f>'Part IX A-Scoring Criteria'!I387</f>
        <v>0</v>
      </c>
      <c r="J1904" s="2600">
        <f>'Part IX A-Scoring Criteria'!J387</f>
        <v>0</v>
      </c>
      <c r="K1904" s="2605" t="str">
        <f>IF(J1905&lt;J1904,"Threshold not met!","")</f>
        <v/>
      </c>
      <c r="L1904" s="500" t="s">
        <v>2967</v>
      </c>
      <c r="M1904" s="2426" t="str">
        <f>'Part I-Project Information'!$F$28</f>
        <v>Kingsland</v>
      </c>
      <c r="N1904" s="2426"/>
      <c r="O1904" s="2426"/>
      <c r="P1904" s="2426"/>
      <c r="Q1904" s="500"/>
      <c r="R1904" s="500"/>
      <c r="S1904" s="500"/>
    </row>
    <row r="1905" spans="1:19" ht="13.5">
      <c r="A1905" s="2428"/>
      <c r="B1905" s="2428"/>
      <c r="C1905" s="2468" t="s">
        <v>4029</v>
      </c>
      <c r="D1905" s="500"/>
      <c r="E1905" s="500"/>
      <c r="F1905" s="500"/>
      <c r="G1905" s="500"/>
      <c r="H1905" s="2607" t="str">
        <f>IF(I1905&lt;I1904,"Threshold not met!","")</f>
        <v/>
      </c>
      <c r="I1905" s="2600">
        <f>'Part IX A-Scoring Criteria'!I388</f>
        <v>0</v>
      </c>
      <c r="J1905" s="2600">
        <f>'Part IX A-Scoring Criteria'!J388</f>
        <v>0</v>
      </c>
      <c r="K1905" s="2605"/>
      <c r="L1905" s="2426" t="s">
        <v>2968</v>
      </c>
      <c r="M1905" s="2426" t="str">
        <f>'Part I-Project Information'!$J$29</f>
        <v>Camden</v>
      </c>
      <c r="N1905" s="2426"/>
      <c r="O1905" s="2426"/>
      <c r="P1905" s="2426"/>
      <c r="Q1905" s="500"/>
      <c r="R1905" s="500"/>
      <c r="S1905" s="500"/>
    </row>
    <row r="1906" spans="1:19" ht="13.5">
      <c r="A1906" s="2428"/>
      <c r="B1906" s="2428"/>
      <c r="C1906" s="2468" t="s">
        <v>4166</v>
      </c>
      <c r="D1906" s="500"/>
      <c r="E1906" s="500"/>
      <c r="F1906" s="500"/>
      <c r="G1906" s="500"/>
      <c r="H1906" s="500"/>
      <c r="I1906" s="2600">
        <f>'Part IX A-Scoring Criteria'!I389</f>
        <v>0</v>
      </c>
      <c r="J1906" s="2600">
        <f>'Part IX A-Scoring Criteria'!J389</f>
        <v>0</v>
      </c>
      <c r="K1906" s="500"/>
      <c r="L1906" s="2468" t="s">
        <v>2969</v>
      </c>
      <c r="M1906" s="2426" t="str">
        <f>'Part I-Project Information'!$O$30</f>
        <v>Camden Co.</v>
      </c>
      <c r="N1906" s="2426"/>
      <c r="O1906" s="2426"/>
      <c r="P1906" s="2426"/>
      <c r="Q1906" s="500"/>
      <c r="R1906" s="500"/>
      <c r="S1906" s="500"/>
    </row>
    <row r="1907" spans="1:19">
      <c r="A1907" s="500"/>
      <c r="B1907" s="500"/>
      <c r="C1907" s="500"/>
      <c r="D1907" s="500"/>
      <c r="E1907" s="500"/>
      <c r="F1907" s="500"/>
      <c r="G1907" s="500"/>
      <c r="H1907" s="500"/>
      <c r="I1907" s="500"/>
      <c r="J1907" s="500"/>
      <c r="K1907" s="500"/>
      <c r="L1907" s="2468" t="s">
        <v>3052</v>
      </c>
      <c r="M1907" s="2426" t="str">
        <f>VLOOKUP('Part I-Project Information'!$J$29,'DCA Underwriting Assumptions'!$G$141:$J$300,4)</f>
        <v>Non-MSA</v>
      </c>
      <c r="N1907" s="2426"/>
      <c r="O1907" s="2426"/>
      <c r="P1907" s="2426"/>
      <c r="Q1907" s="500"/>
      <c r="R1907" s="500"/>
      <c r="S1907" s="500"/>
    </row>
    <row r="1908" spans="1:19">
      <c r="A1908" s="500"/>
      <c r="B1908" s="500"/>
      <c r="C1908" s="2468" t="s">
        <v>4167</v>
      </c>
      <c r="D1908" s="500"/>
      <c r="E1908" s="500"/>
      <c r="F1908" s="500"/>
      <c r="G1908" s="500"/>
      <c r="H1908" s="500"/>
      <c r="I1908" s="2467">
        <f>IF(I1905=0,0,I1906/I1905)</f>
        <v>0</v>
      </c>
      <c r="J1908" s="2527">
        <f>IF(J1905=0,0,J1906/J1905)</f>
        <v>0</v>
      </c>
      <c r="K1908" s="500"/>
      <c r="L1908" s="500" t="s">
        <v>4030</v>
      </c>
      <c r="M1908" s="2426" t="str">
        <f>'Part I-Project Information'!$K$30</f>
        <v>Rural</v>
      </c>
      <c r="N1908" s="2426"/>
      <c r="O1908" s="2426"/>
      <c r="P1908" s="2426"/>
      <c r="Q1908" s="500"/>
      <c r="R1908" s="500"/>
      <c r="S1908" s="500"/>
    </row>
    <row r="1909" spans="1:19">
      <c r="A1909" s="2373"/>
      <c r="B1909" s="2468"/>
      <c r="C1909" s="2468"/>
      <c r="D1909" s="2425"/>
      <c r="E1909" s="2425"/>
      <c r="F1909" s="2373"/>
      <c r="G1909" s="2373"/>
      <c r="H1909" s="2373"/>
      <c r="I1909" s="2373"/>
      <c r="J1909" s="2373"/>
      <c r="K1909" s="2373"/>
      <c r="L1909" s="500"/>
      <c r="M1909" s="500"/>
      <c r="N1909" s="500"/>
      <c r="O1909" s="500"/>
      <c r="P1909" s="500"/>
      <c r="Q1909" s="500"/>
      <c r="R1909" s="2604"/>
      <c r="S1909" s="500"/>
    </row>
    <row r="1910" spans="1:19" ht="15">
      <c r="A1910" s="2079"/>
      <c r="B1910" s="2336" t="s">
        <v>267</v>
      </c>
      <c r="C1910" s="2079"/>
      <c r="D1910" s="2261"/>
      <c r="E1910" s="2261"/>
      <c r="F1910" s="2261"/>
      <c r="G1910" s="2261"/>
      <c r="H1910" s="515"/>
      <c r="I1910" s="515"/>
      <c r="J1910" s="515"/>
      <c r="K1910" s="515"/>
      <c r="L1910" s="2443"/>
      <c r="M1910" s="2080"/>
      <c r="N1910" s="2253"/>
      <c r="O1910" s="2439"/>
      <c r="P1910" s="2255"/>
      <c r="Q1910" s="2443"/>
      <c r="R1910" s="2443"/>
      <c r="S1910" s="2443"/>
    </row>
    <row r="1911" spans="1:19" ht="56.25">
      <c r="A1911" s="2374" t="str">
        <f>'Part IX A-Scoring Criteria'!A394</f>
        <v>This does not meet the minimum jobs threshold.</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2963</v>
      </c>
      <c r="B1915" s="2441" t="s">
        <v>1737</v>
      </c>
      <c r="C1915" s="2458"/>
      <c r="D1915" s="2452"/>
      <c r="E1915" s="2452"/>
      <c r="F1915" s="515"/>
      <c r="G1915" s="515"/>
      <c r="H1915" s="2458"/>
      <c r="I1915" s="515"/>
      <c r="J1915" s="515"/>
      <c r="K1915" s="515"/>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5"/>
      <c r="G1916" s="515"/>
      <c r="H1916" s="2458"/>
      <c r="I1916" s="515"/>
      <c r="J1916" s="515"/>
      <c r="K1916" s="515"/>
      <c r="L1916" s="2453"/>
      <c r="M1916" s="2258"/>
      <c r="N1916" s="2080"/>
      <c r="O1916" s="2080"/>
      <c r="P1916" s="2080"/>
      <c r="Q1916" s="2258"/>
      <c r="R1916" s="2458"/>
      <c r="S1916" s="2458"/>
    </row>
    <row r="1917" spans="1:19" ht="15">
      <c r="A1917" s="2547"/>
      <c r="B1917" s="2368" t="s">
        <v>4091</v>
      </c>
      <c r="C1917" s="2458"/>
      <c r="D1917" s="2452"/>
      <c r="E1917" s="2452"/>
      <c r="F1917" s="515"/>
      <c r="G1917" s="515"/>
      <c r="H1917" s="2458"/>
      <c r="I1917" s="515"/>
      <c r="J1917" s="515"/>
      <c r="K1917" s="515"/>
      <c r="L1917" s="2453"/>
      <c r="M1917" s="2258"/>
      <c r="N1917" s="2080"/>
      <c r="O1917" s="2439">
        <v>10</v>
      </c>
      <c r="P1917" s="2439">
        <v>10</v>
      </c>
      <c r="Q1917" s="2258"/>
      <c r="R1917" s="2458"/>
      <c r="S1917" s="2458"/>
    </row>
    <row r="1918" spans="1:19" ht="15">
      <c r="A1918" s="2547"/>
      <c r="B1918" s="2368" t="s">
        <v>4092</v>
      </c>
      <c r="C1918" s="2458"/>
      <c r="D1918" s="2452"/>
      <c r="E1918" s="2452"/>
      <c r="F1918" s="515"/>
      <c r="G1918" s="515"/>
      <c r="H1918" s="2458"/>
      <c r="I1918" s="515"/>
      <c r="J1918" s="515"/>
      <c r="K1918" s="515"/>
      <c r="L1918" s="2453"/>
      <c r="M1918" s="2258"/>
      <c r="N1918" s="2080"/>
      <c r="O1918" s="2439">
        <f>'Part IX A-Scoring Criteria'!O401</f>
        <v>0</v>
      </c>
      <c r="P1918" s="2439">
        <f>'Part IX A-Scoring Criteria'!P401</f>
        <v>0</v>
      </c>
      <c r="Q1918" s="2258"/>
      <c r="R1918" s="2458"/>
      <c r="S1918" s="2458"/>
    </row>
    <row r="1919" spans="1:19" ht="15">
      <c r="A1919" s="2547"/>
      <c r="B1919" s="2368" t="s">
        <v>4093</v>
      </c>
      <c r="C1919" s="2458"/>
      <c r="D1919" s="2452"/>
      <c r="E1919" s="2452"/>
      <c r="F1919" s="515"/>
      <c r="G1919" s="515"/>
      <c r="H1919" s="2458"/>
      <c r="I1919" s="515"/>
      <c r="J1919" s="515"/>
      <c r="K1919" s="515"/>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5"/>
      <c r="G1920" s="515"/>
      <c r="H1920" s="2458"/>
      <c r="I1920" s="515"/>
      <c r="J1920" s="515"/>
      <c r="K1920" s="515"/>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10</v>
      </c>
      <c r="P1921" s="2439">
        <f>'Part IX A-Scoring Criteria'!P404</f>
        <v>0</v>
      </c>
      <c r="Q1921" s="2074" t="s">
        <v>2810</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4156</v>
      </c>
      <c r="M1924" s="2377"/>
      <c r="N1924" s="2471"/>
      <c r="O1924" s="2608">
        <f>'Part IX A-Scoring Criteria'!O408</f>
        <v>60</v>
      </c>
      <c r="P1924" s="2608">
        <f>'Part IX A-Scoring Criteria'!P408</f>
        <v>22</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60</v>
      </c>
      <c r="P1925" s="2610">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3057</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3058</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3059</v>
      </c>
      <c r="J1928" s="2377"/>
      <c r="K1928" s="2377"/>
      <c r="L1928" s="2377"/>
      <c r="M1928" s="2377"/>
      <c r="N1928" s="2471"/>
      <c r="O1928" s="2446"/>
      <c r="P1928" s="2525">
        <f>P1847</f>
        <v>0</v>
      </c>
      <c r="Q1928" s="2443"/>
      <c r="R1928" s="2443"/>
      <c r="S1928" s="2443"/>
    </row>
    <row r="1929" spans="1:19" ht="15">
      <c r="A1929" s="2079"/>
      <c r="B1929" s="2443"/>
      <c r="C1929" s="2443"/>
      <c r="D1929" s="515"/>
      <c r="E1929" s="515"/>
      <c r="F1929" s="2258"/>
      <c r="G1929" s="2258"/>
      <c r="H1929" s="2078" t="s">
        <v>3060</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4138</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15.75">
      <c r="A1932" s="2374">
        <f>'Part IX A-Scoring Criteria'!A415</f>
        <v>0</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4168</v>
      </c>
      <c r="B1936" s="542"/>
      <c r="C1936" s="542"/>
      <c r="D1936" s="542"/>
      <c r="E1936" s="542"/>
      <c r="F1936" s="542"/>
    </row>
    <row r="1937" spans="1:6" ht="16.5">
      <c r="A1937" s="2614" t="str">
        <f>'Part I-Project Information'!$F$24</f>
        <v>The Preserve at Newport</v>
      </c>
      <c r="B1937" s="2508"/>
      <c r="C1937" s="2508"/>
      <c r="D1937" s="2508"/>
      <c r="E1937" s="2508"/>
      <c r="F1937" s="2508"/>
    </row>
    <row r="1938" spans="1:6" ht="16.5">
      <c r="A1938" s="2614" t="str">
        <f>CONCATENATE('Part I-Project Information'!$F$28,", ", 'Part I-Project Information'!$J$29," County")</f>
        <v>Kingsland, Camden County</v>
      </c>
      <c r="B1938" s="2508"/>
      <c r="C1938" s="2508"/>
      <c r="D1938" s="2508"/>
      <c r="E1938" s="2508"/>
      <c r="F1938" s="2508"/>
    </row>
    <row r="1939" spans="1:6">
      <c r="A1939" s="542"/>
      <c r="B1939" s="542"/>
      <c r="C1939" s="542"/>
      <c r="D1939" s="542"/>
      <c r="E1939" s="542"/>
      <c r="F1939" s="542"/>
    </row>
    <row r="1940" spans="1:6" ht="12.75" customHeight="1">
      <c r="A1940" s="2615" t="str">
        <f>'Pt IX B-GICH Project Narrative'!A5</f>
        <v>&lt;&lt; Enter paragraph(s) here. Press and hold Alt-Enter to start new paragraphs. &gt;&gt;</v>
      </c>
      <c r="B1940" s="2616" t="s">
        <v>2793</v>
      </c>
      <c r="C1940" s="2617"/>
      <c r="D1940" s="2617"/>
      <c r="E1940" s="2617"/>
      <c r="F1940" s="2617"/>
    </row>
    <row r="1941" spans="1:6">
      <c r="A1941" s="2615"/>
      <c r="B1941" s="2616"/>
      <c r="C1941" s="2617"/>
      <c r="D1941" s="2617"/>
      <c r="E1941" s="2617"/>
      <c r="F1941" s="2617"/>
    </row>
    <row r="1942" spans="1:6">
      <c r="A1942" s="2615"/>
      <c r="B1942" s="542"/>
      <c r="C1942" s="2618"/>
      <c r="D1942" s="542"/>
      <c r="E1942" s="542"/>
      <c r="F1942" s="542"/>
    </row>
    <row r="1943" spans="1:6">
      <c r="A1943" s="2615"/>
      <c r="B1943" s="542"/>
      <c r="C1943" s="542"/>
      <c r="D1943" s="542"/>
      <c r="E1943" s="542"/>
      <c r="F1943" s="542"/>
    </row>
    <row r="1944" spans="1:6">
      <c r="A1944" s="2615"/>
      <c r="B1944" s="542"/>
      <c r="C1944" s="542"/>
      <c r="D1944" s="542"/>
      <c r="E1944" s="542"/>
      <c r="F1944" s="542"/>
    </row>
    <row r="1945" spans="1:6" ht="12.75" customHeight="1">
      <c r="A1945" s="2615"/>
      <c r="B1945" s="542"/>
      <c r="C1945" s="542"/>
      <c r="D1945" s="542"/>
      <c r="E1945" s="542"/>
      <c r="F1945" s="542"/>
    </row>
    <row r="1946" spans="1:6">
      <c r="A1946" s="2615"/>
      <c r="B1946" s="542"/>
      <c r="C1946" s="542"/>
      <c r="D1946" s="542"/>
      <c r="E1946" s="542"/>
      <c r="F1946" s="542"/>
    </row>
    <row r="1947" spans="1:6">
      <c r="A1947" s="2615"/>
      <c r="B1947" s="542"/>
      <c r="C1947" s="542"/>
      <c r="D1947" s="542"/>
      <c r="E1947" s="542"/>
      <c r="F1947" s="542"/>
    </row>
    <row r="1948" spans="1:6">
      <c r="A1948" s="2615"/>
      <c r="B1948" s="542"/>
      <c r="C1948" s="542"/>
      <c r="D1948" s="542"/>
      <c r="E1948" s="542"/>
      <c r="F1948" s="542"/>
    </row>
    <row r="1949" spans="1:6">
      <c r="A1949" s="2615"/>
      <c r="B1949" s="542"/>
      <c r="C1949" s="542"/>
      <c r="D1949" s="542"/>
      <c r="E1949" s="542"/>
      <c r="F1949" s="542"/>
    </row>
    <row r="1950" spans="1:6">
      <c r="A1950" s="2615"/>
      <c r="B1950" s="542"/>
      <c r="C1950" s="542"/>
      <c r="D1950" s="542"/>
      <c r="E1950" s="542"/>
      <c r="F1950" s="542"/>
    </row>
    <row r="1951" spans="1:6">
      <c r="A1951" s="2615"/>
      <c r="B1951" s="542"/>
      <c r="C1951" s="542"/>
      <c r="D1951" s="542"/>
      <c r="E1951" s="542"/>
      <c r="F1951" s="542"/>
    </row>
    <row r="1952" spans="1:6">
      <c r="A1952" s="2615"/>
      <c r="B1952" s="542"/>
      <c r="C1952" s="542"/>
      <c r="D1952" s="542"/>
      <c r="E1952" s="542"/>
      <c r="F1952" s="542"/>
    </row>
    <row r="1953" spans="1:6">
      <c r="A1953" s="2615"/>
      <c r="B1953" s="542"/>
      <c r="C1953" s="542"/>
      <c r="D1953" s="542"/>
      <c r="E1953" s="542"/>
      <c r="F1953" s="542"/>
    </row>
    <row r="1954" spans="1:6">
      <c r="A1954" s="2615"/>
      <c r="B1954" s="542"/>
      <c r="C1954" s="542"/>
      <c r="D1954" s="542"/>
      <c r="E1954" s="542"/>
      <c r="F1954" s="542"/>
    </row>
    <row r="1955" spans="1:6">
      <c r="A1955" s="2615"/>
      <c r="B1955" s="542"/>
      <c r="C1955" s="542"/>
      <c r="D1955" s="542"/>
      <c r="E1955" s="542"/>
      <c r="F1955" s="542"/>
    </row>
    <row r="1956" spans="1:6">
      <c r="A1956" s="2615"/>
      <c r="B1956" s="542"/>
      <c r="C1956" s="542"/>
      <c r="D1956" s="542"/>
      <c r="E1956" s="542"/>
      <c r="F1956" s="542"/>
    </row>
    <row r="1957" spans="1:6">
      <c r="A1957" s="2615"/>
      <c r="B1957" s="542"/>
      <c r="C1957" s="542"/>
      <c r="D1957" s="542"/>
      <c r="E1957" s="542"/>
      <c r="F1957" s="542"/>
    </row>
    <row r="1958" spans="1:6">
      <c r="A1958" s="2615"/>
      <c r="B1958" s="542"/>
      <c r="C1958" s="542"/>
      <c r="D1958" s="542"/>
      <c r="E1958" s="542"/>
      <c r="F1958" s="542"/>
    </row>
    <row r="1963" spans="1:6" ht="15.75">
      <c r="A1963" s="2182" t="s">
        <v>3765</v>
      </c>
    </row>
    <row r="1964" spans="1:6" ht="16.5">
      <c r="A1964" s="2619" t="str">
        <f>'Part I-Project Information'!$F$24</f>
        <v>The Preserve at Newport</v>
      </c>
    </row>
    <row r="1965" spans="1:6" ht="16.5">
      <c r="A1965" s="2619" t="str">
        <f>CONCATENATE('Part I-Project Information'!$F$28,", ", 'Part I-Project Information'!$J$29," County")</f>
        <v>Kingsland, Camden County</v>
      </c>
    </row>
    <row r="1966" spans="1:6" ht="16.5">
      <c r="A1966" s="2620"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1vVEFTHr5B9Hx5SHR7uxPdFtjU/gFjDP4SU+KOMcw0tRYo/wjAfvQ9vdq6XcNr5c3UKPmb0MYHKSDRbF1tCZEg==" saltValue="Rt0hdOH8dLQwBg33gMfqQ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Id="1" sqref="E142:H142 A1:XFD1048576"/>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7" t="str">
        <f>CONCATENATE("PART TWO - DEVELOPMENT TEAM INFORMATION","  -  ",'Part I-Project Information'!$O$4," ",'Part I-Project Information'!$F$24,", ",'Part I-Project Information'!F28,", ",'Part I-Project Information'!J29," County")</f>
        <v>PART TWO - DEVELOPMENT TEAM INFORMATION  -  2016-010 The Preserve at Newport, Kingsland, Camden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68" t="s">
        <v>4200</v>
      </c>
      <c r="F2" s="1373"/>
      <c r="G2" s="1373"/>
      <c r="H2" s="1373"/>
      <c r="I2" s="1373"/>
      <c r="J2" s="1373"/>
      <c r="K2" s="1373"/>
      <c r="L2" s="1373"/>
      <c r="M2" s="1373"/>
      <c r="N2" s="1373"/>
      <c r="O2" s="1373"/>
      <c r="P2" s="1373"/>
      <c r="Q2" s="1373"/>
      <c r="R2" s="1373"/>
      <c r="S2" s="1373"/>
    </row>
    <row r="3" spans="1:26" s="325" customFormat="1" ht="13.15" customHeight="1" thickBot="1">
      <c r="A3" s="327" t="s">
        <v>640</v>
      </c>
      <c r="B3" s="331" t="s">
        <v>1928</v>
      </c>
      <c r="C3" s="331"/>
      <c r="E3" s="331"/>
      <c r="F3" s="331"/>
      <c r="G3" s="331"/>
      <c r="J3" s="1464" t="s">
        <v>4199</v>
      </c>
      <c r="K3" s="1465"/>
      <c r="L3" s="1466"/>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49" t="s">
        <v>4228</v>
      </c>
      <c r="I5" s="2759"/>
      <c r="J5" s="2759"/>
      <c r="K5" s="2759"/>
      <c r="L5" s="2759"/>
      <c r="M5" s="2759"/>
      <c r="N5" s="2760"/>
      <c r="O5" s="1386" t="s">
        <v>2065</v>
      </c>
      <c r="P5" s="1386"/>
      <c r="Q5" s="2649" t="s">
        <v>4229</v>
      </c>
      <c r="R5" s="2759"/>
      <c r="S5" s="2760"/>
    </row>
    <row r="6" spans="1:26" s="325" customFormat="1" ht="11.25" customHeight="1">
      <c r="D6" s="368"/>
      <c r="E6" s="330" t="s">
        <v>1058</v>
      </c>
      <c r="F6" s="338"/>
      <c r="H6" s="2649" t="s">
        <v>4205</v>
      </c>
      <c r="I6" s="2759"/>
      <c r="J6" s="2759"/>
      <c r="K6" s="2759"/>
      <c r="L6" s="2759"/>
      <c r="M6" s="2759"/>
      <c r="N6" s="2760"/>
      <c r="O6" s="1386" t="s">
        <v>1813</v>
      </c>
      <c r="Q6" s="2649" t="s">
        <v>4230</v>
      </c>
      <c r="R6" s="2759"/>
      <c r="S6" s="2760"/>
    </row>
    <row r="7" spans="1:26" s="325" customFormat="1" ht="11.25" customHeight="1">
      <c r="D7" s="368"/>
      <c r="E7" s="330" t="s">
        <v>642</v>
      </c>
      <c r="H7" s="2649" t="s">
        <v>4206</v>
      </c>
      <c r="I7" s="2759"/>
      <c r="J7" s="2760"/>
      <c r="K7" s="2761" t="s">
        <v>793</v>
      </c>
      <c r="L7" s="2649" t="s">
        <v>4231</v>
      </c>
      <c r="M7" s="2759"/>
      <c r="N7" s="2760"/>
      <c r="O7" s="1386" t="s">
        <v>1869</v>
      </c>
      <c r="Q7" s="2762">
        <v>2569976659</v>
      </c>
      <c r="R7" s="2763"/>
      <c r="S7" s="2764"/>
    </row>
    <row r="8" spans="1:26" s="325" customFormat="1" ht="11.25" customHeight="1">
      <c r="D8" s="368"/>
      <c r="E8" s="330" t="s">
        <v>1865</v>
      </c>
      <c r="H8" s="2765" t="s">
        <v>870</v>
      </c>
      <c r="I8" s="1391" t="s">
        <v>2308</v>
      </c>
      <c r="J8" s="2766">
        <v>359713484</v>
      </c>
      <c r="K8" s="2760"/>
      <c r="L8" s="325" t="s">
        <v>4137</v>
      </c>
      <c r="M8" s="2767" t="s">
        <v>4232</v>
      </c>
      <c r="N8" s="2768"/>
      <c r="O8" s="1386" t="s">
        <v>2054</v>
      </c>
      <c r="Q8" s="2762">
        <v>2569976659</v>
      </c>
      <c r="R8" s="2763"/>
      <c r="S8" s="2764"/>
    </row>
    <row r="9" spans="1:26" s="325" customFormat="1" ht="11.25" customHeight="1">
      <c r="D9" s="368"/>
      <c r="E9" s="330" t="s">
        <v>2060</v>
      </c>
      <c r="H9" s="2762">
        <v>2564174920</v>
      </c>
      <c r="I9" s="2764"/>
      <c r="J9" s="2769">
        <v>295</v>
      </c>
      <c r="K9" s="1400" t="s">
        <v>2059</v>
      </c>
      <c r="L9" s="2646" t="s">
        <v>4233</v>
      </c>
      <c r="M9" s="2647"/>
      <c r="N9" s="2647"/>
      <c r="O9" s="2647"/>
      <c r="P9" s="2647"/>
      <c r="Q9" s="2647"/>
      <c r="R9" s="2647"/>
      <c r="S9" s="2648"/>
    </row>
    <row r="10" spans="1:26" s="325" customFormat="1" ht="11.25" customHeight="1">
      <c r="D10" s="368"/>
      <c r="E10" s="318" t="s">
        <v>2847</v>
      </c>
      <c r="H10" s="362"/>
      <c r="K10" s="297"/>
      <c r="N10" s="401" t="s">
        <v>3850</v>
      </c>
      <c r="Q10" s="1400"/>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70" t="s">
        <v>1331</v>
      </c>
      <c r="W12" s="2770"/>
      <c r="X12" s="2770"/>
      <c r="Y12" s="2770"/>
      <c r="Z12" s="2770"/>
    </row>
    <row r="13" spans="1:26" s="325" customFormat="1" ht="11.25" customHeight="1">
      <c r="C13" s="370" t="s">
        <v>2062</v>
      </c>
      <c r="D13" s="367" t="s">
        <v>2063</v>
      </c>
      <c r="H13" s="1396"/>
      <c r="I13" s="1396"/>
      <c r="J13" s="1396"/>
      <c r="N13" s="1380"/>
      <c r="W13" s="2771"/>
      <c r="X13" s="2771"/>
      <c r="Y13" s="2771"/>
      <c r="Z13" s="2771"/>
    </row>
    <row r="14" spans="1:26" s="325" customFormat="1" ht="11.25" customHeight="1">
      <c r="D14" s="327" t="s">
        <v>2194</v>
      </c>
      <c r="E14" s="325" t="s">
        <v>1926</v>
      </c>
      <c r="H14" s="2631" t="s">
        <v>4234</v>
      </c>
      <c r="I14" s="2692"/>
      <c r="J14" s="2692"/>
      <c r="K14" s="2692"/>
      <c r="L14" s="2692"/>
      <c r="M14" s="2692"/>
      <c r="N14" s="2693"/>
      <c r="O14" s="1386" t="s">
        <v>2065</v>
      </c>
      <c r="P14" s="1386"/>
      <c r="Q14" s="2631" t="s">
        <v>4229</v>
      </c>
      <c r="R14" s="2692"/>
      <c r="S14" s="2693"/>
    </row>
    <row r="15" spans="1:26" s="325" customFormat="1" ht="11.25" customHeight="1">
      <c r="D15" s="368"/>
      <c r="E15" s="330" t="s">
        <v>1058</v>
      </c>
      <c r="F15" s="338"/>
      <c r="H15" s="2631" t="s">
        <v>4205</v>
      </c>
      <c r="I15" s="2692"/>
      <c r="J15" s="2692"/>
      <c r="K15" s="2692"/>
      <c r="L15" s="2692"/>
      <c r="M15" s="2692"/>
      <c r="N15" s="2693"/>
      <c r="O15" s="1386" t="s">
        <v>1813</v>
      </c>
      <c r="Q15" s="2631" t="s">
        <v>4235</v>
      </c>
      <c r="R15" s="2692"/>
      <c r="S15" s="2693"/>
    </row>
    <row r="16" spans="1:26" s="325" customFormat="1" ht="11.25" customHeight="1">
      <c r="D16" s="368"/>
      <c r="E16" s="330" t="s">
        <v>642</v>
      </c>
      <c r="H16" s="2631" t="s">
        <v>4206</v>
      </c>
      <c r="I16" s="2692"/>
      <c r="J16" s="2693"/>
      <c r="K16" s="1390" t="s">
        <v>2808</v>
      </c>
      <c r="L16" s="2631" t="s">
        <v>1006</v>
      </c>
      <c r="M16" s="2692"/>
      <c r="N16" s="2693"/>
      <c r="O16" s="1386" t="s">
        <v>1869</v>
      </c>
      <c r="Q16" s="2639">
        <v>2569976659</v>
      </c>
      <c r="R16" s="2644"/>
      <c r="S16" s="2640"/>
    </row>
    <row r="17" spans="3:19" s="325" customFormat="1" ht="11.25" customHeight="1">
      <c r="D17" s="327"/>
      <c r="E17" s="330" t="s">
        <v>1865</v>
      </c>
      <c r="H17" s="2645" t="s">
        <v>870</v>
      </c>
      <c r="K17" s="1391" t="s">
        <v>2308</v>
      </c>
      <c r="L17" s="2642">
        <v>359713484</v>
      </c>
      <c r="M17" s="2693"/>
      <c r="O17" s="1386" t="s">
        <v>2054</v>
      </c>
      <c r="Q17" s="2639">
        <v>2569976659</v>
      </c>
      <c r="R17" s="2644"/>
      <c r="S17" s="2640"/>
    </row>
    <row r="18" spans="3:19" s="325" customFormat="1" ht="11.25" customHeight="1">
      <c r="D18" s="368"/>
      <c r="E18" s="330" t="s">
        <v>2060</v>
      </c>
      <c r="H18" s="2639">
        <v>2564174920</v>
      </c>
      <c r="I18" s="2640"/>
      <c r="J18" s="2772">
        <v>295</v>
      </c>
      <c r="K18" s="1400" t="s">
        <v>2059</v>
      </c>
      <c r="L18" s="2646" t="s">
        <v>4233</v>
      </c>
      <c r="M18" s="2647"/>
      <c r="N18" s="2647"/>
      <c r="O18" s="2647"/>
      <c r="P18" s="2647"/>
      <c r="Q18" s="2647"/>
      <c r="R18" s="2647"/>
      <c r="S18" s="2648"/>
    </row>
    <row r="19" spans="3:19" ht="4.1500000000000004" customHeight="1">
      <c r="D19" s="353"/>
      <c r="H19" s="2773"/>
      <c r="I19" s="2773"/>
      <c r="J19" s="2773"/>
      <c r="K19" s="1400"/>
      <c r="L19" s="2773"/>
      <c r="M19" s="2773"/>
      <c r="N19" s="1388"/>
      <c r="O19" s="1381"/>
      <c r="P19" s="1381"/>
      <c r="Q19" s="1400"/>
      <c r="R19" s="1381"/>
      <c r="S19" s="1381"/>
    </row>
    <row r="20" spans="3:19" s="325" customFormat="1" ht="11.25" customHeight="1">
      <c r="D20" s="327" t="s">
        <v>2195</v>
      </c>
      <c r="E20" s="325" t="s">
        <v>1927</v>
      </c>
      <c r="F20" s="1396"/>
      <c r="H20" s="2631"/>
      <c r="I20" s="2692"/>
      <c r="J20" s="2692"/>
      <c r="K20" s="2692"/>
      <c r="L20" s="2692"/>
      <c r="M20" s="2692"/>
      <c r="N20" s="2693"/>
      <c r="O20" s="1386" t="s">
        <v>2065</v>
      </c>
      <c r="P20" s="1386"/>
      <c r="Q20" s="2631"/>
      <c r="R20" s="2692"/>
      <c r="S20" s="2693"/>
    </row>
    <row r="21" spans="3:19" s="325" customFormat="1" ht="11.25" customHeight="1">
      <c r="D21" s="368"/>
      <c r="E21" s="330" t="s">
        <v>1058</v>
      </c>
      <c r="F21" s="338"/>
      <c r="H21" s="2631"/>
      <c r="I21" s="2692"/>
      <c r="J21" s="2692"/>
      <c r="K21" s="2692"/>
      <c r="L21" s="2692"/>
      <c r="M21" s="2692"/>
      <c r="N21" s="2693"/>
      <c r="O21" s="1386" t="s">
        <v>1813</v>
      </c>
      <c r="Q21" s="2631"/>
      <c r="R21" s="2692"/>
      <c r="S21" s="2693"/>
    </row>
    <row r="22" spans="3:19" s="325" customFormat="1" ht="11.25" customHeight="1">
      <c r="D22" s="368"/>
      <c r="E22" s="330" t="s">
        <v>642</v>
      </c>
      <c r="H22" s="2631"/>
      <c r="I22" s="2692"/>
      <c r="J22" s="2693"/>
      <c r="K22" s="1390" t="s">
        <v>2808</v>
      </c>
      <c r="L22" s="2631"/>
      <c r="M22" s="2692"/>
      <c r="N22" s="2693"/>
      <c r="O22" s="1386" t="s">
        <v>1869</v>
      </c>
      <c r="Q22" s="2639"/>
      <c r="R22" s="2644"/>
      <c r="S22" s="2640"/>
    </row>
    <row r="23" spans="3:19" s="325" customFormat="1" ht="11.25" customHeight="1">
      <c r="E23" s="330" t="s">
        <v>1865</v>
      </c>
      <c r="H23" s="2645"/>
      <c r="K23" s="1391" t="s">
        <v>2308</v>
      </c>
      <c r="L23" s="2642"/>
      <c r="M23" s="2693"/>
      <c r="O23" s="1386" t="s">
        <v>2054</v>
      </c>
      <c r="Q23" s="2639"/>
      <c r="R23" s="2644"/>
      <c r="S23" s="2640"/>
    </row>
    <row r="24" spans="3:19" s="325" customFormat="1" ht="11.25" customHeight="1">
      <c r="D24" s="368"/>
      <c r="E24" s="330" t="s">
        <v>2060</v>
      </c>
      <c r="H24" s="2639"/>
      <c r="I24" s="2640"/>
      <c r="J24" s="2772"/>
      <c r="K24" s="1400" t="s">
        <v>2059</v>
      </c>
      <c r="L24" s="2646"/>
      <c r="M24" s="2647"/>
      <c r="N24" s="2647"/>
      <c r="O24" s="2647"/>
      <c r="P24" s="2647"/>
      <c r="Q24" s="2647"/>
      <c r="R24" s="2647"/>
      <c r="S24" s="2648"/>
    </row>
    <row r="25" spans="3:19" s="325" customFormat="1" ht="4.1500000000000004" customHeight="1">
      <c r="D25" s="368"/>
      <c r="E25" s="1396"/>
      <c r="F25" s="1396"/>
      <c r="G25" s="1386"/>
      <c r="H25" s="2773"/>
      <c r="I25" s="2773"/>
      <c r="J25" s="2773"/>
      <c r="K25" s="1400"/>
      <c r="L25" s="2773"/>
      <c r="M25" s="2773"/>
      <c r="N25" s="1388"/>
      <c r="O25" s="1381"/>
      <c r="P25" s="1381"/>
      <c r="Q25" s="1400"/>
      <c r="R25" s="1381"/>
      <c r="S25" s="1381"/>
    </row>
    <row r="26" spans="3:19" s="325" customFormat="1" ht="11.25" customHeight="1">
      <c r="D26" s="327" t="s">
        <v>1800</v>
      </c>
      <c r="E26" s="325" t="s">
        <v>1927</v>
      </c>
      <c r="F26" s="1396"/>
      <c r="H26" s="2631"/>
      <c r="I26" s="2692"/>
      <c r="J26" s="2692"/>
      <c r="K26" s="2692"/>
      <c r="L26" s="2692"/>
      <c r="M26" s="2692"/>
      <c r="N26" s="2693"/>
      <c r="O26" s="1386" t="s">
        <v>2065</v>
      </c>
      <c r="P26" s="1386"/>
      <c r="Q26" s="2631"/>
      <c r="R26" s="2692"/>
      <c r="S26" s="2693"/>
    </row>
    <row r="27" spans="3:19" s="325" customFormat="1" ht="11.25" customHeight="1">
      <c r="D27" s="368"/>
      <c r="E27" s="330" t="s">
        <v>1058</v>
      </c>
      <c r="F27" s="338"/>
      <c r="H27" s="2631"/>
      <c r="I27" s="2692"/>
      <c r="J27" s="2692"/>
      <c r="K27" s="2692"/>
      <c r="L27" s="2692"/>
      <c r="M27" s="2692"/>
      <c r="N27" s="2693"/>
      <c r="O27" s="1386" t="s">
        <v>1813</v>
      </c>
      <c r="Q27" s="2631"/>
      <c r="R27" s="2692"/>
      <c r="S27" s="2693"/>
    </row>
    <row r="28" spans="3:19" s="325" customFormat="1" ht="11.25" customHeight="1">
      <c r="D28" s="368"/>
      <c r="E28" s="330" t="s">
        <v>642</v>
      </c>
      <c r="H28" s="2631"/>
      <c r="I28" s="2692"/>
      <c r="J28" s="2693"/>
      <c r="K28" s="1390" t="s">
        <v>2808</v>
      </c>
      <c r="L28" s="2631"/>
      <c r="M28" s="2692"/>
      <c r="N28" s="2693"/>
      <c r="O28" s="1386" t="s">
        <v>1869</v>
      </c>
      <c r="Q28" s="2639"/>
      <c r="R28" s="2644"/>
      <c r="S28" s="2640"/>
    </row>
    <row r="29" spans="3:19" s="325" customFormat="1" ht="11.25" customHeight="1">
      <c r="E29" s="330" t="s">
        <v>1865</v>
      </c>
      <c r="H29" s="2645"/>
      <c r="K29" s="1391" t="s">
        <v>2308</v>
      </c>
      <c r="L29" s="2642"/>
      <c r="M29" s="2693"/>
      <c r="O29" s="1386" t="s">
        <v>2054</v>
      </c>
      <c r="Q29" s="2639"/>
      <c r="R29" s="2644"/>
      <c r="S29" s="2640"/>
    </row>
    <row r="30" spans="3:19" s="325" customFormat="1" ht="11.25" customHeight="1">
      <c r="D30" s="368"/>
      <c r="E30" s="330" t="s">
        <v>2060</v>
      </c>
      <c r="H30" s="2639"/>
      <c r="I30" s="2640"/>
      <c r="J30" s="2772"/>
      <c r="K30" s="1400" t="s">
        <v>2059</v>
      </c>
      <c r="L30" s="2646"/>
      <c r="M30" s="2647"/>
      <c r="N30" s="2647"/>
      <c r="O30" s="2647"/>
      <c r="P30" s="2647"/>
      <c r="Q30" s="2647"/>
      <c r="R30" s="2647"/>
      <c r="S30" s="2648"/>
    </row>
    <row r="31" spans="3:19" ht="4.1500000000000004" customHeight="1"/>
    <row r="32" spans="3:19" s="325" customFormat="1" ht="11.25" customHeight="1">
      <c r="C32" s="370" t="s">
        <v>2064</v>
      </c>
      <c r="D32" s="367" t="s">
        <v>1929</v>
      </c>
      <c r="H32" s="1396"/>
      <c r="I32" s="1396"/>
      <c r="J32" s="1396"/>
      <c r="K32" s="1396"/>
      <c r="L32" s="1396"/>
      <c r="M32" s="1396"/>
    </row>
    <row r="33" spans="3:19" s="325" customFormat="1" ht="11.25" customHeight="1">
      <c r="D33" s="327" t="s">
        <v>2194</v>
      </c>
      <c r="E33" s="325" t="s">
        <v>780</v>
      </c>
      <c r="H33" s="2631" t="s">
        <v>4236</v>
      </c>
      <c r="I33" s="2692"/>
      <c r="J33" s="2692"/>
      <c r="K33" s="2692"/>
      <c r="L33" s="2692"/>
      <c r="M33" s="2692"/>
      <c r="N33" s="2693"/>
      <c r="O33" s="1386" t="s">
        <v>2065</v>
      </c>
      <c r="P33" s="1386"/>
      <c r="Q33" s="2631" t="s">
        <v>4237</v>
      </c>
      <c r="R33" s="2692"/>
      <c r="S33" s="2693"/>
    </row>
    <row r="34" spans="3:19" s="325" customFormat="1" ht="11.25" customHeight="1">
      <c r="D34" s="368"/>
      <c r="E34" s="330" t="s">
        <v>1058</v>
      </c>
      <c r="F34" s="338"/>
      <c r="H34" s="2631" t="s">
        <v>4238</v>
      </c>
      <c r="I34" s="2692"/>
      <c r="J34" s="2692"/>
      <c r="K34" s="2692"/>
      <c r="L34" s="2692"/>
      <c r="M34" s="2692"/>
      <c r="N34" s="2693"/>
      <c r="O34" s="1386" t="s">
        <v>1813</v>
      </c>
      <c r="Q34" s="2631" t="s">
        <v>4239</v>
      </c>
      <c r="R34" s="2692"/>
      <c r="S34" s="2693"/>
    </row>
    <row r="35" spans="3:19" s="325" customFormat="1" ht="11.25" customHeight="1">
      <c r="D35" s="368"/>
      <c r="E35" s="330" t="s">
        <v>642</v>
      </c>
      <c r="H35" s="2631" t="s">
        <v>189</v>
      </c>
      <c r="I35" s="2692"/>
      <c r="J35" s="2693"/>
      <c r="K35" s="1390" t="s">
        <v>2808</v>
      </c>
      <c r="L35" s="2631" t="s">
        <v>4240</v>
      </c>
      <c r="M35" s="2692"/>
      <c r="N35" s="2693"/>
      <c r="O35" s="1386" t="s">
        <v>1869</v>
      </c>
      <c r="Q35" s="2639">
        <v>2348024001</v>
      </c>
      <c r="R35" s="2644"/>
      <c r="S35" s="2640"/>
    </row>
    <row r="36" spans="3:19" s="325" customFormat="1" ht="11.25" customHeight="1">
      <c r="E36" s="330" t="s">
        <v>1865</v>
      </c>
      <c r="H36" s="2645" t="s">
        <v>870</v>
      </c>
      <c r="K36" s="1391" t="s">
        <v>2308</v>
      </c>
      <c r="L36" s="2642">
        <v>361177025</v>
      </c>
      <c r="M36" s="2693"/>
      <c r="O36" s="1386" t="s">
        <v>2054</v>
      </c>
      <c r="Q36" s="2639">
        <v>3309067515</v>
      </c>
      <c r="R36" s="2644"/>
      <c r="S36" s="2640"/>
    </row>
    <row r="37" spans="3:19" s="325" customFormat="1" ht="11.25" customHeight="1">
      <c r="D37" s="368"/>
      <c r="E37" s="330" t="s">
        <v>2060</v>
      </c>
      <c r="H37" s="2639">
        <v>2348024001</v>
      </c>
      <c r="I37" s="2640"/>
      <c r="J37" s="2772" t="s">
        <v>1006</v>
      </c>
      <c r="K37" s="1400" t="s">
        <v>2059</v>
      </c>
      <c r="L37" s="2646" t="s">
        <v>4241</v>
      </c>
      <c r="M37" s="2647"/>
      <c r="N37" s="2647"/>
      <c r="O37" s="2647"/>
      <c r="P37" s="2647"/>
      <c r="Q37" s="2647"/>
      <c r="R37" s="2647"/>
      <c r="S37" s="2648"/>
    </row>
    <row r="38" spans="3:19" ht="4.1500000000000004" customHeight="1">
      <c r="H38" s="2773"/>
      <c r="I38" s="2773"/>
      <c r="J38" s="2773"/>
      <c r="K38" s="1400"/>
      <c r="L38" s="2773"/>
      <c r="M38" s="2773"/>
      <c r="N38" s="1388"/>
      <c r="O38" s="1381"/>
      <c r="P38" s="1381"/>
      <c r="Q38" s="1400"/>
      <c r="R38" s="1381"/>
      <c r="S38" s="1381"/>
    </row>
    <row r="39" spans="3:19" s="325" customFormat="1" ht="11.25" customHeight="1">
      <c r="D39" s="327" t="s">
        <v>2195</v>
      </c>
      <c r="E39" s="325" t="s">
        <v>781</v>
      </c>
      <c r="F39" s="327"/>
      <c r="H39" s="2631" t="s">
        <v>4391</v>
      </c>
      <c r="I39" s="2692"/>
      <c r="J39" s="2692"/>
      <c r="K39" s="2692"/>
      <c r="L39" s="2692"/>
      <c r="M39" s="2692"/>
      <c r="N39" s="2693"/>
      <c r="O39" s="1386" t="s">
        <v>2065</v>
      </c>
      <c r="P39" s="1386"/>
      <c r="Q39" s="2649" t="s">
        <v>4394</v>
      </c>
      <c r="R39" s="2759"/>
      <c r="S39" s="2760"/>
    </row>
    <row r="40" spans="3:19" s="325" customFormat="1" ht="11.25" customHeight="1">
      <c r="D40" s="368"/>
      <c r="E40" s="330" t="s">
        <v>1058</v>
      </c>
      <c r="F40" s="338"/>
      <c r="H40" s="2631" t="s">
        <v>4392</v>
      </c>
      <c r="I40" s="2692"/>
      <c r="J40" s="2692"/>
      <c r="K40" s="2692"/>
      <c r="L40" s="2692"/>
      <c r="M40" s="2692"/>
      <c r="N40" s="2693"/>
      <c r="O40" s="1386" t="s">
        <v>1813</v>
      </c>
      <c r="Q40" s="2649" t="s">
        <v>4395</v>
      </c>
      <c r="R40" s="2759"/>
      <c r="S40" s="2760"/>
    </row>
    <row r="41" spans="3:19" s="325" customFormat="1" ht="11.25" customHeight="1">
      <c r="D41" s="368"/>
      <c r="E41" s="330" t="s">
        <v>642</v>
      </c>
      <c r="H41" s="2631" t="s">
        <v>1251</v>
      </c>
      <c r="I41" s="2692"/>
      <c r="J41" s="2693"/>
      <c r="K41" s="1390" t="s">
        <v>2808</v>
      </c>
      <c r="L41" s="2631" t="s">
        <v>4393</v>
      </c>
      <c r="M41" s="2692"/>
      <c r="N41" s="2693"/>
      <c r="O41" s="1386" t="s">
        <v>1869</v>
      </c>
      <c r="Q41" s="2762">
        <v>4045968042</v>
      </c>
      <c r="R41" s="2763"/>
      <c r="S41" s="2764"/>
    </row>
    <row r="42" spans="3:19" s="325" customFormat="1" ht="11.25" customHeight="1">
      <c r="D42" s="327"/>
      <c r="E42" s="330" t="s">
        <v>1865</v>
      </c>
      <c r="H42" s="2645" t="s">
        <v>880</v>
      </c>
      <c r="K42" s="1391" t="s">
        <v>2308</v>
      </c>
      <c r="L42" s="2642">
        <v>303261100</v>
      </c>
      <c r="M42" s="2693"/>
      <c r="O42" s="1386" t="s">
        <v>2054</v>
      </c>
      <c r="Q42" s="2762">
        <v>4045968035</v>
      </c>
      <c r="R42" s="2763"/>
      <c r="S42" s="2764"/>
    </row>
    <row r="43" spans="3:19" s="325" customFormat="1" ht="11.25" customHeight="1">
      <c r="D43" s="368"/>
      <c r="E43" s="330" t="s">
        <v>2060</v>
      </c>
      <c r="H43" s="2639">
        <v>4045968042</v>
      </c>
      <c r="I43" s="2640"/>
      <c r="J43" s="2772"/>
      <c r="K43" s="1400" t="s">
        <v>2059</v>
      </c>
      <c r="L43" s="2646" t="s">
        <v>4396</v>
      </c>
      <c r="M43" s="2647"/>
      <c r="N43" s="2647"/>
      <c r="O43" s="2647"/>
      <c r="P43" s="2647"/>
      <c r="Q43" s="2647"/>
      <c r="R43" s="2647"/>
      <c r="S43" s="2648"/>
    </row>
    <row r="44" spans="3:19" s="325" customFormat="1" ht="4.1500000000000004" customHeight="1">
      <c r="D44" s="368"/>
      <c r="E44" s="330"/>
      <c r="F44" s="327"/>
      <c r="H44" s="362"/>
      <c r="I44" s="362"/>
      <c r="J44" s="1382"/>
      <c r="K44" s="1400"/>
      <c r="L44" s="362"/>
      <c r="M44" s="362"/>
      <c r="N44" s="1400"/>
      <c r="O44" s="362"/>
      <c r="P44" s="362"/>
      <c r="Q44" s="1400"/>
      <c r="R44" s="362"/>
      <c r="S44" s="362"/>
    </row>
    <row r="45" spans="3:19" s="325" customFormat="1" ht="11.25" customHeight="1">
      <c r="C45" s="371" t="s">
        <v>2622</v>
      </c>
      <c r="D45" s="367" t="s">
        <v>676</v>
      </c>
      <c r="H45" s="1396"/>
      <c r="I45" s="1396"/>
      <c r="J45" s="1396"/>
      <c r="K45" s="1396"/>
      <c r="L45" s="1396"/>
      <c r="M45" s="1396"/>
    </row>
    <row r="46" spans="3:19" s="325" customFormat="1" ht="11.25" customHeight="1">
      <c r="E46" s="325" t="s">
        <v>94</v>
      </c>
      <c r="H46" s="2631"/>
      <c r="I46" s="2692"/>
      <c r="J46" s="2692"/>
      <c r="K46" s="2692"/>
      <c r="L46" s="2692"/>
      <c r="M46" s="2692"/>
      <c r="N46" s="2693"/>
      <c r="O46" s="1386" t="s">
        <v>2065</v>
      </c>
      <c r="P46" s="1386"/>
      <c r="Q46" s="2631"/>
      <c r="R46" s="2692"/>
      <c r="S46" s="2693"/>
    </row>
    <row r="47" spans="3:19" s="325" customFormat="1" ht="11.25" customHeight="1">
      <c r="D47" s="368"/>
      <c r="E47" s="330" t="s">
        <v>1058</v>
      </c>
      <c r="F47" s="338"/>
      <c r="H47" s="2631"/>
      <c r="I47" s="2692"/>
      <c r="J47" s="2692"/>
      <c r="K47" s="2692"/>
      <c r="L47" s="2692"/>
      <c r="M47" s="2692"/>
      <c r="N47" s="2693"/>
      <c r="O47" s="1386" t="s">
        <v>1813</v>
      </c>
      <c r="Q47" s="2631"/>
      <c r="R47" s="2692"/>
      <c r="S47" s="2693"/>
    </row>
    <row r="48" spans="3:19" s="325" customFormat="1" ht="11.25" customHeight="1">
      <c r="D48" s="368"/>
      <c r="E48" s="330" t="s">
        <v>642</v>
      </c>
      <c r="H48" s="2631"/>
      <c r="I48" s="2692"/>
      <c r="J48" s="2693"/>
      <c r="K48" s="1390" t="s">
        <v>2808</v>
      </c>
      <c r="L48" s="2631"/>
      <c r="M48" s="2692"/>
      <c r="N48" s="2693"/>
      <c r="O48" s="1386" t="s">
        <v>1869</v>
      </c>
      <c r="Q48" s="2639"/>
      <c r="R48" s="2644"/>
      <c r="S48" s="2640"/>
    </row>
    <row r="49" spans="1:19" s="325" customFormat="1" ht="11.25" customHeight="1">
      <c r="E49" s="330" t="s">
        <v>1865</v>
      </c>
      <c r="H49" s="2645"/>
      <c r="K49" s="1391" t="s">
        <v>2308</v>
      </c>
      <c r="L49" s="2642"/>
      <c r="M49" s="2693"/>
      <c r="O49" s="1386" t="s">
        <v>2054</v>
      </c>
      <c r="Q49" s="2639"/>
      <c r="R49" s="2644"/>
      <c r="S49" s="2640"/>
    </row>
    <row r="50" spans="1:19" s="325" customFormat="1" ht="11.25" customHeight="1">
      <c r="D50" s="368"/>
      <c r="E50" s="330" t="s">
        <v>2060</v>
      </c>
      <c r="H50" s="2639"/>
      <c r="I50" s="2640"/>
      <c r="J50" s="2772"/>
      <c r="K50" s="1400" t="s">
        <v>2059</v>
      </c>
      <c r="L50" s="2646"/>
      <c r="M50" s="2647"/>
      <c r="N50" s="2647"/>
      <c r="O50" s="2647"/>
      <c r="P50" s="2647"/>
      <c r="Q50" s="2647"/>
      <c r="R50" s="2647"/>
      <c r="S50" s="2648"/>
    </row>
    <row r="51" spans="1:19" ht="6.75" customHeight="1"/>
    <row r="52" spans="1:19" s="325" customFormat="1" ht="13.15" customHeight="1">
      <c r="A52" s="327" t="s">
        <v>770</v>
      </c>
      <c r="B52" s="327" t="s">
        <v>677</v>
      </c>
      <c r="F52" s="327"/>
      <c r="G52" s="1400"/>
      <c r="H52" s="1400"/>
      <c r="I52" s="1400"/>
      <c r="J52" s="1396"/>
      <c r="K52" s="1396"/>
      <c r="L52" s="1396"/>
      <c r="M52" s="1396"/>
      <c r="N52" s="1396"/>
      <c r="O52" s="1396"/>
      <c r="P52" s="1396"/>
      <c r="Q52" s="1396"/>
      <c r="R52" s="1396"/>
      <c r="S52" s="1396"/>
    </row>
    <row r="53" spans="1:19" s="325" customFormat="1" ht="3" customHeight="1">
      <c r="A53" s="327"/>
      <c r="B53" s="327"/>
      <c r="F53" s="327"/>
      <c r="G53" s="1400"/>
      <c r="H53" s="2774"/>
      <c r="I53" s="2774"/>
      <c r="J53" s="2774"/>
      <c r="K53" s="1388"/>
      <c r="L53" s="2774"/>
      <c r="M53" s="2774"/>
      <c r="N53" s="1388"/>
      <c r="O53" s="1381"/>
      <c r="P53" s="1381"/>
      <c r="Q53" s="1400"/>
      <c r="R53" s="1381"/>
      <c r="S53" s="1381"/>
    </row>
    <row r="54" spans="1:19" s="325" customFormat="1" ht="11.25" customHeight="1">
      <c r="B54" s="327" t="s">
        <v>2058</v>
      </c>
      <c r="C54" s="327" t="s">
        <v>295</v>
      </c>
      <c r="H54" s="2631" t="s">
        <v>4242</v>
      </c>
      <c r="I54" s="2692"/>
      <c r="J54" s="2692"/>
      <c r="K54" s="2692"/>
      <c r="L54" s="2692"/>
      <c r="M54" s="2692"/>
      <c r="N54" s="2693"/>
      <c r="O54" s="1386" t="s">
        <v>2065</v>
      </c>
      <c r="P54" s="1386"/>
      <c r="Q54" s="2631" t="s">
        <v>4229</v>
      </c>
      <c r="R54" s="2692"/>
      <c r="S54" s="2693"/>
    </row>
    <row r="55" spans="1:19" s="325" customFormat="1" ht="11.25" customHeight="1">
      <c r="D55" s="368"/>
      <c r="E55" s="330" t="s">
        <v>1058</v>
      </c>
      <c r="F55" s="338"/>
      <c r="H55" s="2631" t="s">
        <v>4205</v>
      </c>
      <c r="I55" s="2692"/>
      <c r="J55" s="2692"/>
      <c r="K55" s="2692"/>
      <c r="L55" s="2692"/>
      <c r="M55" s="2692"/>
      <c r="N55" s="2693"/>
      <c r="O55" s="1386" t="s">
        <v>1813</v>
      </c>
      <c r="Q55" s="2631" t="s">
        <v>4235</v>
      </c>
      <c r="R55" s="2692"/>
      <c r="S55" s="2693"/>
    </row>
    <row r="56" spans="1:19" s="325" customFormat="1" ht="11.25" customHeight="1">
      <c r="D56" s="368"/>
      <c r="E56" s="330" t="s">
        <v>642</v>
      </c>
      <c r="H56" s="2631" t="s">
        <v>4206</v>
      </c>
      <c r="I56" s="2692"/>
      <c r="J56" s="2693"/>
      <c r="K56" s="1390" t="s">
        <v>2808</v>
      </c>
      <c r="L56" s="2631" t="s">
        <v>4243</v>
      </c>
      <c r="M56" s="2692"/>
      <c r="N56" s="2693"/>
      <c r="O56" s="1386" t="s">
        <v>1869</v>
      </c>
      <c r="Q56" s="2639">
        <v>2569976659</v>
      </c>
      <c r="R56" s="2644"/>
      <c r="S56" s="2640"/>
    </row>
    <row r="57" spans="1:19" s="325" customFormat="1" ht="11.25" customHeight="1">
      <c r="E57" s="330" t="s">
        <v>1865</v>
      </c>
      <c r="H57" s="2645" t="s">
        <v>870</v>
      </c>
      <c r="K57" s="1391" t="s">
        <v>2308</v>
      </c>
      <c r="L57" s="2642">
        <v>359713484</v>
      </c>
      <c r="M57" s="2693"/>
      <c r="O57" s="1386" t="s">
        <v>2054</v>
      </c>
      <c r="Q57" s="2639">
        <v>2569976659</v>
      </c>
      <c r="R57" s="2644"/>
      <c r="S57" s="2640"/>
    </row>
    <row r="58" spans="1:19" s="325" customFormat="1" ht="11.25" customHeight="1">
      <c r="D58" s="368"/>
      <c r="E58" s="330" t="s">
        <v>2060</v>
      </c>
      <c r="H58" s="2639">
        <v>2564174920</v>
      </c>
      <c r="I58" s="2640"/>
      <c r="J58" s="2772">
        <v>224</v>
      </c>
      <c r="K58" s="1400" t="s">
        <v>2059</v>
      </c>
      <c r="L58" s="2646" t="s">
        <v>4233</v>
      </c>
      <c r="M58" s="2647"/>
      <c r="N58" s="2647"/>
      <c r="O58" s="2647"/>
      <c r="P58" s="2647"/>
      <c r="Q58" s="2647"/>
      <c r="R58" s="2647"/>
      <c r="S58" s="2648"/>
    </row>
    <row r="59" spans="1:19" s="325" customFormat="1" ht="6.6" customHeight="1">
      <c r="D59" s="368"/>
      <c r="E59" s="1396"/>
      <c r="F59" s="1396"/>
      <c r="G59" s="1386"/>
      <c r="H59" s="2773"/>
      <c r="I59" s="2773"/>
      <c r="J59" s="2773"/>
      <c r="K59" s="1400"/>
      <c r="L59" s="2773"/>
      <c r="M59" s="2773"/>
      <c r="N59" s="1388"/>
      <c r="O59" s="1381"/>
      <c r="P59" s="1381"/>
      <c r="Q59" s="1400"/>
      <c r="R59" s="1381"/>
      <c r="S59" s="1381"/>
    </row>
    <row r="60" spans="1:19" s="325" customFormat="1" ht="11.25" customHeight="1">
      <c r="B60" s="327" t="s">
        <v>2061</v>
      </c>
      <c r="C60" s="327" t="s">
        <v>296</v>
      </c>
      <c r="H60" s="2631"/>
      <c r="I60" s="2692"/>
      <c r="J60" s="2692"/>
      <c r="K60" s="2692"/>
      <c r="L60" s="2692"/>
      <c r="M60" s="2692"/>
      <c r="N60" s="2693"/>
      <c r="O60" s="1386" t="s">
        <v>2065</v>
      </c>
      <c r="P60" s="1386"/>
      <c r="Q60" s="2631"/>
      <c r="R60" s="2692"/>
      <c r="S60" s="2693"/>
    </row>
    <row r="61" spans="1:19" s="325" customFormat="1" ht="11.25" customHeight="1">
      <c r="D61" s="368"/>
      <c r="E61" s="330" t="s">
        <v>1058</v>
      </c>
      <c r="F61" s="338"/>
      <c r="H61" s="2631"/>
      <c r="I61" s="2692"/>
      <c r="J61" s="2692"/>
      <c r="K61" s="2692"/>
      <c r="L61" s="2692"/>
      <c r="M61" s="2692"/>
      <c r="N61" s="2693"/>
      <c r="O61" s="1386" t="s">
        <v>1813</v>
      </c>
      <c r="Q61" s="2631"/>
      <c r="R61" s="2692"/>
      <c r="S61" s="2693"/>
    </row>
    <row r="62" spans="1:19" s="325" customFormat="1" ht="11.25" customHeight="1">
      <c r="D62" s="368"/>
      <c r="E62" s="330" t="s">
        <v>642</v>
      </c>
      <c r="H62" s="2631"/>
      <c r="I62" s="2692"/>
      <c r="J62" s="2693"/>
      <c r="K62" s="1390" t="s">
        <v>2808</v>
      </c>
      <c r="L62" s="2631"/>
      <c r="M62" s="2692"/>
      <c r="N62" s="2693"/>
      <c r="O62" s="1386" t="s">
        <v>1869</v>
      </c>
      <c r="Q62" s="2639"/>
      <c r="R62" s="2644"/>
      <c r="S62" s="2640"/>
    </row>
    <row r="63" spans="1:19" s="325" customFormat="1" ht="11.25" customHeight="1">
      <c r="E63" s="330" t="s">
        <v>1865</v>
      </c>
      <c r="H63" s="2645"/>
      <c r="K63" s="1391" t="s">
        <v>2308</v>
      </c>
      <c r="L63" s="2642"/>
      <c r="M63" s="2693"/>
      <c r="O63" s="1386" t="s">
        <v>2054</v>
      </c>
      <c r="Q63" s="2639"/>
      <c r="R63" s="2644"/>
      <c r="S63" s="2640"/>
    </row>
    <row r="64" spans="1:19" s="325" customFormat="1" ht="11.25" customHeight="1">
      <c r="D64" s="368"/>
      <c r="E64" s="330" t="s">
        <v>2060</v>
      </c>
      <c r="H64" s="2639"/>
      <c r="I64" s="2640"/>
      <c r="J64" s="2772"/>
      <c r="K64" s="1400" t="s">
        <v>2059</v>
      </c>
      <c r="L64" s="2646"/>
      <c r="M64" s="2647"/>
      <c r="N64" s="2647"/>
      <c r="O64" s="2647"/>
      <c r="P64" s="2647"/>
      <c r="Q64" s="2647"/>
      <c r="R64" s="2647"/>
      <c r="S64" s="2648"/>
    </row>
    <row r="65" spans="1:19" s="325" customFormat="1" ht="6.6" customHeight="1">
      <c r="D65" s="368"/>
      <c r="E65" s="1396"/>
      <c r="F65" s="1396"/>
      <c r="G65" s="1386"/>
      <c r="H65" s="2773"/>
      <c r="I65" s="2773"/>
      <c r="J65" s="2773"/>
      <c r="K65" s="1400"/>
      <c r="L65" s="2773"/>
      <c r="M65" s="2773"/>
      <c r="N65" s="1388"/>
      <c r="O65" s="1381"/>
      <c r="P65" s="1381"/>
      <c r="Q65" s="1400"/>
      <c r="R65" s="1381"/>
      <c r="S65" s="1381"/>
    </row>
    <row r="66" spans="1:19" s="325" customFormat="1" ht="11.25" customHeight="1">
      <c r="B66" s="327" t="s">
        <v>779</v>
      </c>
      <c r="C66" s="327" t="s">
        <v>1585</v>
      </c>
      <c r="H66" s="2631"/>
      <c r="I66" s="2692"/>
      <c r="J66" s="2692"/>
      <c r="K66" s="2692"/>
      <c r="L66" s="2692"/>
      <c r="M66" s="2692"/>
      <c r="N66" s="2693"/>
      <c r="O66" s="1386" t="s">
        <v>2065</v>
      </c>
      <c r="P66" s="1386"/>
      <c r="Q66" s="2631"/>
      <c r="R66" s="2692"/>
      <c r="S66" s="2693"/>
    </row>
    <row r="67" spans="1:19" s="325" customFormat="1" ht="11.25" customHeight="1">
      <c r="D67" s="368"/>
      <c r="E67" s="330" t="s">
        <v>1058</v>
      </c>
      <c r="F67" s="338"/>
      <c r="H67" s="2631"/>
      <c r="I67" s="2692"/>
      <c r="J67" s="2692"/>
      <c r="K67" s="2692"/>
      <c r="L67" s="2692"/>
      <c r="M67" s="2692"/>
      <c r="N67" s="2693"/>
      <c r="O67" s="1386" t="s">
        <v>1813</v>
      </c>
      <c r="Q67" s="2631"/>
      <c r="R67" s="2692"/>
      <c r="S67" s="2693"/>
    </row>
    <row r="68" spans="1:19" s="325" customFormat="1" ht="11.25" customHeight="1">
      <c r="D68" s="368"/>
      <c r="E68" s="330" t="s">
        <v>642</v>
      </c>
      <c r="H68" s="2631"/>
      <c r="I68" s="2692"/>
      <c r="J68" s="2693"/>
      <c r="K68" s="1390" t="s">
        <v>2808</v>
      </c>
      <c r="L68" s="2631"/>
      <c r="M68" s="2692"/>
      <c r="N68" s="2693"/>
      <c r="O68" s="1386" t="s">
        <v>1869</v>
      </c>
      <c r="Q68" s="2639"/>
      <c r="R68" s="2644"/>
      <c r="S68" s="2640"/>
    </row>
    <row r="69" spans="1:19" s="325" customFormat="1" ht="11.25" customHeight="1">
      <c r="E69" s="330" t="s">
        <v>1865</v>
      </c>
      <c r="H69" s="2645"/>
      <c r="K69" s="1391" t="s">
        <v>2308</v>
      </c>
      <c r="L69" s="2642"/>
      <c r="M69" s="2693"/>
      <c r="O69" s="1386" t="s">
        <v>2054</v>
      </c>
      <c r="Q69" s="2639"/>
      <c r="R69" s="2644"/>
      <c r="S69" s="2640"/>
    </row>
    <row r="70" spans="1:19" s="325" customFormat="1" ht="11.25" customHeight="1">
      <c r="D70" s="368"/>
      <c r="E70" s="330" t="s">
        <v>2060</v>
      </c>
      <c r="H70" s="2639"/>
      <c r="I70" s="2640"/>
      <c r="J70" s="2772"/>
      <c r="K70" s="1400" t="s">
        <v>2059</v>
      </c>
      <c r="L70" s="2646"/>
      <c r="M70" s="2647"/>
      <c r="N70" s="2647"/>
      <c r="O70" s="2647"/>
      <c r="P70" s="2647"/>
      <c r="Q70" s="2647"/>
      <c r="R70" s="2647"/>
      <c r="S70" s="2648"/>
    </row>
    <row r="71" spans="1:19" ht="6.6" customHeight="1">
      <c r="H71" s="2773"/>
      <c r="I71" s="2773"/>
      <c r="J71" s="2773"/>
      <c r="K71" s="1400"/>
      <c r="L71" s="2773"/>
      <c r="M71" s="2773"/>
      <c r="N71" s="1388"/>
      <c r="O71" s="1381"/>
      <c r="P71" s="1381"/>
      <c r="Q71" s="1400"/>
      <c r="R71" s="1381"/>
      <c r="S71" s="1381"/>
    </row>
    <row r="72" spans="1:19" s="325" customFormat="1" ht="11.25" customHeight="1">
      <c r="B72" s="327" t="s">
        <v>2193</v>
      </c>
      <c r="C72" s="327" t="s">
        <v>297</v>
      </c>
      <c r="H72" s="2631"/>
      <c r="I72" s="2692"/>
      <c r="J72" s="2692"/>
      <c r="K72" s="2692"/>
      <c r="L72" s="2692"/>
      <c r="M72" s="2692"/>
      <c r="N72" s="2693"/>
      <c r="O72" s="1386" t="s">
        <v>2065</v>
      </c>
      <c r="P72" s="1386"/>
      <c r="Q72" s="2631"/>
      <c r="R72" s="2692"/>
      <c r="S72" s="2693"/>
    </row>
    <row r="73" spans="1:19" s="325" customFormat="1" ht="11.25" customHeight="1">
      <c r="D73" s="368"/>
      <c r="E73" s="330" t="s">
        <v>1058</v>
      </c>
      <c r="F73" s="338"/>
      <c r="H73" s="2631"/>
      <c r="I73" s="2692"/>
      <c r="J73" s="2692"/>
      <c r="K73" s="2692"/>
      <c r="L73" s="2692"/>
      <c r="M73" s="2692"/>
      <c r="N73" s="2693"/>
      <c r="O73" s="1386" t="s">
        <v>1813</v>
      </c>
      <c r="Q73" s="2631"/>
      <c r="R73" s="2692"/>
      <c r="S73" s="2693"/>
    </row>
    <row r="74" spans="1:19" s="325" customFormat="1" ht="11.25" customHeight="1">
      <c r="D74" s="368"/>
      <c r="E74" s="330" t="s">
        <v>642</v>
      </c>
      <c r="H74" s="2631"/>
      <c r="I74" s="2692"/>
      <c r="J74" s="2693"/>
      <c r="K74" s="1390" t="s">
        <v>2808</v>
      </c>
      <c r="L74" s="2631"/>
      <c r="M74" s="2692"/>
      <c r="N74" s="2693"/>
      <c r="O74" s="1386" t="s">
        <v>1869</v>
      </c>
      <c r="Q74" s="2639"/>
      <c r="R74" s="2644"/>
      <c r="S74" s="2640"/>
    </row>
    <row r="75" spans="1:19" s="325" customFormat="1" ht="11.25" customHeight="1">
      <c r="E75" s="330" t="s">
        <v>1865</v>
      </c>
      <c r="H75" s="2645"/>
      <c r="K75" s="1391" t="s">
        <v>2308</v>
      </c>
      <c r="L75" s="2642"/>
      <c r="M75" s="2693"/>
      <c r="O75" s="1386" t="s">
        <v>2054</v>
      </c>
      <c r="Q75" s="2639"/>
      <c r="R75" s="2644"/>
      <c r="S75" s="2640"/>
    </row>
    <row r="76" spans="1:19" s="325" customFormat="1" ht="11.25" customHeight="1">
      <c r="D76" s="368"/>
      <c r="E76" s="330" t="s">
        <v>2060</v>
      </c>
      <c r="H76" s="2639"/>
      <c r="I76" s="2640"/>
      <c r="J76" s="2772"/>
      <c r="K76" s="1400" t="s">
        <v>2059</v>
      </c>
      <c r="L76" s="2646"/>
      <c r="M76" s="2647"/>
      <c r="N76" s="2647"/>
      <c r="O76" s="2647"/>
      <c r="P76" s="2647"/>
      <c r="Q76" s="2647"/>
      <c r="R76" s="2647"/>
      <c r="S76" s="2648"/>
    </row>
    <row r="77" spans="1:19" ht="6.75" customHeight="1"/>
    <row r="78" spans="1:19" s="330" customFormat="1" ht="13.15" customHeight="1">
      <c r="A78" s="331" t="s">
        <v>772</v>
      </c>
      <c r="B78" s="331" t="s">
        <v>298</v>
      </c>
      <c r="D78" s="331"/>
      <c r="E78" s="1386"/>
      <c r="F78" s="296"/>
      <c r="G78" s="296"/>
      <c r="H78" s="296"/>
      <c r="I78" s="296"/>
      <c r="J78" s="296"/>
      <c r="K78" s="296"/>
      <c r="L78" s="296"/>
      <c r="M78" s="296"/>
    </row>
    <row r="79" spans="1:19" s="330" customFormat="1" ht="3" customHeight="1">
      <c r="A79" s="331"/>
      <c r="B79" s="331"/>
      <c r="D79" s="331"/>
      <c r="E79" s="1386"/>
      <c r="F79" s="296"/>
      <c r="G79" s="296"/>
      <c r="H79" s="2774"/>
      <c r="I79" s="2774"/>
      <c r="J79" s="2774"/>
      <c r="K79" s="1388"/>
      <c r="L79" s="2774"/>
      <c r="M79" s="2774"/>
      <c r="N79" s="1388"/>
      <c r="O79" s="1381"/>
      <c r="P79" s="1381"/>
      <c r="Q79" s="1400"/>
      <c r="R79" s="1381"/>
      <c r="S79" s="1381"/>
    </row>
    <row r="80" spans="1:19" s="325" customFormat="1" ht="11.25" customHeight="1">
      <c r="B80" s="327" t="s">
        <v>2058</v>
      </c>
      <c r="C80" s="327" t="s">
        <v>299</v>
      </c>
      <c r="H80" s="2631"/>
      <c r="I80" s="2692"/>
      <c r="J80" s="2692"/>
      <c r="K80" s="2692"/>
      <c r="L80" s="2692"/>
      <c r="M80" s="2692"/>
      <c r="N80" s="2693"/>
      <c r="O80" s="1386" t="s">
        <v>2065</v>
      </c>
      <c r="P80" s="1386"/>
      <c r="Q80" s="2631"/>
      <c r="R80" s="2692"/>
      <c r="S80" s="2693"/>
    </row>
    <row r="81" spans="2:19" s="325" customFormat="1" ht="11.25" customHeight="1">
      <c r="D81" s="368"/>
      <c r="E81" s="330" t="s">
        <v>1058</v>
      </c>
      <c r="F81" s="338"/>
      <c r="H81" s="2631"/>
      <c r="I81" s="2692"/>
      <c r="J81" s="2692"/>
      <c r="K81" s="2692"/>
      <c r="L81" s="2692"/>
      <c r="M81" s="2692"/>
      <c r="N81" s="2693"/>
      <c r="O81" s="1386" t="s">
        <v>1813</v>
      </c>
      <c r="Q81" s="2631"/>
      <c r="R81" s="2692"/>
      <c r="S81" s="2693"/>
    </row>
    <row r="82" spans="2:19" s="325" customFormat="1" ht="11.25" customHeight="1">
      <c r="D82" s="368"/>
      <c r="E82" s="330" t="s">
        <v>642</v>
      </c>
      <c r="H82" s="2631"/>
      <c r="I82" s="2692"/>
      <c r="J82" s="2693"/>
      <c r="K82" s="1390" t="s">
        <v>2808</v>
      </c>
      <c r="L82" s="2631"/>
      <c r="M82" s="2692"/>
      <c r="N82" s="2693"/>
      <c r="O82" s="1386" t="s">
        <v>1869</v>
      </c>
      <c r="Q82" s="2639"/>
      <c r="R82" s="2644"/>
      <c r="S82" s="2640"/>
    </row>
    <row r="83" spans="2:19" s="325" customFormat="1" ht="11.25" customHeight="1">
      <c r="E83" s="330" t="s">
        <v>1865</v>
      </c>
      <c r="H83" s="2645"/>
      <c r="K83" s="1391" t="s">
        <v>2308</v>
      </c>
      <c r="L83" s="2642"/>
      <c r="M83" s="2693"/>
      <c r="O83" s="1386" t="s">
        <v>2054</v>
      </c>
      <c r="Q83" s="2639"/>
      <c r="R83" s="2644"/>
      <c r="S83" s="2640"/>
    </row>
    <row r="84" spans="2:19" s="325" customFormat="1" ht="11.25" customHeight="1">
      <c r="D84" s="368"/>
      <c r="E84" s="330" t="s">
        <v>2060</v>
      </c>
      <c r="H84" s="2639"/>
      <c r="I84" s="2640"/>
      <c r="J84" s="2772"/>
      <c r="K84" s="1400" t="s">
        <v>2059</v>
      </c>
      <c r="L84" s="2646"/>
      <c r="M84" s="2647"/>
      <c r="N84" s="2647"/>
      <c r="O84" s="2647"/>
      <c r="P84" s="2647"/>
      <c r="Q84" s="2647"/>
      <c r="R84" s="2647"/>
      <c r="S84" s="2648"/>
    </row>
    <row r="85" spans="2:19" ht="6.6" customHeight="1">
      <c r="H85" s="2773"/>
      <c r="I85" s="2773"/>
      <c r="J85" s="2773"/>
      <c r="K85" s="1400"/>
      <c r="L85" s="2773"/>
      <c r="M85" s="2773"/>
      <c r="N85" s="1388"/>
      <c r="O85" s="1381"/>
      <c r="P85" s="1381"/>
      <c r="Q85" s="1400"/>
      <c r="R85" s="1381"/>
      <c r="S85" s="1381"/>
    </row>
    <row r="86" spans="2:19" s="325" customFormat="1" ht="11.25" customHeight="1">
      <c r="B86" s="327" t="s">
        <v>2061</v>
      </c>
      <c r="C86" s="327" t="s">
        <v>300</v>
      </c>
      <c r="H86" s="2631" t="s">
        <v>4244</v>
      </c>
      <c r="I86" s="2692"/>
      <c r="J86" s="2692"/>
      <c r="K86" s="2692"/>
      <c r="L86" s="2692"/>
      <c r="M86" s="2692"/>
      <c r="N86" s="2693"/>
      <c r="O86" s="1386" t="s">
        <v>2065</v>
      </c>
      <c r="P86" s="1386"/>
      <c r="Q86" s="2631" t="s">
        <v>4229</v>
      </c>
      <c r="R86" s="2692"/>
      <c r="S86" s="2693"/>
    </row>
    <row r="87" spans="2:19" s="325" customFormat="1" ht="11.25" customHeight="1">
      <c r="D87" s="368"/>
      <c r="E87" s="330" t="s">
        <v>1058</v>
      </c>
      <c r="F87" s="338"/>
      <c r="H87" s="2631" t="s">
        <v>4205</v>
      </c>
      <c r="I87" s="2692"/>
      <c r="J87" s="2692"/>
      <c r="K87" s="2692"/>
      <c r="L87" s="2692"/>
      <c r="M87" s="2692"/>
      <c r="N87" s="2693"/>
      <c r="O87" s="1386" t="s">
        <v>1813</v>
      </c>
      <c r="Q87" s="2631" t="s">
        <v>4235</v>
      </c>
      <c r="R87" s="2692"/>
      <c r="S87" s="2693"/>
    </row>
    <row r="88" spans="2:19" s="325" customFormat="1" ht="11.25" customHeight="1">
      <c r="D88" s="368"/>
      <c r="E88" s="330" t="s">
        <v>642</v>
      </c>
      <c r="H88" s="2631" t="s">
        <v>4245</v>
      </c>
      <c r="I88" s="2692"/>
      <c r="J88" s="2693"/>
      <c r="K88" s="1390" t="s">
        <v>2808</v>
      </c>
      <c r="L88" s="2631" t="s">
        <v>4246</v>
      </c>
      <c r="M88" s="2692"/>
      <c r="N88" s="2693"/>
      <c r="O88" s="1386" t="s">
        <v>1869</v>
      </c>
      <c r="Q88" s="2639">
        <v>2569976659</v>
      </c>
      <c r="R88" s="2644"/>
      <c r="S88" s="2640"/>
    </row>
    <row r="89" spans="2:19" s="325" customFormat="1" ht="11.25" customHeight="1">
      <c r="E89" s="330" t="s">
        <v>1865</v>
      </c>
      <c r="H89" s="2645" t="s">
        <v>870</v>
      </c>
      <c r="K89" s="1391" t="s">
        <v>2308</v>
      </c>
      <c r="L89" s="2642">
        <v>359713484</v>
      </c>
      <c r="M89" s="2693"/>
      <c r="O89" s="1386" t="s">
        <v>2054</v>
      </c>
      <c r="Q89" s="2639">
        <v>2569976659</v>
      </c>
      <c r="R89" s="2644"/>
      <c r="S89" s="2640"/>
    </row>
    <row r="90" spans="2:19" s="325" customFormat="1" ht="11.25" customHeight="1">
      <c r="D90" s="368"/>
      <c r="E90" s="330" t="s">
        <v>2060</v>
      </c>
      <c r="H90" s="2639">
        <v>2564174922</v>
      </c>
      <c r="I90" s="2640"/>
      <c r="J90" s="2772">
        <v>239</v>
      </c>
      <c r="K90" s="1400" t="s">
        <v>2059</v>
      </c>
      <c r="L90" s="2646" t="s">
        <v>4233</v>
      </c>
      <c r="M90" s="2647"/>
      <c r="N90" s="2647"/>
      <c r="O90" s="2647"/>
      <c r="P90" s="2647"/>
      <c r="Q90" s="2647"/>
      <c r="R90" s="2647"/>
      <c r="S90" s="2648"/>
    </row>
    <row r="91" spans="2:19" ht="6.6" customHeight="1">
      <c r="H91" s="2773"/>
      <c r="I91" s="2773"/>
      <c r="J91" s="2773"/>
      <c r="K91" s="1400"/>
      <c r="L91" s="2773"/>
      <c r="M91" s="2773"/>
      <c r="N91" s="1388"/>
      <c r="O91" s="1381"/>
      <c r="P91" s="1381"/>
      <c r="Q91" s="1400"/>
      <c r="R91" s="1381"/>
      <c r="S91" s="1381"/>
    </row>
    <row r="92" spans="2:19" s="325" customFormat="1" ht="11.25" customHeight="1">
      <c r="B92" s="327" t="s">
        <v>779</v>
      </c>
      <c r="C92" s="327" t="s">
        <v>301</v>
      </c>
      <c r="F92" s="344"/>
      <c r="H92" s="2631" t="s">
        <v>4247</v>
      </c>
      <c r="I92" s="2692"/>
      <c r="J92" s="2692"/>
      <c r="K92" s="2692"/>
      <c r="L92" s="2692"/>
      <c r="M92" s="2692"/>
      <c r="N92" s="2693"/>
      <c r="O92" s="1386" t="s">
        <v>2065</v>
      </c>
      <c r="P92" s="1386"/>
      <c r="Q92" s="2631" t="s">
        <v>4229</v>
      </c>
      <c r="R92" s="2692"/>
      <c r="S92" s="2693"/>
    </row>
    <row r="93" spans="2:19" s="325" customFormat="1" ht="11.25" customHeight="1">
      <c r="D93" s="368"/>
      <c r="E93" s="330" t="s">
        <v>1058</v>
      </c>
      <c r="F93" s="338"/>
      <c r="H93" s="2631" t="s">
        <v>4205</v>
      </c>
      <c r="I93" s="2692"/>
      <c r="J93" s="2692"/>
      <c r="K93" s="2692"/>
      <c r="L93" s="2692"/>
      <c r="M93" s="2692"/>
      <c r="N93" s="2693"/>
      <c r="O93" s="1386" t="s">
        <v>1813</v>
      </c>
      <c r="Q93" s="2631" t="s">
        <v>4235</v>
      </c>
      <c r="R93" s="2692"/>
      <c r="S93" s="2693"/>
    </row>
    <row r="94" spans="2:19" s="325" customFormat="1" ht="11.25" customHeight="1">
      <c r="D94" s="368"/>
      <c r="E94" s="330" t="s">
        <v>642</v>
      </c>
      <c r="H94" s="2631" t="s">
        <v>4206</v>
      </c>
      <c r="I94" s="2692"/>
      <c r="J94" s="2693"/>
      <c r="K94" s="1390" t="s">
        <v>2808</v>
      </c>
      <c r="L94" s="2631" t="s">
        <v>4243</v>
      </c>
      <c r="M94" s="2692"/>
      <c r="N94" s="2693"/>
      <c r="O94" s="1386" t="s">
        <v>1869</v>
      </c>
      <c r="Q94" s="2639">
        <v>2569976659</v>
      </c>
      <c r="R94" s="2644"/>
      <c r="S94" s="2640"/>
    </row>
    <row r="95" spans="2:19" s="325" customFormat="1" ht="11.25" customHeight="1">
      <c r="D95" s="368"/>
      <c r="E95" s="330" t="s">
        <v>1865</v>
      </c>
      <c r="H95" s="2645" t="s">
        <v>870</v>
      </c>
      <c r="K95" s="1391" t="s">
        <v>2308</v>
      </c>
      <c r="L95" s="2642">
        <v>359713484</v>
      </c>
      <c r="M95" s="2693"/>
      <c r="O95" s="1386" t="s">
        <v>2054</v>
      </c>
      <c r="Q95" s="2639">
        <v>2569976659</v>
      </c>
      <c r="R95" s="2644"/>
      <c r="S95" s="2640"/>
    </row>
    <row r="96" spans="2:19" s="325" customFormat="1" ht="11.25" customHeight="1">
      <c r="D96" s="368"/>
      <c r="E96" s="330" t="s">
        <v>2060</v>
      </c>
      <c r="H96" s="2639">
        <v>2564174921</v>
      </c>
      <c r="I96" s="2640"/>
      <c r="J96" s="2772">
        <v>208</v>
      </c>
      <c r="K96" s="1400" t="s">
        <v>2059</v>
      </c>
      <c r="L96" s="2646" t="s">
        <v>4233</v>
      </c>
      <c r="M96" s="2647"/>
      <c r="N96" s="2647"/>
      <c r="O96" s="2647"/>
      <c r="P96" s="2647"/>
      <c r="Q96" s="2647"/>
      <c r="R96" s="2647"/>
      <c r="S96" s="2648"/>
    </row>
    <row r="97" spans="2:19" ht="6.6" customHeight="1">
      <c r="H97" s="2773"/>
      <c r="I97" s="2773"/>
      <c r="J97" s="2773"/>
      <c r="K97" s="1400"/>
      <c r="L97" s="2773"/>
      <c r="M97" s="2773"/>
      <c r="N97" s="1388"/>
      <c r="O97" s="1381"/>
      <c r="P97" s="1381"/>
      <c r="Q97" s="1400"/>
      <c r="R97" s="1381"/>
      <c r="S97" s="1381"/>
    </row>
    <row r="98" spans="2:19" s="325" customFormat="1" ht="11.25" customHeight="1">
      <c r="B98" s="327" t="s">
        <v>2193</v>
      </c>
      <c r="C98" s="327" t="s">
        <v>302</v>
      </c>
      <c r="H98" s="2631" t="s">
        <v>4248</v>
      </c>
      <c r="I98" s="2692"/>
      <c r="J98" s="2692"/>
      <c r="K98" s="2692"/>
      <c r="L98" s="2692"/>
      <c r="M98" s="2692"/>
      <c r="N98" s="2693"/>
      <c r="O98" s="1386" t="s">
        <v>2065</v>
      </c>
      <c r="P98" s="1386"/>
      <c r="Q98" s="2631" t="s">
        <v>4249</v>
      </c>
      <c r="R98" s="2692"/>
      <c r="S98" s="2693"/>
    </row>
    <row r="99" spans="2:19" s="325" customFormat="1" ht="11.25" customHeight="1">
      <c r="D99" s="368"/>
      <c r="E99" s="330" t="s">
        <v>1058</v>
      </c>
      <c r="F99" s="338"/>
      <c r="H99" s="2631" t="s">
        <v>4250</v>
      </c>
      <c r="I99" s="2692"/>
      <c r="J99" s="2692"/>
      <c r="K99" s="2692"/>
      <c r="L99" s="2692"/>
      <c r="M99" s="2692"/>
      <c r="N99" s="2693"/>
      <c r="O99" s="1386" t="s">
        <v>1813</v>
      </c>
      <c r="Q99" s="2631" t="s">
        <v>4251</v>
      </c>
      <c r="R99" s="2692"/>
      <c r="S99" s="2693"/>
    </row>
    <row r="100" spans="2:19" s="325" customFormat="1" ht="11.25" customHeight="1">
      <c r="D100" s="368"/>
      <c r="E100" s="330" t="s">
        <v>642</v>
      </c>
      <c r="H100" s="2631" t="s">
        <v>4252</v>
      </c>
      <c r="I100" s="2692"/>
      <c r="J100" s="2693"/>
      <c r="K100" s="1390" t="s">
        <v>2808</v>
      </c>
      <c r="L100" s="2631" t="s">
        <v>4253</v>
      </c>
      <c r="M100" s="2692"/>
      <c r="N100" s="2693"/>
      <c r="O100" s="1386" t="s">
        <v>1869</v>
      </c>
      <c r="Q100" s="2639">
        <v>2052263425</v>
      </c>
      <c r="R100" s="2644"/>
      <c r="S100" s="2640"/>
    </row>
    <row r="101" spans="2:19" s="325" customFormat="1" ht="11.25" customHeight="1">
      <c r="D101" s="368"/>
      <c r="E101" s="330" t="s">
        <v>1865</v>
      </c>
      <c r="H101" s="2645" t="s">
        <v>870</v>
      </c>
      <c r="K101" s="1391" t="s">
        <v>2308</v>
      </c>
      <c r="L101" s="2642">
        <v>352034642</v>
      </c>
      <c r="M101" s="2693"/>
      <c r="O101" s="1386" t="s">
        <v>2054</v>
      </c>
      <c r="Q101" s="2639">
        <v>2053358539</v>
      </c>
      <c r="R101" s="2644"/>
      <c r="S101" s="2640"/>
    </row>
    <row r="102" spans="2:19" ht="11.25" customHeight="1">
      <c r="E102" s="330" t="s">
        <v>2060</v>
      </c>
      <c r="F102" s="325"/>
      <c r="G102" s="325"/>
      <c r="H102" s="2639">
        <v>2052263425</v>
      </c>
      <c r="I102" s="2640"/>
      <c r="J102" s="2772" t="s">
        <v>1006</v>
      </c>
      <c r="K102" s="1400" t="s">
        <v>2059</v>
      </c>
      <c r="L102" s="2646" t="s">
        <v>4254</v>
      </c>
      <c r="M102" s="2647"/>
      <c r="N102" s="2647"/>
      <c r="O102" s="2647"/>
      <c r="P102" s="2647"/>
      <c r="Q102" s="2647"/>
      <c r="R102" s="2647"/>
      <c r="S102" s="2648"/>
    </row>
    <row r="103" spans="2:19" ht="6" customHeight="1">
      <c r="E103" s="330"/>
      <c r="F103" s="325"/>
      <c r="G103" s="325"/>
      <c r="H103" s="325"/>
      <c r="I103" s="325"/>
      <c r="J103" s="325"/>
      <c r="K103" s="325"/>
      <c r="L103" s="325"/>
      <c r="M103" s="325"/>
      <c r="N103" s="325"/>
      <c r="O103" s="325"/>
      <c r="P103" s="325"/>
      <c r="Q103" s="1400"/>
      <c r="R103" s="1400"/>
      <c r="S103" s="2775"/>
    </row>
    <row r="104" spans="2:19" ht="0.6" customHeight="1">
      <c r="E104" s="330"/>
      <c r="F104" s="325"/>
      <c r="G104" s="1396"/>
      <c r="H104" s="2774"/>
      <c r="I104" s="2774"/>
      <c r="J104" s="2774"/>
      <c r="K104" s="1388"/>
      <c r="L104" s="2774"/>
      <c r="M104" s="2774"/>
      <c r="N104" s="1388"/>
      <c r="O104" s="1381"/>
      <c r="P104" s="1381"/>
      <c r="Q104" s="1400"/>
      <c r="R104" s="1381"/>
      <c r="S104" s="1381"/>
    </row>
    <row r="105" spans="2:19" s="325" customFormat="1" ht="11.25" customHeight="1">
      <c r="B105" s="327" t="s">
        <v>1801</v>
      </c>
      <c r="C105" s="327" t="s">
        <v>303</v>
      </c>
      <c r="H105" s="2631" t="s">
        <v>4255</v>
      </c>
      <c r="I105" s="2692"/>
      <c r="J105" s="2692"/>
      <c r="K105" s="2692"/>
      <c r="L105" s="2692"/>
      <c r="M105" s="2692"/>
      <c r="N105" s="2693"/>
      <c r="O105" s="1386" t="s">
        <v>2065</v>
      </c>
      <c r="P105" s="1386"/>
      <c r="Q105" s="2631" t="s">
        <v>4256</v>
      </c>
      <c r="R105" s="2692"/>
      <c r="S105" s="2693"/>
    </row>
    <row r="106" spans="2:19" s="325" customFormat="1" ht="11.25" customHeight="1">
      <c r="D106" s="368"/>
      <c r="E106" s="330" t="s">
        <v>1058</v>
      </c>
      <c r="F106" s="338"/>
      <c r="H106" s="2631" t="s">
        <v>4257</v>
      </c>
      <c r="I106" s="2692"/>
      <c r="J106" s="2692"/>
      <c r="K106" s="2692"/>
      <c r="L106" s="2692"/>
      <c r="M106" s="2692"/>
      <c r="N106" s="2693"/>
      <c r="O106" s="1386" t="s">
        <v>1813</v>
      </c>
      <c r="Q106" s="2631" t="s">
        <v>4258</v>
      </c>
      <c r="R106" s="2692"/>
      <c r="S106" s="2693"/>
    </row>
    <row r="107" spans="2:19" s="325" customFormat="1" ht="11.25" customHeight="1">
      <c r="D107" s="368"/>
      <c r="E107" s="330" t="s">
        <v>642</v>
      </c>
      <c r="H107" s="2631" t="s">
        <v>4259</v>
      </c>
      <c r="I107" s="2692"/>
      <c r="J107" s="2693"/>
      <c r="K107" s="1390" t="s">
        <v>2808</v>
      </c>
      <c r="L107" s="2631" t="s">
        <v>1006</v>
      </c>
      <c r="M107" s="2692"/>
      <c r="N107" s="2693"/>
      <c r="O107" s="1386" t="s">
        <v>1869</v>
      </c>
      <c r="Q107" s="2639">
        <v>2564133057</v>
      </c>
      <c r="R107" s="2644"/>
      <c r="S107" s="2640"/>
    </row>
    <row r="108" spans="2:19" s="325" customFormat="1" ht="11.25" customHeight="1">
      <c r="D108" s="368"/>
      <c r="E108" s="330" t="s">
        <v>1865</v>
      </c>
      <c r="H108" s="2645" t="s">
        <v>870</v>
      </c>
      <c r="K108" s="1391" t="s">
        <v>2308</v>
      </c>
      <c r="L108" s="2642">
        <v>359063206</v>
      </c>
      <c r="M108" s="2693"/>
      <c r="O108" s="1386" t="s">
        <v>2054</v>
      </c>
      <c r="Q108" s="2639">
        <v>2563905972</v>
      </c>
      <c r="R108" s="2644"/>
      <c r="S108" s="2640"/>
    </row>
    <row r="109" spans="2:19" ht="11.25" customHeight="1">
      <c r="E109" s="330" t="s">
        <v>2060</v>
      </c>
      <c r="F109" s="325"/>
      <c r="G109" s="325"/>
      <c r="H109" s="2639">
        <v>2564133057</v>
      </c>
      <c r="I109" s="2640"/>
      <c r="J109" s="2772" t="s">
        <v>1006</v>
      </c>
      <c r="K109" s="1400" t="s">
        <v>2059</v>
      </c>
      <c r="L109" s="2646" t="s">
        <v>4260</v>
      </c>
      <c r="M109" s="2647"/>
      <c r="N109" s="2647"/>
      <c r="O109" s="2647"/>
      <c r="P109" s="2647"/>
      <c r="Q109" s="2647"/>
      <c r="R109" s="2647"/>
      <c r="S109" s="2648"/>
    </row>
    <row r="110" spans="2:19" ht="6.6" customHeight="1">
      <c r="E110" s="330"/>
      <c r="F110" s="325"/>
      <c r="G110" s="1396"/>
      <c r="H110" s="2773"/>
      <c r="I110" s="2773"/>
      <c r="J110" s="2773"/>
      <c r="K110" s="1400"/>
      <c r="L110" s="2773"/>
      <c r="M110" s="2773"/>
      <c r="N110" s="1388"/>
      <c r="O110" s="1381"/>
      <c r="P110" s="1381"/>
      <c r="Q110" s="1400"/>
      <c r="R110" s="1381"/>
      <c r="S110" s="1381"/>
    </row>
    <row r="111" spans="2:19" s="325" customFormat="1" ht="11.25" customHeight="1">
      <c r="B111" s="327" t="s">
        <v>1802</v>
      </c>
      <c r="C111" s="327" t="s">
        <v>304</v>
      </c>
      <c r="H111" s="2631" t="s">
        <v>4261</v>
      </c>
      <c r="I111" s="2692"/>
      <c r="J111" s="2692"/>
      <c r="K111" s="2692"/>
      <c r="L111" s="2692"/>
      <c r="M111" s="2692"/>
      <c r="N111" s="2693"/>
      <c r="O111" s="1386" t="s">
        <v>2065</v>
      </c>
      <c r="P111" s="1386"/>
      <c r="Q111" s="2631" t="s">
        <v>4262</v>
      </c>
      <c r="R111" s="2692"/>
      <c r="S111" s="2693"/>
    </row>
    <row r="112" spans="2:19" s="325" customFormat="1" ht="11.25" customHeight="1">
      <c r="D112" s="368"/>
      <c r="E112" s="330" t="s">
        <v>1058</v>
      </c>
      <c r="F112" s="338"/>
      <c r="H112" s="2631" t="s">
        <v>4263</v>
      </c>
      <c r="I112" s="2692"/>
      <c r="J112" s="2692"/>
      <c r="K112" s="2692"/>
      <c r="L112" s="2692"/>
      <c r="M112" s="2692"/>
      <c r="N112" s="2693"/>
      <c r="O112" s="1386" t="s">
        <v>1813</v>
      </c>
      <c r="Q112" s="2631" t="s">
        <v>4264</v>
      </c>
      <c r="R112" s="2692"/>
      <c r="S112" s="2693"/>
    </row>
    <row r="113" spans="1:19" s="325" customFormat="1" ht="11.25" customHeight="1">
      <c r="D113" s="368"/>
      <c r="E113" s="330" t="s">
        <v>642</v>
      </c>
      <c r="H113" s="2631" t="s">
        <v>4265</v>
      </c>
      <c r="I113" s="2692"/>
      <c r="J113" s="2693"/>
      <c r="K113" s="1390" t="s">
        <v>2808</v>
      </c>
      <c r="L113" s="2631" t="s">
        <v>4266</v>
      </c>
      <c r="M113" s="2692"/>
      <c r="N113" s="2693"/>
      <c r="O113" s="1386" t="s">
        <v>1869</v>
      </c>
      <c r="Q113" s="2639">
        <v>6608267000</v>
      </c>
      <c r="R113" s="2644"/>
      <c r="S113" s="2640"/>
    </row>
    <row r="114" spans="1:19" s="325" customFormat="1" ht="11.25" customHeight="1">
      <c r="D114" s="372"/>
      <c r="E114" s="330" t="s">
        <v>1865</v>
      </c>
      <c r="H114" s="2645" t="s">
        <v>1391</v>
      </c>
      <c r="K114" s="1391" t="s">
        <v>2308</v>
      </c>
      <c r="L114" s="2642">
        <v>653012479</v>
      </c>
      <c r="M114" s="2693"/>
      <c r="O114" s="1386" t="s">
        <v>2054</v>
      </c>
      <c r="Q114" s="2639">
        <v>6602817041</v>
      </c>
      <c r="R114" s="2644"/>
      <c r="S114" s="2640"/>
    </row>
    <row r="115" spans="1:19" s="325" customFormat="1" ht="11.25" customHeight="1">
      <c r="D115" s="372"/>
      <c r="E115" s="330" t="s">
        <v>2060</v>
      </c>
      <c r="H115" s="2639">
        <v>6608267000</v>
      </c>
      <c r="I115" s="2640"/>
      <c r="J115" s="2772" t="s">
        <v>1006</v>
      </c>
      <c r="K115" s="1400" t="s">
        <v>2059</v>
      </c>
      <c r="L115" s="2646" t="s">
        <v>4267</v>
      </c>
      <c r="M115" s="2647"/>
      <c r="N115" s="2647"/>
      <c r="O115" s="2647"/>
      <c r="P115" s="2647"/>
      <c r="Q115" s="2647"/>
      <c r="R115" s="2647"/>
      <c r="S115" s="2648"/>
    </row>
    <row r="116" spans="1:19" ht="4.5" customHeight="1"/>
    <row r="117" spans="1:19" s="325" customFormat="1" ht="13.15" customHeight="1">
      <c r="A117" s="327" t="s">
        <v>1858</v>
      </c>
      <c r="B117" s="327" t="s">
        <v>2691</v>
      </c>
      <c r="F117" s="327"/>
      <c r="G117" s="1400"/>
      <c r="H117" s="1400"/>
      <c r="I117" s="1400"/>
      <c r="J117" s="1400"/>
      <c r="K117" s="1400"/>
      <c r="L117" s="1400"/>
      <c r="M117" s="1400"/>
      <c r="N117" s="1400"/>
      <c r="O117" s="1400"/>
      <c r="P117" s="1400"/>
      <c r="Q117" s="1390"/>
    </row>
    <row r="118" spans="1:19" s="325" customFormat="1" ht="11.25" customHeight="1">
      <c r="B118" s="327" t="s">
        <v>2058</v>
      </c>
      <c r="C118" s="327" t="s">
        <v>3869</v>
      </c>
      <c r="H118" s="2649" t="s">
        <v>4268</v>
      </c>
      <c r="I118" s="2650"/>
      <c r="J118" s="2651"/>
      <c r="K118" s="1400" t="s">
        <v>2560</v>
      </c>
      <c r="L118" s="2631" t="s">
        <v>1006</v>
      </c>
      <c r="M118" s="2692"/>
      <c r="N118" s="2693"/>
      <c r="O118" s="330" t="s">
        <v>3870</v>
      </c>
      <c r="Q118" s="2631">
        <v>9124090925</v>
      </c>
      <c r="R118" s="2692"/>
      <c r="S118" s="2693"/>
    </row>
    <row r="119" spans="1:19" s="325" customFormat="1" ht="11.25" customHeight="1">
      <c r="D119" s="368"/>
      <c r="E119" s="330" t="s">
        <v>1058</v>
      </c>
      <c r="F119" s="338"/>
      <c r="H119" s="2631" t="s">
        <v>4330</v>
      </c>
      <c r="I119" s="2692"/>
      <c r="J119" s="2692"/>
      <c r="K119" s="2692"/>
      <c r="L119" s="2692"/>
      <c r="M119" s="2692"/>
      <c r="N119" s="2693"/>
      <c r="O119" s="330" t="s">
        <v>642</v>
      </c>
      <c r="Q119" s="2631" t="s">
        <v>655</v>
      </c>
      <c r="R119" s="2692"/>
      <c r="S119" s="2693"/>
    </row>
    <row r="120" spans="1:19" s="325" customFormat="1" ht="11.25" customHeight="1">
      <c r="D120" s="368"/>
      <c r="E120" s="330" t="s">
        <v>1865</v>
      </c>
      <c r="H120" s="2645" t="s">
        <v>880</v>
      </c>
      <c r="I120" s="1391" t="s">
        <v>2308</v>
      </c>
      <c r="J120" s="2642">
        <v>315395740</v>
      </c>
      <c r="K120" s="2693"/>
      <c r="L120" s="1400" t="s">
        <v>2059</v>
      </c>
      <c r="M120" s="2646" t="s">
        <v>4331</v>
      </c>
      <c r="N120" s="2647"/>
      <c r="O120" s="2647"/>
      <c r="P120" s="2647"/>
      <c r="Q120" s="2647"/>
      <c r="R120" s="2647"/>
      <c r="S120" s="2648"/>
    </row>
    <row r="121" spans="1:19" ht="12" customHeight="1">
      <c r="B121" s="327" t="s">
        <v>2061</v>
      </c>
      <c r="C121" s="327" t="s">
        <v>2973</v>
      </c>
      <c r="H121" s="1379"/>
      <c r="I121" s="1379"/>
      <c r="J121" s="1379"/>
      <c r="K121" s="1379"/>
      <c r="L121" s="1379"/>
      <c r="M121" s="1379"/>
      <c r="N121" s="1379"/>
      <c r="O121" s="1379"/>
      <c r="P121" s="1379"/>
      <c r="Q121" s="1379"/>
      <c r="R121" s="1379"/>
      <c r="S121" s="1379"/>
    </row>
    <row r="122" spans="1:19" ht="11.25" customHeight="1">
      <c r="A122" s="1473" t="s">
        <v>3685</v>
      </c>
      <c r="B122" s="1473"/>
      <c r="C122" s="1473"/>
      <c r="D122" s="1473"/>
      <c r="E122" s="1474"/>
      <c r="F122" s="2776" t="s">
        <v>2597</v>
      </c>
      <c r="G122" s="2777" t="s">
        <v>3746</v>
      </c>
      <c r="H122" s="2778"/>
      <c r="I122" s="2778"/>
      <c r="J122" s="2778"/>
      <c r="K122" s="2778"/>
      <c r="L122" s="2778"/>
      <c r="M122" s="2778"/>
      <c r="N122" s="2778"/>
      <c r="O122" s="2778"/>
      <c r="P122" s="2778"/>
      <c r="Q122" s="2778"/>
      <c r="R122" s="2778"/>
      <c r="S122" s="2779"/>
    </row>
    <row r="123" spans="1:19" s="325" customFormat="1" ht="31.5" customHeight="1">
      <c r="B123" s="571"/>
      <c r="C123" s="815" t="s">
        <v>2062</v>
      </c>
      <c r="D123" s="1475" t="s">
        <v>2974</v>
      </c>
      <c r="E123" s="1476"/>
      <c r="F123" s="2780" t="s">
        <v>3153</v>
      </c>
      <c r="G123" s="2781" t="s">
        <v>4269</v>
      </c>
      <c r="H123" s="2782"/>
      <c r="I123" s="2782"/>
      <c r="J123" s="2782"/>
      <c r="K123" s="2782"/>
      <c r="L123" s="2782"/>
      <c r="M123" s="2782"/>
      <c r="N123" s="2782"/>
      <c r="O123" s="2782"/>
      <c r="P123" s="2782"/>
      <c r="Q123" s="2782"/>
      <c r="R123" s="2782"/>
      <c r="S123" s="2783"/>
    </row>
    <row r="124" spans="1:19" s="325" customFormat="1" ht="31.5" customHeight="1">
      <c r="B124" s="571"/>
      <c r="C124" s="815" t="s">
        <v>2064</v>
      </c>
      <c r="D124" s="1475" t="s">
        <v>3045</v>
      </c>
      <c r="E124" s="1476"/>
      <c r="F124" s="2784" t="s">
        <v>3156</v>
      </c>
      <c r="G124" s="2757"/>
      <c r="H124" s="2758"/>
      <c r="I124" s="2758"/>
      <c r="J124" s="2758"/>
      <c r="K124" s="2758"/>
      <c r="L124" s="2758"/>
      <c r="M124" s="2758"/>
      <c r="N124" s="2758"/>
      <c r="O124" s="2758"/>
      <c r="P124" s="2758"/>
      <c r="Q124" s="2758"/>
      <c r="R124" s="2758"/>
      <c r="S124" s="2785"/>
    </row>
    <row r="125" spans="1:19" s="325" customFormat="1" ht="31.5" customHeight="1">
      <c r="B125" s="571"/>
      <c r="C125" s="815" t="s">
        <v>2622</v>
      </c>
      <c r="D125" s="1475" t="s">
        <v>3017</v>
      </c>
      <c r="E125" s="1476"/>
      <c r="F125" s="2784" t="s">
        <v>3153</v>
      </c>
      <c r="G125" s="2757" t="s">
        <v>4270</v>
      </c>
      <c r="H125" s="2758"/>
      <c r="I125" s="2758"/>
      <c r="J125" s="2758"/>
      <c r="K125" s="2758"/>
      <c r="L125" s="2758"/>
      <c r="M125" s="2758"/>
      <c r="N125" s="2758"/>
      <c r="O125" s="2758"/>
      <c r="P125" s="2758"/>
      <c r="Q125" s="2758"/>
      <c r="R125" s="2758"/>
      <c r="S125" s="2785"/>
    </row>
    <row r="126" spans="1:19" s="325" customFormat="1" ht="31.5" customHeight="1">
      <c r="B126" s="571"/>
      <c r="C126" s="815" t="s">
        <v>1270</v>
      </c>
      <c r="D126" s="1475" t="s">
        <v>2975</v>
      </c>
      <c r="E126" s="1476"/>
      <c r="F126" s="2784" t="s">
        <v>3156</v>
      </c>
      <c r="G126" s="2757"/>
      <c r="H126" s="2758"/>
      <c r="I126" s="2758"/>
      <c r="J126" s="2758"/>
      <c r="K126" s="2758"/>
      <c r="L126" s="2758"/>
      <c r="M126" s="2758"/>
      <c r="N126" s="2758"/>
      <c r="O126" s="2758"/>
      <c r="P126" s="2758"/>
      <c r="Q126" s="2758"/>
      <c r="R126" s="2758"/>
      <c r="S126" s="2785"/>
    </row>
    <row r="127" spans="1:19" s="325" customFormat="1" ht="31.5" customHeight="1">
      <c r="B127" s="571"/>
      <c r="C127" s="815" t="s">
        <v>1271</v>
      </c>
      <c r="D127" s="1475" t="s">
        <v>3725</v>
      </c>
      <c r="E127" s="1476"/>
      <c r="F127" s="2784" t="s">
        <v>3156</v>
      </c>
      <c r="G127" s="2757"/>
      <c r="H127" s="2758"/>
      <c r="I127" s="2758"/>
      <c r="J127" s="2758"/>
      <c r="K127" s="2758"/>
      <c r="L127" s="2758"/>
      <c r="M127" s="2758"/>
      <c r="N127" s="2758"/>
      <c r="O127" s="2758"/>
      <c r="P127" s="2758"/>
      <c r="Q127" s="2758"/>
      <c r="R127" s="2758"/>
      <c r="S127" s="2785"/>
    </row>
    <row r="128" spans="1:19" s="325" customFormat="1" ht="31.5" customHeight="1">
      <c r="B128" s="571"/>
      <c r="C128" s="815" t="s">
        <v>1955</v>
      </c>
      <c r="D128" s="1475" t="s">
        <v>3726</v>
      </c>
      <c r="E128" s="1476"/>
      <c r="F128" s="2784" t="s">
        <v>3156</v>
      </c>
      <c r="G128" s="2757"/>
      <c r="H128" s="2758"/>
      <c r="I128" s="2758"/>
      <c r="J128" s="2758"/>
      <c r="K128" s="2758"/>
      <c r="L128" s="2758"/>
      <c r="M128" s="2758"/>
      <c r="N128" s="2758"/>
      <c r="O128" s="2758"/>
      <c r="P128" s="2758"/>
      <c r="Q128" s="2758"/>
      <c r="R128" s="2758"/>
      <c r="S128" s="2785"/>
    </row>
    <row r="129" spans="1:19" s="325" customFormat="1" ht="31.5" customHeight="1">
      <c r="B129" s="571"/>
      <c r="C129" s="815" t="s">
        <v>521</v>
      </c>
      <c r="D129" s="1475" t="s">
        <v>2976</v>
      </c>
      <c r="E129" s="1476"/>
      <c r="F129" s="2784" t="s">
        <v>3156</v>
      </c>
      <c r="G129" s="2757"/>
      <c r="H129" s="2758"/>
      <c r="I129" s="2758"/>
      <c r="J129" s="2758"/>
      <c r="K129" s="2758"/>
      <c r="L129" s="2758"/>
      <c r="M129" s="2758"/>
      <c r="N129" s="2758"/>
      <c r="O129" s="2758"/>
      <c r="P129" s="2758"/>
      <c r="Q129" s="2758"/>
      <c r="R129" s="2758"/>
      <c r="S129" s="2785"/>
    </row>
    <row r="130" spans="1:19" s="325" customFormat="1" ht="31.5" customHeight="1">
      <c r="B130" s="571"/>
      <c r="C130" s="815" t="s">
        <v>522</v>
      </c>
      <c r="D130" s="1475" t="s">
        <v>1659</v>
      </c>
      <c r="E130" s="1476"/>
      <c r="F130" s="2786" t="s">
        <v>3153</v>
      </c>
      <c r="G130" s="2787" t="s">
        <v>4271</v>
      </c>
      <c r="H130" s="2788"/>
      <c r="I130" s="2788"/>
      <c r="J130" s="2788"/>
      <c r="K130" s="2788"/>
      <c r="L130" s="2788"/>
      <c r="M130" s="2788"/>
      <c r="N130" s="2788"/>
      <c r="O130" s="2788"/>
      <c r="P130" s="2788"/>
      <c r="Q130" s="2788"/>
      <c r="R130" s="2788"/>
      <c r="S130" s="2789"/>
    </row>
    <row r="131" spans="1:19" s="325" customFormat="1" ht="13.15" customHeight="1">
      <c r="A131" s="327" t="s">
        <v>1858</v>
      </c>
      <c r="B131" s="327" t="s">
        <v>2986</v>
      </c>
      <c r="F131" s="327"/>
      <c r="G131" s="1400"/>
      <c r="H131" s="1400"/>
      <c r="I131" s="1400"/>
      <c r="J131" s="1400"/>
      <c r="K131" s="1400"/>
      <c r="L131" s="1400"/>
      <c r="M131" s="1400"/>
      <c r="N131" s="1400"/>
      <c r="O131" s="1400"/>
      <c r="P131" s="1400"/>
      <c r="Q131" s="1390"/>
    </row>
    <row r="132" spans="1:19" s="325" customFormat="1" ht="2.25" customHeight="1">
      <c r="A132" s="327"/>
      <c r="B132" s="327"/>
      <c r="F132" s="327"/>
      <c r="G132" s="1400"/>
      <c r="H132" s="1400"/>
      <c r="I132" s="1400"/>
      <c r="J132" s="1400"/>
      <c r="K132" s="1400"/>
      <c r="L132" s="1400"/>
      <c r="M132" s="1400"/>
      <c r="N132" s="1400"/>
      <c r="O132" s="1400"/>
      <c r="P132" s="1400"/>
      <c r="Q132" s="1390"/>
    </row>
    <row r="133" spans="1:19" ht="13.15" customHeight="1">
      <c r="B133" s="327" t="s">
        <v>779</v>
      </c>
      <c r="C133" s="327" t="s">
        <v>2977</v>
      </c>
    </row>
    <row r="134" spans="1:19" s="325" customFormat="1" ht="13.5" customHeight="1">
      <c r="A134" s="1486" t="s">
        <v>664</v>
      </c>
      <c r="B134" s="1487"/>
      <c r="C134" s="1487"/>
      <c r="D134" s="1487"/>
      <c r="E134" s="1507" t="s">
        <v>3691</v>
      </c>
      <c r="F134" s="1508"/>
      <c r="G134" s="1508"/>
      <c r="H134" s="1508"/>
      <c r="I134" s="1509"/>
      <c r="J134" s="1504" t="s">
        <v>3692</v>
      </c>
      <c r="K134" s="1513" t="s">
        <v>3064</v>
      </c>
      <c r="L134" s="1513" t="s">
        <v>3065</v>
      </c>
      <c r="M134" s="1498" t="s">
        <v>3708</v>
      </c>
      <c r="N134" s="1499"/>
      <c r="O134" s="1499"/>
      <c r="P134" s="1499"/>
      <c r="Q134" s="1499"/>
      <c r="R134" s="1499"/>
      <c r="S134" s="1500"/>
    </row>
    <row r="135" spans="1:19" s="325"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5"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5" customFormat="1" ht="23.25" customHeight="1">
      <c r="A137" s="1488"/>
      <c r="B137" s="1489"/>
      <c r="C137" s="1489"/>
      <c r="D137" s="1489"/>
      <c r="E137" s="1492" t="s">
        <v>3724</v>
      </c>
      <c r="F137" s="1493"/>
      <c r="G137" s="1493"/>
      <c r="H137" s="1494"/>
      <c r="I137" s="816"/>
      <c r="J137" s="1505"/>
      <c r="K137" s="1514"/>
      <c r="L137" s="1514"/>
      <c r="M137" s="1501"/>
      <c r="N137" s="1502"/>
      <c r="O137" s="1502"/>
      <c r="P137" s="1502"/>
      <c r="Q137" s="1502"/>
      <c r="R137" s="1502"/>
      <c r="S137" s="1503"/>
    </row>
    <row r="138" spans="1:19" s="325" customFormat="1" ht="13.5" customHeight="1">
      <c r="A138" s="1490"/>
      <c r="B138" s="1491"/>
      <c r="C138" s="1491"/>
      <c r="D138" s="1491"/>
      <c r="E138" s="1495"/>
      <c r="F138" s="1496"/>
      <c r="G138" s="1496"/>
      <c r="H138" s="1497"/>
      <c r="I138" s="1130" t="s">
        <v>2597</v>
      </c>
      <c r="J138" s="1506"/>
      <c r="K138" s="1515"/>
      <c r="L138" s="1514"/>
      <c r="M138" s="402" t="s">
        <v>2597</v>
      </c>
      <c r="N138" s="1457" t="s">
        <v>3063</v>
      </c>
      <c r="O138" s="1457"/>
      <c r="P138" s="1457"/>
      <c r="Q138" s="1457"/>
      <c r="R138" s="1457"/>
      <c r="S138" s="1516"/>
    </row>
    <row r="139" spans="1:19" s="325" customFormat="1" ht="24" customHeight="1">
      <c r="A139" s="1483" t="s">
        <v>3686</v>
      </c>
      <c r="B139" s="1484"/>
      <c r="C139" s="1484"/>
      <c r="D139" s="1485"/>
      <c r="E139" s="2781"/>
      <c r="F139" s="2782"/>
      <c r="G139" s="2782"/>
      <c r="H139" s="2782"/>
      <c r="I139" s="2790" t="s">
        <v>3156</v>
      </c>
      <c r="J139" s="2780" t="s">
        <v>3156</v>
      </c>
      <c r="K139" s="2791" t="s">
        <v>4232</v>
      </c>
      <c r="L139" s="2792">
        <v>1E-4</v>
      </c>
      <c r="M139" s="2793" t="s">
        <v>3156</v>
      </c>
      <c r="N139" s="2794"/>
      <c r="O139" s="2782"/>
      <c r="P139" s="2782"/>
      <c r="Q139" s="2782"/>
      <c r="R139" s="2782"/>
      <c r="S139" s="2783"/>
    </row>
    <row r="140" spans="1:19" s="325" customFormat="1" ht="24" customHeight="1">
      <c r="A140" s="1480" t="s">
        <v>3687</v>
      </c>
      <c r="B140" s="1481"/>
      <c r="C140" s="1481"/>
      <c r="D140" s="1482"/>
      <c r="E140" s="2757"/>
      <c r="F140" s="2758"/>
      <c r="G140" s="2758"/>
      <c r="H140" s="2758"/>
      <c r="I140" s="2795"/>
      <c r="J140" s="2784"/>
      <c r="K140" s="2796"/>
      <c r="L140" s="2797"/>
      <c r="M140" s="2798"/>
      <c r="N140" s="2799"/>
      <c r="O140" s="2758"/>
      <c r="P140" s="2758"/>
      <c r="Q140" s="2758"/>
      <c r="R140" s="2758"/>
      <c r="S140" s="2785"/>
    </row>
    <row r="141" spans="1:19" s="325" customFormat="1" ht="24" customHeight="1">
      <c r="A141" s="1480" t="s">
        <v>3688</v>
      </c>
      <c r="B141" s="1481"/>
      <c r="C141" s="1481"/>
      <c r="D141" s="1482"/>
      <c r="E141" s="2757"/>
      <c r="F141" s="2758"/>
      <c r="G141" s="2758"/>
      <c r="H141" s="2758"/>
      <c r="I141" s="2795"/>
      <c r="J141" s="2784"/>
      <c r="K141" s="2796"/>
      <c r="L141" s="2797"/>
      <c r="M141" s="2798"/>
      <c r="N141" s="2799"/>
      <c r="O141" s="2758"/>
      <c r="P141" s="2758"/>
      <c r="Q141" s="2758"/>
      <c r="R141" s="2758"/>
      <c r="S141" s="2785"/>
    </row>
    <row r="142" spans="1:19" s="325" customFormat="1" ht="24" customHeight="1">
      <c r="A142" s="1480" t="s">
        <v>3689</v>
      </c>
      <c r="B142" s="1481"/>
      <c r="C142" s="1481"/>
      <c r="D142" s="1482"/>
      <c r="E142" s="2757"/>
      <c r="F142" s="2758"/>
      <c r="G142" s="2758"/>
      <c r="H142" s="2758"/>
      <c r="I142" s="2795" t="s">
        <v>3156</v>
      </c>
      <c r="J142" s="2784" t="s">
        <v>3156</v>
      </c>
      <c r="K142" s="2796" t="s">
        <v>4232</v>
      </c>
      <c r="L142" s="2797">
        <v>0.9899</v>
      </c>
      <c r="M142" s="2798" t="s">
        <v>3156</v>
      </c>
      <c r="N142" s="2799"/>
      <c r="O142" s="2758"/>
      <c r="P142" s="2758"/>
      <c r="Q142" s="2758"/>
      <c r="R142" s="2758"/>
      <c r="S142" s="2785"/>
    </row>
    <row r="143" spans="1:19" s="325" customFormat="1" ht="24" customHeight="1">
      <c r="A143" s="1480" t="s">
        <v>3690</v>
      </c>
      <c r="B143" s="1481"/>
      <c r="C143" s="1481"/>
      <c r="D143" s="1482"/>
      <c r="E143" s="2757"/>
      <c r="F143" s="2758"/>
      <c r="G143" s="2758"/>
      <c r="H143" s="2758"/>
      <c r="I143" s="2795" t="s">
        <v>3156</v>
      </c>
      <c r="J143" s="2784" t="s">
        <v>3156</v>
      </c>
      <c r="K143" s="2796" t="s">
        <v>4232</v>
      </c>
      <c r="L143" s="2797">
        <v>0.01</v>
      </c>
      <c r="M143" s="2798" t="s">
        <v>3156</v>
      </c>
      <c r="N143" s="2799"/>
      <c r="O143" s="2758"/>
      <c r="P143" s="2758"/>
      <c r="Q143" s="2758"/>
      <c r="R143" s="2758"/>
      <c r="S143" s="2785"/>
    </row>
    <row r="144" spans="1:19" s="325" customFormat="1" ht="24" customHeight="1">
      <c r="A144" s="1480" t="s">
        <v>3038</v>
      </c>
      <c r="B144" s="1481"/>
      <c r="C144" s="1481"/>
      <c r="D144" s="1482"/>
      <c r="E144" s="2757"/>
      <c r="F144" s="2758"/>
      <c r="G144" s="2758"/>
      <c r="H144" s="2758"/>
      <c r="I144" s="2795"/>
      <c r="J144" s="2784"/>
      <c r="K144" s="2796"/>
      <c r="L144" s="2797"/>
      <c r="M144" s="2798"/>
      <c r="N144" s="2799"/>
      <c r="O144" s="2758"/>
      <c r="P144" s="2758"/>
      <c r="Q144" s="2758"/>
      <c r="R144" s="2758"/>
      <c r="S144" s="2785"/>
    </row>
    <row r="145" spans="1:24" s="325" customFormat="1" ht="24" customHeight="1">
      <c r="A145" s="1480" t="s">
        <v>678</v>
      </c>
      <c r="B145" s="1481"/>
      <c r="C145" s="1481"/>
      <c r="D145" s="1482"/>
      <c r="E145" s="2757"/>
      <c r="F145" s="2758"/>
      <c r="G145" s="2758"/>
      <c r="H145" s="2758"/>
      <c r="I145" s="2795" t="s">
        <v>3156</v>
      </c>
      <c r="J145" s="2784" t="s">
        <v>3156</v>
      </c>
      <c r="K145" s="2796" t="s">
        <v>4232</v>
      </c>
      <c r="L145" s="2797">
        <v>0</v>
      </c>
      <c r="M145" s="2798" t="s">
        <v>3156</v>
      </c>
      <c r="N145" s="2799"/>
      <c r="O145" s="2758"/>
      <c r="P145" s="2758"/>
      <c r="Q145" s="2758"/>
      <c r="R145" s="2758"/>
      <c r="S145" s="2785"/>
    </row>
    <row r="146" spans="1:24" s="325" customFormat="1" ht="24" customHeight="1">
      <c r="A146" s="1480" t="s">
        <v>3039</v>
      </c>
      <c r="B146" s="1481"/>
      <c r="C146" s="1481"/>
      <c r="D146" s="1482"/>
      <c r="E146" s="2757"/>
      <c r="F146" s="2758"/>
      <c r="G146" s="2758"/>
      <c r="H146" s="2758"/>
      <c r="I146" s="2795"/>
      <c r="J146" s="2784"/>
      <c r="K146" s="2796"/>
      <c r="L146" s="2797"/>
      <c r="M146" s="2798"/>
      <c r="N146" s="2799"/>
      <c r="O146" s="2758"/>
      <c r="P146" s="2758"/>
      <c r="Q146" s="2758"/>
      <c r="R146" s="2758"/>
      <c r="S146" s="2785"/>
    </row>
    <row r="147" spans="1:24" s="325" customFormat="1" ht="24" customHeight="1">
      <c r="A147" s="1480" t="s">
        <v>3040</v>
      </c>
      <c r="B147" s="1481"/>
      <c r="C147" s="1481"/>
      <c r="D147" s="1482"/>
      <c r="E147" s="2757"/>
      <c r="F147" s="2758"/>
      <c r="G147" s="2758"/>
      <c r="H147" s="2758"/>
      <c r="I147" s="2795"/>
      <c r="J147" s="2784"/>
      <c r="K147" s="2796"/>
      <c r="L147" s="2797"/>
      <c r="M147" s="2798"/>
      <c r="N147" s="2799"/>
      <c r="O147" s="2758"/>
      <c r="P147" s="2758"/>
      <c r="Q147" s="2758"/>
      <c r="R147" s="2758"/>
      <c r="S147" s="2785"/>
    </row>
    <row r="148" spans="1:24" s="325" customFormat="1" ht="24" customHeight="1">
      <c r="A148" s="1480" t="s">
        <v>3042</v>
      </c>
      <c r="B148" s="1481"/>
      <c r="C148" s="1481"/>
      <c r="D148" s="1482"/>
      <c r="E148" s="2757"/>
      <c r="F148" s="2758"/>
      <c r="G148" s="2758"/>
      <c r="H148" s="2758"/>
      <c r="I148" s="2795"/>
      <c r="J148" s="2784"/>
      <c r="K148" s="2796"/>
      <c r="L148" s="2797"/>
      <c r="M148" s="2798"/>
      <c r="N148" s="2799" t="s">
        <v>254</v>
      </c>
      <c r="O148" s="2758"/>
      <c r="P148" s="2758"/>
      <c r="Q148" s="2758"/>
      <c r="R148" s="2758"/>
      <c r="S148" s="2785"/>
    </row>
    <row r="149" spans="1:24" s="325" customFormat="1" ht="24" customHeight="1">
      <c r="A149" s="1480" t="s">
        <v>3041</v>
      </c>
      <c r="B149" s="1481"/>
      <c r="C149" s="1481"/>
      <c r="D149" s="1482"/>
      <c r="E149" s="2757"/>
      <c r="F149" s="2758"/>
      <c r="G149" s="2758"/>
      <c r="H149" s="2758"/>
      <c r="I149" s="2795"/>
      <c r="J149" s="2784"/>
      <c r="K149" s="2796"/>
      <c r="L149" s="2797"/>
      <c r="M149" s="2798"/>
      <c r="N149" s="2799"/>
      <c r="O149" s="2758"/>
      <c r="P149" s="2758"/>
      <c r="Q149" s="2758"/>
      <c r="R149" s="2758"/>
      <c r="S149" s="2785"/>
    </row>
    <row r="150" spans="1:24" s="325" customFormat="1" ht="24" customHeight="1">
      <c r="A150" s="1480" t="s">
        <v>1586</v>
      </c>
      <c r="B150" s="1481"/>
      <c r="C150" s="1481"/>
      <c r="D150" s="1482"/>
      <c r="E150" s="2757"/>
      <c r="F150" s="2758"/>
      <c r="G150" s="2758"/>
      <c r="H150" s="2758"/>
      <c r="I150" s="2795" t="s">
        <v>3156</v>
      </c>
      <c r="J150" s="2784" t="s">
        <v>3156</v>
      </c>
      <c r="K150" s="2796" t="s">
        <v>4232</v>
      </c>
      <c r="L150" s="2797">
        <v>0</v>
      </c>
      <c r="M150" s="2798" t="s">
        <v>3156</v>
      </c>
      <c r="N150" s="2799"/>
      <c r="O150" s="2758"/>
      <c r="P150" s="2758"/>
      <c r="Q150" s="2758"/>
      <c r="R150" s="2758"/>
      <c r="S150" s="2785"/>
    </row>
    <row r="151" spans="1:24" s="325" customFormat="1" ht="24" customHeight="1">
      <c r="A151" s="1477" t="s">
        <v>3043</v>
      </c>
      <c r="B151" s="1478"/>
      <c r="C151" s="1478"/>
      <c r="D151" s="1479"/>
      <c r="E151" s="2787"/>
      <c r="F151" s="2788"/>
      <c r="G151" s="2788"/>
      <c r="H151" s="2788"/>
      <c r="I151" s="2800" t="s">
        <v>3156</v>
      </c>
      <c r="J151" s="2786" t="s">
        <v>3156</v>
      </c>
      <c r="K151" s="2801" t="s">
        <v>4232</v>
      </c>
      <c r="L151" s="2802">
        <v>0</v>
      </c>
      <c r="M151" s="2803" t="s">
        <v>3156</v>
      </c>
      <c r="N151" s="2804"/>
      <c r="O151" s="2788"/>
      <c r="P151" s="2788"/>
      <c r="Q151" s="2788"/>
      <c r="R151" s="2788"/>
      <c r="S151" s="2789"/>
    </row>
    <row r="152" spans="1:24" s="1396" customFormat="1" ht="12" customHeight="1">
      <c r="G152" s="336"/>
      <c r="H152" s="336"/>
      <c r="I152" s="336"/>
      <c r="J152" s="1400"/>
      <c r="K152" s="351" t="s">
        <v>558</v>
      </c>
      <c r="L152" s="646">
        <f>SUM(L139:S151)</f>
        <v>1</v>
      </c>
      <c r="M152" s="1400"/>
      <c r="P152" s="334"/>
    </row>
    <row r="153" spans="1:24" ht="11.25" customHeight="1">
      <c r="A153" s="353" t="s">
        <v>1860</v>
      </c>
      <c r="B153" s="367"/>
      <c r="C153" s="353" t="s">
        <v>593</v>
      </c>
      <c r="N153" s="353" t="s">
        <v>549</v>
      </c>
      <c r="O153" s="353" t="s">
        <v>81</v>
      </c>
    </row>
    <row r="154" spans="1:24" ht="60" customHeight="1">
      <c r="A154" s="2746" t="s">
        <v>4397</v>
      </c>
      <c r="B154" s="2747"/>
      <c r="C154" s="2747"/>
      <c r="D154" s="2747"/>
      <c r="E154" s="2747"/>
      <c r="F154" s="2747"/>
      <c r="G154" s="2747"/>
      <c r="H154" s="2747"/>
      <c r="I154" s="2747"/>
      <c r="J154" s="2747"/>
      <c r="K154" s="2747"/>
      <c r="L154" s="2747"/>
      <c r="M154" s="2748"/>
      <c r="N154" s="2749"/>
      <c r="O154" s="2750"/>
      <c r="P154" s="2750"/>
      <c r="Q154" s="2750"/>
      <c r="R154" s="2750"/>
      <c r="S154" s="2751"/>
      <c r="T154" s="1444" t="s">
        <v>2796</v>
      </c>
      <c r="U154" s="1444"/>
      <c r="V154" s="1444"/>
      <c r="W154" s="1444"/>
      <c r="X154" s="1444"/>
    </row>
    <row r="155" spans="1:24" s="325" customFormat="1" ht="12" customHeight="1">
      <c r="A155" s="331"/>
      <c r="B155" s="344"/>
      <c r="C155" s="344"/>
      <c r="D155" s="344"/>
      <c r="E155" s="344"/>
      <c r="F155" s="344"/>
      <c r="G155" s="344"/>
      <c r="H155" s="344"/>
      <c r="I155" s="344"/>
      <c r="J155" s="344"/>
      <c r="K155" s="344"/>
      <c r="L155" s="344"/>
      <c r="M155" s="344"/>
      <c r="N155" s="344"/>
      <c r="O155" s="344"/>
      <c r="T155" s="1444"/>
      <c r="U155" s="1444"/>
      <c r="V155" s="1444"/>
      <c r="W155" s="1444"/>
      <c r="X155" s="1444"/>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805" t="s">
        <v>1865</v>
      </c>
    </row>
    <row r="160" spans="1:24" s="325" customFormat="1" ht="12" customHeight="1">
      <c r="A160" s="368"/>
      <c r="B160" s="344"/>
      <c r="C160" s="344"/>
      <c r="D160" s="344"/>
      <c r="E160" s="344"/>
      <c r="F160" s="344"/>
      <c r="G160" s="344"/>
      <c r="H160" s="344"/>
      <c r="I160" s="344"/>
      <c r="J160" s="344"/>
      <c r="K160" s="344"/>
      <c r="L160" s="344"/>
      <c r="M160" s="344"/>
      <c r="N160" s="344"/>
      <c r="O160" s="344"/>
      <c r="P160" s="2806" t="s">
        <v>870</v>
      </c>
    </row>
    <row r="161" spans="1:16" s="325" customFormat="1" ht="12" customHeight="1">
      <c r="A161" s="368"/>
      <c r="B161" s="344"/>
      <c r="C161" s="344"/>
      <c r="D161" s="344"/>
      <c r="E161" s="344"/>
      <c r="F161" s="344"/>
      <c r="G161" s="344"/>
      <c r="H161" s="344"/>
      <c r="I161" s="344"/>
      <c r="J161" s="344"/>
      <c r="K161" s="344"/>
      <c r="L161" s="344"/>
      <c r="M161" s="344"/>
      <c r="N161" s="344"/>
      <c r="O161" s="344"/>
      <c r="P161" s="2806" t="s">
        <v>871</v>
      </c>
    </row>
    <row r="162" spans="1:16" s="325" customFormat="1" ht="12" customHeight="1">
      <c r="A162" s="368"/>
      <c r="B162" s="344"/>
      <c r="C162" s="344"/>
      <c r="D162" s="344"/>
      <c r="E162" s="344"/>
      <c r="F162" s="344"/>
      <c r="G162" s="344"/>
      <c r="H162" s="344"/>
      <c r="I162" s="344"/>
      <c r="J162" s="344"/>
      <c r="K162" s="344"/>
      <c r="L162" s="344"/>
      <c r="M162" s="344"/>
      <c r="N162" s="344"/>
      <c r="O162" s="344"/>
      <c r="P162" s="2806" t="s">
        <v>872</v>
      </c>
    </row>
    <row r="163" spans="1:16" s="325" customFormat="1" ht="12" customHeight="1">
      <c r="A163" s="539"/>
      <c r="B163" s="344"/>
      <c r="C163" s="344"/>
      <c r="D163" s="344"/>
      <c r="E163" s="344"/>
      <c r="F163" s="344"/>
      <c r="G163" s="344"/>
      <c r="H163" s="344"/>
      <c r="I163" s="344"/>
      <c r="J163" s="344"/>
      <c r="K163" s="344"/>
      <c r="L163" s="344"/>
      <c r="M163" s="344"/>
      <c r="N163" s="344"/>
      <c r="O163" s="344"/>
      <c r="P163" s="2806" t="s">
        <v>873</v>
      </c>
    </row>
    <row r="164" spans="1:16" s="325" customFormat="1" ht="12" customHeight="1">
      <c r="B164" s="344"/>
      <c r="C164" s="344"/>
      <c r="D164" s="344"/>
      <c r="E164" s="344"/>
      <c r="F164" s="344"/>
      <c r="G164" s="344"/>
      <c r="H164" s="344"/>
      <c r="I164" s="344"/>
      <c r="J164" s="344"/>
      <c r="K164" s="344"/>
      <c r="L164" s="344"/>
      <c r="M164" s="344"/>
      <c r="N164" s="344"/>
      <c r="O164" s="344"/>
      <c r="P164" s="2806" t="s">
        <v>874</v>
      </c>
    </row>
    <row r="165" spans="1:16" s="325" customFormat="1" ht="12" customHeight="1">
      <c r="B165" s="344"/>
      <c r="C165" s="344"/>
      <c r="D165" s="344"/>
      <c r="E165" s="344"/>
      <c r="F165" s="344"/>
      <c r="G165" s="344"/>
      <c r="H165" s="344"/>
      <c r="I165" s="344"/>
      <c r="J165" s="344"/>
      <c r="K165" s="344"/>
      <c r="L165" s="344"/>
      <c r="M165" s="344"/>
      <c r="N165" s="344"/>
      <c r="O165" s="344"/>
      <c r="P165" s="2806" t="s">
        <v>875</v>
      </c>
    </row>
    <row r="166" spans="1:16" s="325" customFormat="1" ht="12" customHeight="1">
      <c r="B166" s="344"/>
      <c r="C166" s="344"/>
      <c r="D166" s="344"/>
      <c r="E166" s="344"/>
      <c r="F166" s="344"/>
      <c r="G166" s="344"/>
      <c r="H166" s="344"/>
      <c r="I166" s="344"/>
      <c r="J166" s="344"/>
      <c r="K166" s="344"/>
      <c r="L166" s="344"/>
      <c r="M166" s="344"/>
      <c r="N166" s="344"/>
      <c r="O166" s="344"/>
      <c r="P166" s="2806" t="s">
        <v>876</v>
      </c>
    </row>
    <row r="167" spans="1:16" s="325" customFormat="1" ht="12" customHeight="1">
      <c r="B167" s="344"/>
      <c r="C167" s="344"/>
      <c r="D167" s="344"/>
      <c r="E167" s="344"/>
      <c r="F167" s="344"/>
      <c r="G167" s="344"/>
      <c r="H167" s="344"/>
      <c r="I167" s="344"/>
      <c r="J167" s="344"/>
      <c r="K167" s="344"/>
      <c r="L167" s="344"/>
      <c r="M167" s="344"/>
      <c r="N167" s="344"/>
      <c r="O167" s="344"/>
      <c r="P167" s="2806" t="s">
        <v>877</v>
      </c>
    </row>
    <row r="168" spans="1:16" ht="12" customHeight="1">
      <c r="P168" s="2806" t="s">
        <v>878</v>
      </c>
    </row>
    <row r="169" spans="1:16" ht="12" customHeight="1">
      <c r="A169" s="353"/>
      <c r="P169" s="2806" t="s">
        <v>879</v>
      </c>
    </row>
    <row r="170" spans="1:16" ht="12" customHeight="1">
      <c r="P170" s="2806" t="s">
        <v>880</v>
      </c>
    </row>
    <row r="171" spans="1:16" ht="12" customHeight="1">
      <c r="P171" s="2806" t="s">
        <v>881</v>
      </c>
    </row>
    <row r="172" spans="1:16" ht="12" customHeight="1">
      <c r="P172" s="2806" t="s">
        <v>882</v>
      </c>
    </row>
    <row r="173" spans="1:16" ht="12" customHeight="1">
      <c r="P173" s="2806" t="s">
        <v>883</v>
      </c>
    </row>
    <row r="174" spans="1:16" ht="12" customHeight="1">
      <c r="P174" s="2806" t="s">
        <v>884</v>
      </c>
    </row>
    <row r="175" spans="1:16" ht="12" customHeight="1">
      <c r="P175" s="2806" t="s">
        <v>885</v>
      </c>
    </row>
    <row r="176" spans="1:16" ht="12" customHeight="1">
      <c r="P176" s="2806" t="s">
        <v>886</v>
      </c>
    </row>
    <row r="177" spans="16:16" ht="12" customHeight="1">
      <c r="P177" s="2806" t="s">
        <v>887</v>
      </c>
    </row>
    <row r="178" spans="16:16" ht="12" customHeight="1">
      <c r="P178" s="2806" t="s">
        <v>888</v>
      </c>
    </row>
    <row r="179" spans="16:16" ht="12" customHeight="1">
      <c r="P179" s="2806" t="s">
        <v>889</v>
      </c>
    </row>
    <row r="180" spans="16:16" ht="12" customHeight="1">
      <c r="P180" s="2806" t="s">
        <v>890</v>
      </c>
    </row>
    <row r="181" spans="16:16" ht="12" customHeight="1">
      <c r="P181" s="2806" t="s">
        <v>891</v>
      </c>
    </row>
    <row r="182" spans="16:16" ht="12" customHeight="1">
      <c r="P182" s="2806" t="s">
        <v>892</v>
      </c>
    </row>
    <row r="183" spans="16:16" ht="12" customHeight="1">
      <c r="P183" s="2806" t="s">
        <v>893</v>
      </c>
    </row>
    <row r="184" spans="16:16" ht="12" customHeight="1">
      <c r="P184" s="2806" t="s">
        <v>894</v>
      </c>
    </row>
    <row r="185" spans="16:16" ht="12" customHeight="1">
      <c r="P185" s="2806" t="s">
        <v>1391</v>
      </c>
    </row>
    <row r="186" spans="16:16" ht="12" customHeight="1">
      <c r="P186" s="2806" t="s">
        <v>1392</v>
      </c>
    </row>
    <row r="187" spans="16:16" ht="12" customHeight="1">
      <c r="P187" s="2806" t="s">
        <v>1393</v>
      </c>
    </row>
    <row r="188" spans="16:16" ht="12" customHeight="1">
      <c r="P188" s="2806" t="s">
        <v>1394</v>
      </c>
    </row>
    <row r="189" spans="16:16" ht="12" customHeight="1">
      <c r="P189" s="2806" t="s">
        <v>1395</v>
      </c>
    </row>
    <row r="190" spans="16:16" ht="13.5">
      <c r="P190" s="2806" t="s">
        <v>1396</v>
      </c>
    </row>
    <row r="191" spans="16:16" ht="12" customHeight="1">
      <c r="P191" s="2806" t="s">
        <v>1397</v>
      </c>
    </row>
    <row r="192" spans="16:16" ht="12" customHeight="1">
      <c r="P192" s="2806" t="s">
        <v>1398</v>
      </c>
    </row>
    <row r="193" spans="16:16" ht="12" customHeight="1">
      <c r="P193" s="2806" t="s">
        <v>1399</v>
      </c>
    </row>
    <row r="194" spans="16:16" ht="12" customHeight="1">
      <c r="P194" s="2806" t="s">
        <v>1400</v>
      </c>
    </row>
    <row r="195" spans="16:16" ht="12" customHeight="1">
      <c r="P195" s="2806" t="s">
        <v>1401</v>
      </c>
    </row>
    <row r="196" spans="16:16" ht="12" customHeight="1">
      <c r="P196" s="2806" t="s">
        <v>1402</v>
      </c>
    </row>
    <row r="197" spans="16:16" ht="12" customHeight="1">
      <c r="P197" s="2806" t="s">
        <v>1403</v>
      </c>
    </row>
    <row r="198" spans="16:16" ht="12" customHeight="1">
      <c r="P198" s="2806" t="s">
        <v>1404</v>
      </c>
    </row>
    <row r="199" spans="16:16" ht="12" customHeight="1">
      <c r="P199" s="2806" t="s">
        <v>1405</v>
      </c>
    </row>
    <row r="200" spans="16:16" ht="12" customHeight="1">
      <c r="P200" s="2806" t="s">
        <v>1406</v>
      </c>
    </row>
    <row r="201" spans="16:16" ht="12" customHeight="1">
      <c r="P201" s="2806" t="s">
        <v>1407</v>
      </c>
    </row>
    <row r="202" spans="16:16" ht="12" customHeight="1">
      <c r="P202" s="2806" t="s">
        <v>1408</v>
      </c>
    </row>
    <row r="203" spans="16:16" ht="12" customHeight="1">
      <c r="P203" s="2806" t="s">
        <v>1409</v>
      </c>
    </row>
    <row r="204" spans="16:16" ht="12" customHeight="1">
      <c r="P204" s="2806" t="s">
        <v>1410</v>
      </c>
    </row>
    <row r="205" spans="16:16" ht="12" customHeight="1">
      <c r="P205" s="2806" t="s">
        <v>1411</v>
      </c>
    </row>
    <row r="206" spans="16:16" ht="12" customHeight="1">
      <c r="P206" s="2806" t="s">
        <v>1412</v>
      </c>
    </row>
    <row r="207" spans="16:16" ht="12" customHeight="1">
      <c r="P207" s="2806" t="s">
        <v>1413</v>
      </c>
    </row>
    <row r="208" spans="16:16" ht="12" customHeight="1">
      <c r="P208" s="2806" t="s">
        <v>1414</v>
      </c>
    </row>
    <row r="209" spans="16:16" ht="12" customHeight="1">
      <c r="P209" s="2806" t="s">
        <v>1415</v>
      </c>
    </row>
    <row r="210" spans="16:16" ht="12" customHeight="1">
      <c r="P210" s="2806" t="s">
        <v>1416</v>
      </c>
    </row>
  </sheetData>
  <sheetProtection algorithmName="SHA-512" hashValue="T+dQ772k1dexWPqB43iSFvIVKSIQ9uFR3w+Rm96JsDqrpnf4+oZ4uDl4FuZPG5zsQpzbLPr5YPeMoMLAFGr8WQ==" saltValue="MSgaiuPgMCETZuabOHdiK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0" zoomScaleNormal="130" zoomScaleSheetLayoutView="90" workbookViewId="0">
      <selection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2016-010 The Preserve at Newport, Kingsland, Camden County</v>
      </c>
      <c r="B1" s="1518"/>
      <c r="C1" s="1518"/>
      <c r="D1" s="1518"/>
      <c r="E1" s="1518"/>
      <c r="F1" s="1518"/>
      <c r="G1" s="1518"/>
      <c r="H1" s="1518"/>
      <c r="I1" s="1518"/>
      <c r="J1" s="1518"/>
      <c r="K1" s="1518"/>
      <c r="L1" s="1518"/>
      <c r="M1" s="1518"/>
      <c r="N1" s="1518"/>
      <c r="O1" s="1518"/>
      <c r="P1" s="1518"/>
      <c r="Q1" s="1519"/>
      <c r="S1" s="1527" t="str">
        <f>$A$1</f>
        <v>PART THREE - SOURCES OF FUNDS  -  2016-010 The Preserve at Newport, Kingsland, Camden County</v>
      </c>
      <c r="T1" s="1527"/>
    </row>
    <row r="2" spans="1:20" ht="17.45" customHeight="1" thickBot="1">
      <c r="A2" s="344"/>
      <c r="B2" s="344"/>
      <c r="C2" s="344"/>
      <c r="D2" s="344"/>
      <c r="E2" s="344"/>
      <c r="F2" s="344"/>
      <c r="G2" s="344"/>
      <c r="H2" s="1464" t="s">
        <v>4195</v>
      </c>
      <c r="I2" s="1465"/>
      <c r="J2" s="1466"/>
      <c r="K2" s="344"/>
      <c r="L2" s="344"/>
      <c r="M2" s="344"/>
      <c r="N2" s="344"/>
      <c r="O2" s="344"/>
      <c r="P2" s="344"/>
      <c r="Q2" s="344"/>
    </row>
    <row r="3" spans="1:20" s="297" customFormat="1" ht="13.15" customHeight="1">
      <c r="A3" s="327" t="s">
        <v>640</v>
      </c>
      <c r="B3" s="347" t="s">
        <v>2577</v>
      </c>
      <c r="C3" s="325"/>
      <c r="D3" s="1396"/>
      <c r="E3" s="1396"/>
      <c r="F3" s="1396"/>
      <c r="G3" s="1396"/>
      <c r="J3" s="1396"/>
      <c r="M3" s="1396"/>
      <c r="N3" s="1396"/>
      <c r="S3" s="375" t="str">
        <f>B3</f>
        <v>GOVERNMENT FUNDING SOURCES  (check all that apply)</v>
      </c>
    </row>
    <row r="4" spans="1:20" s="297" customFormat="1" ht="15.75" customHeight="1">
      <c r="A4" s="353"/>
      <c r="B4" s="539"/>
      <c r="C4" s="347"/>
      <c r="D4" s="1396"/>
      <c r="E4" s="1396"/>
      <c r="F4" s="1396"/>
      <c r="G4" s="1396"/>
      <c r="S4" s="1520" t="s">
        <v>2778</v>
      </c>
      <c r="T4" s="1520"/>
    </row>
    <row r="5" spans="1:20" s="297" customFormat="1" ht="15" customHeight="1">
      <c r="A5" s="539"/>
      <c r="B5" s="2808" t="s">
        <v>3153</v>
      </c>
      <c r="C5" s="1386" t="s">
        <v>2495</v>
      </c>
      <c r="D5" s="325"/>
      <c r="H5" s="2808" t="s">
        <v>3156</v>
      </c>
      <c r="I5" s="1386" t="s">
        <v>1594</v>
      </c>
      <c r="L5" s="2808" t="s">
        <v>3156</v>
      </c>
      <c r="M5" s="330" t="s">
        <v>4126</v>
      </c>
      <c r="S5" s="2809"/>
      <c r="T5" s="2810"/>
    </row>
    <row r="6" spans="1:20" s="297" customFormat="1" ht="15" customHeight="1">
      <c r="A6" s="539"/>
      <c r="B6" s="2811" t="s">
        <v>3156</v>
      </c>
      <c r="C6" s="1386" t="s">
        <v>569</v>
      </c>
      <c r="D6" s="325"/>
      <c r="H6" s="2811" t="s">
        <v>3156</v>
      </c>
      <c r="I6" s="1386" t="s">
        <v>568</v>
      </c>
      <c r="L6" s="2811" t="s">
        <v>3156</v>
      </c>
      <c r="M6" s="330" t="s">
        <v>2697</v>
      </c>
      <c r="Q6" s="571"/>
      <c r="S6" s="2812"/>
      <c r="T6" s="2813"/>
    </row>
    <row r="7" spans="1:20" s="297" customFormat="1" ht="15" customHeight="1">
      <c r="A7" s="325"/>
      <c r="B7" s="2811" t="s">
        <v>3156</v>
      </c>
      <c r="C7" s="1386" t="s">
        <v>4098</v>
      </c>
      <c r="E7" s="2814"/>
      <c r="F7" s="2815"/>
      <c r="H7" s="2811" t="s">
        <v>3156</v>
      </c>
      <c r="I7" s="1386" t="s">
        <v>4125</v>
      </c>
      <c r="L7" s="2811" t="s">
        <v>3156</v>
      </c>
      <c r="M7" s="330" t="s">
        <v>4133</v>
      </c>
      <c r="S7" s="2812"/>
      <c r="T7" s="2813"/>
    </row>
    <row r="8" spans="1:20" s="297" customFormat="1" ht="15" customHeight="1">
      <c r="A8" s="539"/>
      <c r="B8" s="2811" t="s">
        <v>3156</v>
      </c>
      <c r="C8" s="1386" t="s">
        <v>1870</v>
      </c>
      <c r="D8" s="325"/>
      <c r="H8" s="2811" t="s">
        <v>3156</v>
      </c>
      <c r="I8" s="325" t="s">
        <v>2698</v>
      </c>
      <c r="L8" s="2811" t="s">
        <v>3156</v>
      </c>
      <c r="M8" s="1396" t="s">
        <v>2689</v>
      </c>
      <c r="S8" s="2816"/>
      <c r="T8" s="2817"/>
    </row>
    <row r="9" spans="1:20" s="297" customFormat="1" ht="15" customHeight="1">
      <c r="A9" s="539"/>
      <c r="B9" s="2811" t="s">
        <v>3156</v>
      </c>
      <c r="C9" s="1386" t="s">
        <v>570</v>
      </c>
      <c r="H9" s="2811" t="s">
        <v>3156</v>
      </c>
      <c r="I9" s="325" t="s">
        <v>2696</v>
      </c>
      <c r="L9" s="2818" t="s">
        <v>3156</v>
      </c>
      <c r="M9" s="349" t="s">
        <v>2690</v>
      </c>
      <c r="P9" s="325"/>
      <c r="Q9" s="325"/>
      <c r="S9" s="2809"/>
      <c r="T9" s="2810"/>
    </row>
    <row r="10" spans="1:20" s="297" customFormat="1" ht="15" customHeight="1">
      <c r="A10" s="539"/>
      <c r="B10" s="2811" t="s">
        <v>3153</v>
      </c>
      <c r="C10" s="1386" t="s">
        <v>4135</v>
      </c>
      <c r="D10" s="325"/>
      <c r="E10" s="2819">
        <v>1250099</v>
      </c>
      <c r="F10" s="2820"/>
      <c r="G10" s="817"/>
      <c r="H10" s="2818" t="s">
        <v>3156</v>
      </c>
      <c r="I10" s="1475" t="s">
        <v>2914</v>
      </c>
      <c r="J10" s="1475"/>
      <c r="L10" s="2765" t="s">
        <v>3153</v>
      </c>
      <c r="M10" s="2821" t="s">
        <v>4343</v>
      </c>
      <c r="N10" s="2822"/>
      <c r="O10" s="2822"/>
      <c r="P10" s="2822"/>
      <c r="Q10" s="2823"/>
      <c r="S10" s="2812"/>
      <c r="T10" s="2813"/>
    </row>
    <row r="11" spans="1:20" s="297" customFormat="1" ht="15" customHeight="1">
      <c r="A11" s="539"/>
      <c r="B11" s="2818" t="s">
        <v>3156</v>
      </c>
      <c r="C11" s="1386" t="s">
        <v>4131</v>
      </c>
      <c r="I11" s="1475"/>
      <c r="J11" s="1475"/>
      <c r="M11" s="2824" t="s">
        <v>4352</v>
      </c>
      <c r="N11" s="2825"/>
      <c r="O11" s="2825"/>
      <c r="P11" s="2825"/>
      <c r="Q11" s="2826"/>
      <c r="S11" s="2812"/>
      <c r="T11" s="2813"/>
    </row>
    <row r="12" spans="1:20" s="297" customFormat="1" ht="15" customHeight="1">
      <c r="A12" s="539"/>
      <c r="B12" s="539"/>
      <c r="C12" s="297" t="s">
        <v>4132</v>
      </c>
      <c r="E12" s="2824" t="s">
        <v>3693</v>
      </c>
      <c r="F12" s="2825"/>
      <c r="G12" s="2825"/>
      <c r="H12" s="2825"/>
      <c r="I12" s="2826"/>
      <c r="S12" s="2816"/>
      <c r="T12" s="2817"/>
    </row>
    <row r="13" spans="1:20" s="297" customFormat="1" ht="15" customHeight="1">
      <c r="A13" s="539"/>
      <c r="C13" s="297" t="s">
        <v>4134</v>
      </c>
      <c r="E13" s="2819"/>
      <c r="F13" s="2820"/>
      <c r="Q13" s="325"/>
    </row>
    <row r="14" spans="1:20" s="297" customFormat="1" ht="16.899999999999999" customHeight="1">
      <c r="A14" s="539"/>
      <c r="B14" s="297" t="s">
        <v>4136</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396"/>
      <c r="E16" s="325"/>
      <c r="F16" s="325"/>
      <c r="G16" s="325"/>
      <c r="H16" s="297"/>
      <c r="I16" s="297"/>
      <c r="J16" s="327"/>
      <c r="K16" s="325"/>
      <c r="L16" s="325"/>
      <c r="M16" s="1396"/>
      <c r="N16" s="1449"/>
      <c r="O16" s="1449"/>
      <c r="P16" s="325"/>
      <c r="Q16" s="325"/>
      <c r="S16" s="375" t="str">
        <f>B16</f>
        <v>CONSTRUCTION FINANCING</v>
      </c>
    </row>
    <row r="17" spans="1:20" s="375" customFormat="1" ht="13.9" customHeight="1">
      <c r="A17" s="327"/>
      <c r="B17" s="296"/>
      <c r="C17" s="325"/>
      <c r="K17" s="325"/>
      <c r="L17" s="325"/>
      <c r="M17" s="1396"/>
      <c r="N17" s="1390"/>
      <c r="O17" s="1390"/>
      <c r="P17" s="325"/>
      <c r="Q17" s="325"/>
    </row>
    <row r="18" spans="1:20" s="297" customFormat="1" ht="16.899999999999999" customHeight="1">
      <c r="A18" s="325"/>
      <c r="B18" s="1386" t="s">
        <v>1942</v>
      </c>
      <c r="C18" s="325"/>
      <c r="D18" s="325"/>
      <c r="E18" s="325"/>
      <c r="F18" s="325"/>
      <c r="G18" s="325"/>
      <c r="H18" s="1522" t="s">
        <v>1346</v>
      </c>
      <c r="I18" s="1522"/>
      <c r="J18" s="1522"/>
      <c r="K18" s="1522"/>
      <c r="L18" s="1456" t="s">
        <v>2066</v>
      </c>
      <c r="M18" s="1456"/>
      <c r="N18" s="1456" t="s">
        <v>1564</v>
      </c>
      <c r="O18" s="1456"/>
      <c r="P18" s="1456" t="s">
        <v>1689</v>
      </c>
      <c r="Q18" s="1456"/>
      <c r="S18" s="1520" t="s">
        <v>2778</v>
      </c>
      <c r="T18" s="1520"/>
    </row>
    <row r="19" spans="1:20" s="297" customFormat="1" ht="16.899999999999999" customHeight="1">
      <c r="A19" s="325"/>
      <c r="B19" s="1530" t="s">
        <v>1648</v>
      </c>
      <c r="C19" s="1531"/>
      <c r="D19" s="1531"/>
      <c r="E19" s="1397"/>
      <c r="F19" s="1397"/>
      <c r="G19" s="1397"/>
      <c r="H19" s="2827" t="s">
        <v>4400</v>
      </c>
      <c r="I19" s="2828"/>
      <c r="J19" s="2828"/>
      <c r="K19" s="2829"/>
      <c r="L19" s="2830">
        <v>5374000</v>
      </c>
      <c r="M19" s="2831"/>
      <c r="N19" s="2832">
        <v>4.4999999999999998E-2</v>
      </c>
      <c r="O19" s="2833"/>
      <c r="P19" s="2834">
        <v>24</v>
      </c>
      <c r="Q19" s="2835"/>
      <c r="S19" s="2809"/>
      <c r="T19" s="2810"/>
    </row>
    <row r="20" spans="1:20" s="297" customFormat="1" ht="16.899999999999999" customHeight="1">
      <c r="A20" s="325"/>
      <c r="B20" s="1528" t="s">
        <v>1649</v>
      </c>
      <c r="C20" s="1529"/>
      <c r="D20" s="1529"/>
      <c r="E20" s="1396"/>
      <c r="F20" s="1396"/>
      <c r="G20" s="1396"/>
      <c r="H20" s="2836" t="s">
        <v>4272</v>
      </c>
      <c r="I20" s="2837"/>
      <c r="J20" s="2837"/>
      <c r="K20" s="2838"/>
      <c r="L20" s="2839">
        <v>1250099</v>
      </c>
      <c r="M20" s="2840"/>
      <c r="N20" s="2841">
        <v>0</v>
      </c>
      <c r="O20" s="2842"/>
      <c r="P20" s="2843">
        <v>24</v>
      </c>
      <c r="Q20" s="2844"/>
      <c r="S20" s="2812"/>
      <c r="T20" s="2813"/>
    </row>
    <row r="21" spans="1:20" s="297" customFormat="1" ht="16.899999999999999" customHeight="1">
      <c r="A21" s="325"/>
      <c r="B21" s="1532" t="s">
        <v>1650</v>
      </c>
      <c r="C21" s="1533"/>
      <c r="D21" s="1533"/>
      <c r="E21" s="1402"/>
      <c r="F21" s="1402"/>
      <c r="G21" s="1402"/>
      <c r="H21" s="2845" t="s">
        <v>4344</v>
      </c>
      <c r="I21" s="2846"/>
      <c r="J21" s="2846"/>
      <c r="K21" s="2847"/>
      <c r="L21" s="2848">
        <v>1250099</v>
      </c>
      <c r="M21" s="2849"/>
      <c r="N21" s="2850">
        <v>0</v>
      </c>
      <c r="O21" s="2851"/>
      <c r="P21" s="2852">
        <v>24</v>
      </c>
      <c r="Q21" s="2853"/>
      <c r="S21" s="2812"/>
      <c r="T21" s="2813"/>
    </row>
    <row r="22" spans="1:20" s="297" customFormat="1" ht="16.899999999999999" customHeight="1">
      <c r="A22" s="325"/>
      <c r="B22" s="1530" t="s">
        <v>2294</v>
      </c>
      <c r="C22" s="1531"/>
      <c r="D22" s="1531"/>
      <c r="E22" s="1396"/>
      <c r="F22" s="1396"/>
      <c r="G22" s="1396"/>
      <c r="H22" s="2854"/>
      <c r="I22" s="2855"/>
      <c r="J22" s="2855"/>
      <c r="K22" s="2856"/>
      <c r="L22" s="2857"/>
      <c r="M22" s="2858"/>
      <c r="N22" s="1523"/>
      <c r="O22" s="1524"/>
      <c r="P22" s="1521"/>
      <c r="Q22" s="1521"/>
      <c r="S22" s="2812"/>
      <c r="T22" s="2813"/>
    </row>
    <row r="23" spans="1:20" s="297" customFormat="1" ht="16.899999999999999" customHeight="1">
      <c r="A23" s="325"/>
      <c r="B23" s="1528" t="s">
        <v>833</v>
      </c>
      <c r="C23" s="1529"/>
      <c r="D23" s="1529"/>
      <c r="E23" s="1396"/>
      <c r="H23" s="2836"/>
      <c r="I23" s="2837"/>
      <c r="J23" s="2837"/>
      <c r="K23" s="2838"/>
      <c r="L23" s="2839"/>
      <c r="M23" s="2840"/>
      <c r="N23" s="1523"/>
      <c r="O23" s="1524"/>
      <c r="P23" s="1521"/>
      <c r="Q23" s="1521"/>
      <c r="S23" s="2812"/>
      <c r="T23" s="2813"/>
    </row>
    <row r="24" spans="1:20" s="297" customFormat="1" ht="16.899999999999999" customHeight="1">
      <c r="A24" s="325"/>
      <c r="B24" s="1528" t="s">
        <v>665</v>
      </c>
      <c r="C24" s="1529"/>
      <c r="D24" s="1529"/>
      <c r="E24" s="1396"/>
      <c r="H24" s="2836"/>
      <c r="I24" s="2837"/>
      <c r="J24" s="2837"/>
      <c r="K24" s="2838"/>
      <c r="L24" s="2839"/>
      <c r="M24" s="2840"/>
      <c r="N24" s="1523"/>
      <c r="O24" s="1524"/>
      <c r="P24" s="1521"/>
      <c r="Q24" s="1521"/>
      <c r="S24" s="2812"/>
      <c r="T24" s="2813"/>
    </row>
    <row r="25" spans="1:20" s="297" customFormat="1" ht="16.899999999999999" customHeight="1">
      <c r="A25" s="325"/>
      <c r="B25" s="1528" t="s">
        <v>834</v>
      </c>
      <c r="C25" s="1529"/>
      <c r="D25" s="1529"/>
      <c r="E25" s="1396"/>
      <c r="H25" s="2836" t="s">
        <v>4398</v>
      </c>
      <c r="I25" s="2837"/>
      <c r="J25" s="2837"/>
      <c r="K25" s="2838"/>
      <c r="L25" s="2839">
        <f>I45*0.2</f>
        <v>1259943.3937349999</v>
      </c>
      <c r="M25" s="2840"/>
      <c r="N25" s="325"/>
      <c r="O25" s="325"/>
      <c r="P25" s="325"/>
      <c r="Q25" s="325"/>
      <c r="S25" s="2816"/>
      <c r="T25" s="2817"/>
    </row>
    <row r="26" spans="1:20" s="297" customFormat="1" ht="16.899999999999999" customHeight="1">
      <c r="A26" s="325"/>
      <c r="B26" s="1528" t="s">
        <v>835</v>
      </c>
      <c r="C26" s="1529"/>
      <c r="D26" s="1529"/>
      <c r="E26" s="1396"/>
      <c r="H26" s="2836" t="s">
        <v>4399</v>
      </c>
      <c r="I26" s="2837"/>
      <c r="J26" s="2837"/>
      <c r="K26" s="2838"/>
      <c r="L26" s="2839">
        <f>I46*0.2</f>
        <v>709543.64000000013</v>
      </c>
      <c r="M26" s="2840"/>
      <c r="N26" s="325"/>
      <c r="Q26" s="325"/>
      <c r="S26" s="2809"/>
      <c r="T26" s="2810"/>
    </row>
    <row r="27" spans="1:20" s="297" customFormat="1" ht="16.899999999999999" customHeight="1">
      <c r="A27" s="325"/>
      <c r="B27" s="1395" t="s">
        <v>253</v>
      </c>
      <c r="C27" s="1396"/>
      <c r="D27" s="2859"/>
      <c r="E27" s="2859"/>
      <c r="F27" s="2859"/>
      <c r="G27" s="2859"/>
      <c r="H27" s="2836"/>
      <c r="I27" s="2837"/>
      <c r="J27" s="2837"/>
      <c r="K27" s="2838"/>
      <c r="L27" s="2839"/>
      <c r="M27" s="2840"/>
      <c r="N27" s="325"/>
      <c r="Q27" s="325"/>
      <c r="S27" s="2812"/>
      <c r="T27" s="2813"/>
    </row>
    <row r="28" spans="1:20" s="297" customFormat="1" ht="16.899999999999999" customHeight="1">
      <c r="A28" s="325"/>
      <c r="B28" s="1395" t="s">
        <v>253</v>
      </c>
      <c r="C28" s="1396"/>
      <c r="D28" s="2860"/>
      <c r="E28" s="2860"/>
      <c r="F28" s="2860"/>
      <c r="G28" s="2860"/>
      <c r="H28" s="2836"/>
      <c r="I28" s="2837"/>
      <c r="J28" s="2837"/>
      <c r="K28" s="2838"/>
      <c r="L28" s="2839"/>
      <c r="M28" s="2840"/>
      <c r="N28" s="325"/>
      <c r="S28" s="2812"/>
      <c r="T28" s="2813"/>
    </row>
    <row r="29" spans="1:20" s="297" customFormat="1" ht="16.899999999999999" customHeight="1">
      <c r="A29" s="325"/>
      <c r="B29" s="1401" t="s">
        <v>253</v>
      </c>
      <c r="C29" s="1402"/>
      <c r="D29" s="2861"/>
      <c r="E29" s="2861"/>
      <c r="F29" s="2861"/>
      <c r="G29" s="2861"/>
      <c r="H29" s="2845"/>
      <c r="I29" s="2846"/>
      <c r="J29" s="2846"/>
      <c r="K29" s="2847"/>
      <c r="L29" s="2848"/>
      <c r="M29" s="2849"/>
      <c r="N29" s="325"/>
      <c r="S29" s="2812"/>
      <c r="T29" s="2813"/>
    </row>
    <row r="30" spans="1:20" s="297" customFormat="1" ht="16.899999999999999" customHeight="1">
      <c r="A30" s="325"/>
      <c r="B30" s="296" t="s">
        <v>1347</v>
      </c>
      <c r="C30" s="325"/>
      <c r="D30" s="325"/>
      <c r="E30" s="325"/>
      <c r="F30" s="325"/>
      <c r="G30" s="325"/>
      <c r="H30" s="325"/>
      <c r="I30" s="325"/>
      <c r="L30" s="1525">
        <f>SUM(L19:L29)</f>
        <v>9843685.0337349996</v>
      </c>
      <c r="M30" s="1526"/>
      <c r="N30" s="344"/>
      <c r="S30" s="2812"/>
      <c r="T30" s="2813"/>
    </row>
    <row r="31" spans="1:20" s="297" customFormat="1" ht="16.899999999999999" customHeight="1">
      <c r="A31" s="325"/>
      <c r="B31" s="1386" t="s">
        <v>1348</v>
      </c>
      <c r="C31" s="325"/>
      <c r="D31" s="325"/>
      <c r="E31" s="325"/>
      <c r="F31" s="325"/>
      <c r="G31" s="325"/>
      <c r="H31" s="325"/>
      <c r="I31" s="325"/>
      <c r="L31" s="28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8965707</v>
      </c>
      <c r="M31" s="2863"/>
      <c r="N31" s="1131"/>
      <c r="S31" s="2812"/>
      <c r="T31" s="2813"/>
    </row>
    <row r="32" spans="1:20" s="297" customFormat="1" ht="16.899999999999999" customHeight="1">
      <c r="A32" s="325"/>
      <c r="B32" s="330" t="s">
        <v>2235</v>
      </c>
      <c r="C32" s="325"/>
      <c r="D32" s="325"/>
      <c r="E32" s="325"/>
      <c r="F32" s="325"/>
      <c r="G32" s="325"/>
      <c r="H32" s="325"/>
      <c r="I32" s="325"/>
      <c r="L32" s="1536">
        <f>L30-L31</f>
        <v>877978.0337349996</v>
      </c>
      <c r="M32" s="1537"/>
      <c r="N32" s="1131"/>
      <c r="S32" s="2816"/>
      <c r="T32" s="2817"/>
    </row>
    <row r="33" spans="1:20" ht="9.6" customHeight="1">
      <c r="A33" s="353"/>
      <c r="B33" s="296"/>
      <c r="C33" s="344"/>
      <c r="D33" s="344"/>
      <c r="E33" s="344"/>
      <c r="F33" s="344"/>
      <c r="G33" s="344"/>
      <c r="H33" s="344"/>
      <c r="I33" s="344"/>
      <c r="J33" s="344"/>
      <c r="K33" s="344"/>
      <c r="L33" s="344"/>
      <c r="M33" s="1400"/>
      <c r="N33" s="1400"/>
    </row>
    <row r="34" spans="1:20" ht="9.6" customHeight="1">
      <c r="A34" s="327" t="s">
        <v>772</v>
      </c>
      <c r="B34" s="296" t="s">
        <v>832</v>
      </c>
      <c r="C34" s="344"/>
      <c r="D34" s="344"/>
      <c r="E34" s="344"/>
      <c r="F34" s="344"/>
      <c r="G34" s="344"/>
      <c r="H34" s="344"/>
      <c r="I34" s="344"/>
      <c r="J34" s="344"/>
      <c r="K34" s="344"/>
      <c r="L34" s="344"/>
      <c r="M34" s="1400"/>
      <c r="N34" s="1400"/>
      <c r="O34" s="344"/>
      <c r="S34" s="375" t="str">
        <f>B34</f>
        <v>PERMANENT FINANCING</v>
      </c>
    </row>
    <row r="35" spans="1:20" s="297" customFormat="1" ht="13.15" customHeight="1">
      <c r="A35" s="325"/>
      <c r="B35" s="325"/>
      <c r="C35" s="325"/>
      <c r="D35" s="325"/>
      <c r="E35" s="325"/>
      <c r="F35" s="1400"/>
      <c r="G35" s="1400"/>
      <c r="H35" s="1521"/>
      <c r="I35" s="1521"/>
      <c r="K35" s="402" t="s">
        <v>2177</v>
      </c>
      <c r="L35" s="1400" t="s">
        <v>1344</v>
      </c>
      <c r="M35" s="1400" t="s">
        <v>1349</v>
      </c>
      <c r="N35" s="1545" t="s">
        <v>36</v>
      </c>
      <c r="O35" s="1545"/>
      <c r="P35" s="1400"/>
      <c r="Q35" s="327"/>
      <c r="S35" s="375"/>
    </row>
    <row r="36" spans="1:20" s="297" customFormat="1" ht="13.15" customHeight="1">
      <c r="A36" s="325"/>
      <c r="B36" s="1403" t="s">
        <v>1942</v>
      </c>
      <c r="C36" s="1402"/>
      <c r="D36" s="1402"/>
      <c r="E36" s="1446" t="s">
        <v>1346</v>
      </c>
      <c r="F36" s="1446"/>
      <c r="G36" s="1446"/>
      <c r="H36" s="1446"/>
      <c r="I36" s="1456" t="s">
        <v>506</v>
      </c>
      <c r="J36" s="1456"/>
      <c r="K36" s="1388" t="s">
        <v>1874</v>
      </c>
      <c r="L36" s="1388" t="s">
        <v>2293</v>
      </c>
      <c r="M36" s="1388" t="s">
        <v>2293</v>
      </c>
      <c r="N36" s="2864"/>
      <c r="O36" s="2864"/>
      <c r="P36" s="1456" t="s">
        <v>76</v>
      </c>
      <c r="Q36" s="1456"/>
      <c r="S36" s="1520" t="s">
        <v>2778</v>
      </c>
      <c r="T36" s="1520"/>
    </row>
    <row r="37" spans="1:20" s="297" customFormat="1" ht="16.5" customHeight="1">
      <c r="A37" s="325"/>
      <c r="B37" s="1530" t="s">
        <v>2702</v>
      </c>
      <c r="C37" s="1531"/>
      <c r="D37" s="1531"/>
      <c r="E37" s="2836" t="s">
        <v>4272</v>
      </c>
      <c r="F37" s="2837"/>
      <c r="G37" s="2837"/>
      <c r="H37" s="2838"/>
      <c r="I37" s="2865">
        <v>1250099</v>
      </c>
      <c r="J37" s="2866"/>
      <c r="K37" s="2867">
        <v>0.01</v>
      </c>
      <c r="L37" s="2808">
        <v>15</v>
      </c>
      <c r="M37" s="2808">
        <v>15</v>
      </c>
      <c r="N37" s="2868">
        <f t="shared" ref="N37:N42" si="0">IF(OR(I37&lt;=0,I37=""),"",IF(P37="Amortizing",-PMT(K37/12,M37*12,I37,0,0)*12,""))</f>
        <v>89781.287292572873</v>
      </c>
      <c r="O37" s="2868"/>
      <c r="P37" s="2869" t="s">
        <v>4345</v>
      </c>
      <c r="Q37" s="2869"/>
      <c r="S37" s="2809"/>
      <c r="T37" s="2810"/>
    </row>
    <row r="38" spans="1:20" s="297" customFormat="1" ht="16.5" customHeight="1">
      <c r="A38" s="325"/>
      <c r="B38" s="1528" t="s">
        <v>2703</v>
      </c>
      <c r="C38" s="1529"/>
      <c r="D38" s="1529"/>
      <c r="E38" s="2836"/>
      <c r="F38" s="2837"/>
      <c r="G38" s="2837"/>
      <c r="H38" s="2838"/>
      <c r="I38" s="2870"/>
      <c r="J38" s="2871"/>
      <c r="K38" s="2872"/>
      <c r="L38" s="2811"/>
      <c r="M38" s="2811"/>
      <c r="N38" s="2873"/>
      <c r="O38" s="2873"/>
      <c r="P38" s="2874"/>
      <c r="Q38" s="2874"/>
      <c r="S38" s="2812"/>
      <c r="T38" s="2813"/>
    </row>
    <row r="39" spans="1:20" s="297" customFormat="1" ht="16.5" customHeight="1">
      <c r="A39" s="325"/>
      <c r="B39" s="1528" t="s">
        <v>2704</v>
      </c>
      <c r="C39" s="1529"/>
      <c r="D39" s="1529"/>
      <c r="E39" s="2836"/>
      <c r="F39" s="2837"/>
      <c r="G39" s="2837"/>
      <c r="H39" s="2838"/>
      <c r="I39" s="2870"/>
      <c r="J39" s="2871"/>
      <c r="K39" s="2872"/>
      <c r="L39" s="2811"/>
      <c r="M39" s="2811"/>
      <c r="N39" s="2873" t="str">
        <f t="shared" si="0"/>
        <v/>
      </c>
      <c r="O39" s="2873"/>
      <c r="P39" s="2874"/>
      <c r="Q39" s="2874"/>
      <c r="S39" s="2812"/>
      <c r="T39" s="2813"/>
    </row>
    <row r="40" spans="1:20" s="297" customFormat="1" ht="16.5" customHeight="1">
      <c r="A40" s="325"/>
      <c r="B40" s="1395" t="s">
        <v>771</v>
      </c>
      <c r="C40" s="2649"/>
      <c r="D40" s="2651"/>
      <c r="E40" s="2836"/>
      <c r="F40" s="2837"/>
      <c r="G40" s="2837"/>
      <c r="H40" s="2838"/>
      <c r="I40" s="2870"/>
      <c r="J40" s="2871"/>
      <c r="K40" s="2875"/>
      <c r="L40" s="2818"/>
      <c r="M40" s="2818"/>
      <c r="N40" s="2876" t="str">
        <f t="shared" si="0"/>
        <v/>
      </c>
      <c r="O40" s="2876"/>
      <c r="P40" s="2877"/>
      <c r="Q40" s="2877"/>
      <c r="S40" s="2812"/>
      <c r="T40" s="2813"/>
    </row>
    <row r="41" spans="1:20" s="297" customFormat="1" ht="16.5" customHeight="1">
      <c r="A41" s="325"/>
      <c r="B41" s="1395" t="s">
        <v>2864</v>
      </c>
      <c r="C41" s="1396"/>
      <c r="D41" s="1398"/>
      <c r="E41" s="2836"/>
      <c r="F41" s="2837"/>
      <c r="G41" s="2837"/>
      <c r="H41" s="2838"/>
      <c r="I41" s="2870"/>
      <c r="J41" s="2871"/>
      <c r="K41" s="517"/>
      <c r="L41" s="1394"/>
      <c r="M41" s="1394"/>
      <c r="N41" s="1551" t="str">
        <f t="shared" si="0"/>
        <v/>
      </c>
      <c r="O41" s="1551"/>
      <c r="P41" s="1550"/>
      <c r="Q41" s="1550"/>
      <c r="S41" s="2812"/>
      <c r="T41" s="2813"/>
    </row>
    <row r="42" spans="1:20" s="297" customFormat="1" ht="16.5" customHeight="1">
      <c r="A42" s="325"/>
      <c r="B42" s="1401" t="s">
        <v>237</v>
      </c>
      <c r="C42" s="1402"/>
      <c r="D42" s="403" t="str">
        <f>IF(OR(I42="",I42=0,'Part IV-Uses of Funds'!$G$117="",'Part IV-Uses of Funds'!$G$117=0),"",I42/'Part IV-Uses of Funds'!$G$117)</f>
        <v/>
      </c>
      <c r="E42" s="2845"/>
      <c r="F42" s="2846"/>
      <c r="G42" s="2846"/>
      <c r="H42" s="2847"/>
      <c r="I42" s="2878"/>
      <c r="J42" s="2879"/>
      <c r="K42" s="2880"/>
      <c r="L42" s="2765"/>
      <c r="M42" s="2765"/>
      <c r="N42" s="2881" t="str">
        <f t="shared" si="0"/>
        <v/>
      </c>
      <c r="O42" s="2882"/>
      <c r="P42" s="2883"/>
      <c r="Q42" s="2884"/>
      <c r="S42" s="2812"/>
      <c r="T42" s="2813"/>
    </row>
    <row r="43" spans="1:20" s="297" customFormat="1" ht="16.5" customHeight="1">
      <c r="A43" s="325"/>
      <c r="B43" s="1530" t="s">
        <v>2294</v>
      </c>
      <c r="C43" s="1531"/>
      <c r="D43" s="1538"/>
      <c r="E43" s="2854"/>
      <c r="F43" s="2855"/>
      <c r="G43" s="2855"/>
      <c r="H43" s="2856"/>
      <c r="I43" s="2885"/>
      <c r="J43" s="2886"/>
      <c r="K43" s="404"/>
      <c r="L43" s="404"/>
      <c r="M43" s="404"/>
      <c r="N43" s="404"/>
      <c r="O43" s="404"/>
      <c r="P43" s="404"/>
      <c r="Q43" s="404"/>
      <c r="S43" s="2809"/>
      <c r="T43" s="2810"/>
    </row>
    <row r="44" spans="1:20" s="297" customFormat="1" ht="16.5" customHeight="1">
      <c r="A44" s="325"/>
      <c r="B44" s="1528" t="s">
        <v>833</v>
      </c>
      <c r="C44" s="1529"/>
      <c r="D44" s="1539"/>
      <c r="E44" s="2836"/>
      <c r="F44" s="2837"/>
      <c r="G44" s="2837"/>
      <c r="H44" s="2838"/>
      <c r="I44" s="2870"/>
      <c r="J44" s="2871"/>
      <c r="L44" s="1544" t="s">
        <v>536</v>
      </c>
      <c r="M44" s="1544"/>
      <c r="N44" s="1543" t="s">
        <v>537</v>
      </c>
      <c r="O44" s="1543"/>
      <c r="P44" s="444" t="s">
        <v>535</v>
      </c>
      <c r="Q44" s="404"/>
      <c r="S44" s="2812"/>
      <c r="T44" s="2813"/>
    </row>
    <row r="45" spans="1:20" s="297" customFormat="1" ht="16.5" customHeight="1">
      <c r="A45" s="325"/>
      <c r="B45" s="1528" t="s">
        <v>834</v>
      </c>
      <c r="C45" s="1529"/>
      <c r="D45" s="1539"/>
      <c r="E45" s="2836" t="s">
        <v>4398</v>
      </c>
      <c r="F45" s="2837"/>
      <c r="G45" s="2837"/>
      <c r="H45" s="2838"/>
      <c r="I45" s="2870">
        <f>669893.5*10*0.9899*0.95+5</f>
        <v>6299716.9686749997</v>
      </c>
      <c r="J45" s="2870"/>
      <c r="L45" s="1535">
        <f>'Part IV-Uses of Funds'!$J$174*10*'Part IV-Uses of Funds'!$N$167</f>
        <v>6363988.25</v>
      </c>
      <c r="M45" s="1535"/>
      <c r="N45" s="1542">
        <f>I45-L45</f>
        <v>-64271.281325000338</v>
      </c>
      <c r="O45" s="1542"/>
      <c r="P45" s="445" t="s">
        <v>2648</v>
      </c>
      <c r="Q45" s="404"/>
      <c r="S45" s="2812"/>
      <c r="T45" s="2813"/>
    </row>
    <row r="46" spans="1:20" s="297" customFormat="1" ht="16.5" customHeight="1">
      <c r="A46" s="325"/>
      <c r="B46" s="1528" t="s">
        <v>835</v>
      </c>
      <c r="C46" s="1529"/>
      <c r="D46" s="1539"/>
      <c r="E46" s="2836" t="s">
        <v>4399</v>
      </c>
      <c r="F46" s="2837"/>
      <c r="G46" s="2837"/>
      <c r="H46" s="2838"/>
      <c r="I46" s="2870">
        <f>669893.5*10*0.52+637+63635</f>
        <v>3547718.2</v>
      </c>
      <c r="J46" s="2870"/>
      <c r="L46" s="1535">
        <f>'Part IV-Uses of Funds'!$J$174*10*'Part IV-Uses of Funds'!$Q$167</f>
        <v>3483446.2</v>
      </c>
      <c r="M46" s="1535"/>
      <c r="N46" s="1542">
        <f>I46-L46</f>
        <v>64272</v>
      </c>
      <c r="O46" s="1542"/>
      <c r="P46" s="446">
        <f>I45/I55</f>
        <v>0.5676681836410683</v>
      </c>
      <c r="Q46" s="404"/>
      <c r="S46" s="2812"/>
      <c r="T46" s="2813"/>
    </row>
    <row r="47" spans="1:20" s="297" customFormat="1" ht="16.5" customHeight="1">
      <c r="A47" s="325"/>
      <c r="B47" s="1528" t="s">
        <v>1464</v>
      </c>
      <c r="C47" s="1529"/>
      <c r="D47" s="1539"/>
      <c r="E47" s="2836"/>
      <c r="F47" s="2837"/>
      <c r="G47" s="2837"/>
      <c r="H47" s="2838"/>
      <c r="I47" s="2870"/>
      <c r="J47" s="2870"/>
      <c r="P47" s="446">
        <f>I46/I55</f>
        <v>0.31968527422398529</v>
      </c>
      <c r="Q47" s="404"/>
      <c r="S47" s="2816"/>
      <c r="T47" s="2817"/>
    </row>
    <row r="48" spans="1:20" s="297" customFormat="1" ht="16.5" customHeight="1">
      <c r="A48" s="325"/>
      <c r="B48" s="1395" t="s">
        <v>550</v>
      </c>
      <c r="C48" s="1396"/>
      <c r="D48" s="1398"/>
      <c r="E48" s="2836"/>
      <c r="F48" s="2837"/>
      <c r="G48" s="2837"/>
      <c r="H48" s="2838"/>
      <c r="I48" s="2870"/>
      <c r="J48" s="2870"/>
      <c r="K48" s="325"/>
      <c r="P48" s="447">
        <f>SUM(P46:P47)</f>
        <v>0.8873534578650536</v>
      </c>
      <c r="Q48" s="404"/>
      <c r="S48" s="2812"/>
      <c r="T48" s="2813"/>
    </row>
    <row r="49" spans="1:23" s="297" customFormat="1" ht="16.5" customHeight="1">
      <c r="A49" s="325"/>
      <c r="B49" s="1395" t="s">
        <v>1940</v>
      </c>
      <c r="C49" s="1396"/>
      <c r="D49" s="1398"/>
      <c r="E49" s="2836"/>
      <c r="F49" s="2837"/>
      <c r="G49" s="2837"/>
      <c r="H49" s="2838"/>
      <c r="I49" s="2870"/>
      <c r="J49" s="2870"/>
      <c r="N49" s="405"/>
      <c r="O49" s="405"/>
      <c r="P49" s="405"/>
      <c r="Q49" s="404"/>
      <c r="S49" s="2812"/>
      <c r="T49" s="2813"/>
    </row>
    <row r="50" spans="1:23" s="297" customFormat="1" ht="16.5" customHeight="1">
      <c r="A50" s="325"/>
      <c r="B50" s="1395" t="s">
        <v>1941</v>
      </c>
      <c r="C50" s="1396"/>
      <c r="D50" s="1398"/>
      <c r="E50" s="2836"/>
      <c r="F50" s="2837"/>
      <c r="G50" s="2837"/>
      <c r="H50" s="2838"/>
      <c r="I50" s="2870"/>
      <c r="J50" s="2870"/>
      <c r="M50" s="405"/>
      <c r="N50" s="405"/>
      <c r="O50" s="405"/>
      <c r="P50" s="405"/>
      <c r="Q50" s="404"/>
      <c r="S50" s="2812"/>
      <c r="T50" s="2813"/>
    </row>
    <row r="51" spans="1:23" s="297" customFormat="1" ht="16.5" customHeight="1">
      <c r="A51" s="325"/>
      <c r="B51" s="1395" t="s">
        <v>771</v>
      </c>
      <c r="C51" s="2859"/>
      <c r="D51" s="2859"/>
      <c r="E51" s="2836"/>
      <c r="F51" s="2837"/>
      <c r="G51" s="2837"/>
      <c r="H51" s="2838"/>
      <c r="I51" s="2870"/>
      <c r="J51" s="2870"/>
      <c r="M51" s="405"/>
      <c r="N51" s="405"/>
      <c r="O51" s="405"/>
      <c r="P51" s="405"/>
      <c r="Q51" s="404"/>
      <c r="S51" s="2812"/>
      <c r="T51" s="2813"/>
    </row>
    <row r="52" spans="1:23" s="297" customFormat="1" ht="16.5" customHeight="1">
      <c r="A52" s="325"/>
      <c r="B52" s="1395" t="s">
        <v>771</v>
      </c>
      <c r="C52" s="2860"/>
      <c r="D52" s="2860"/>
      <c r="E52" s="2836"/>
      <c r="F52" s="2837"/>
      <c r="G52" s="2837"/>
      <c r="H52" s="2838"/>
      <c r="I52" s="2870"/>
      <c r="J52" s="2870"/>
      <c r="K52" s="325"/>
      <c r="L52" s="406"/>
      <c r="M52" s="405"/>
      <c r="N52" s="405"/>
      <c r="O52" s="405"/>
      <c r="P52" s="405"/>
      <c r="Q52" s="404"/>
      <c r="S52" s="2812"/>
      <c r="T52" s="2813"/>
    </row>
    <row r="53" spans="1:23" s="297" customFormat="1" ht="16.5" customHeight="1">
      <c r="A53" s="325"/>
      <c r="B53" s="1401" t="s">
        <v>771</v>
      </c>
      <c r="C53" s="2861"/>
      <c r="D53" s="2861"/>
      <c r="E53" s="2845"/>
      <c r="F53" s="2846"/>
      <c r="G53" s="2846"/>
      <c r="H53" s="2847"/>
      <c r="I53" s="2878"/>
      <c r="J53" s="2878"/>
      <c r="K53" s="325"/>
      <c r="L53" s="406"/>
      <c r="M53" s="405"/>
      <c r="N53" s="405"/>
      <c r="O53" s="405"/>
      <c r="P53" s="405"/>
      <c r="Q53" s="404"/>
      <c r="S53" s="2812"/>
      <c r="T53" s="2813"/>
    </row>
    <row r="54" spans="1:23" s="297" customFormat="1" ht="16.5" customHeight="1">
      <c r="A54" s="325"/>
      <c r="B54" s="1386" t="s">
        <v>2295</v>
      </c>
      <c r="C54" s="325"/>
      <c r="D54" s="325"/>
      <c r="E54" s="325"/>
      <c r="F54" s="325"/>
      <c r="G54" s="325"/>
      <c r="I54" s="1548">
        <f>SUM(I37:J53)</f>
        <v>11097534.168675</v>
      </c>
      <c r="J54" s="1549"/>
      <c r="K54" s="325"/>
      <c r="L54" s="406"/>
      <c r="M54" s="405"/>
      <c r="N54" s="405"/>
      <c r="O54" s="405"/>
      <c r="P54" s="405"/>
      <c r="Q54" s="404"/>
      <c r="S54" s="2812"/>
      <c r="T54" s="2813"/>
    </row>
    <row r="55" spans="1:23" s="297" customFormat="1" ht="16.5" customHeight="1" thickBot="1">
      <c r="A55" s="325"/>
      <c r="B55" s="1386" t="s">
        <v>2296</v>
      </c>
      <c r="C55" s="325"/>
      <c r="D55" s="325"/>
      <c r="E55" s="325"/>
      <c r="F55" s="325"/>
      <c r="G55" s="325"/>
      <c r="I55" s="1546">
        <f>'Part IV-Uses of Funds'!$G$131</f>
        <v>11097534</v>
      </c>
      <c r="J55" s="1547"/>
      <c r="K55" s="325"/>
      <c r="L55" s="406"/>
      <c r="M55" s="405"/>
      <c r="N55" s="405"/>
      <c r="O55" s="405"/>
      <c r="P55" s="405"/>
      <c r="Q55" s="404"/>
      <c r="S55" s="2812"/>
      <c r="T55" s="2813"/>
    </row>
    <row r="56" spans="1:23" s="297" customFormat="1" ht="16.5" customHeight="1" thickBot="1">
      <c r="A56" s="325"/>
      <c r="B56" s="330" t="s">
        <v>1582</v>
      </c>
      <c r="C56" s="325"/>
      <c r="D56" s="325"/>
      <c r="E56" s="325"/>
      <c r="F56" s="325"/>
      <c r="G56" s="325"/>
      <c r="I56" s="1540">
        <f>I54-I55</f>
        <v>0.16867499984800816</v>
      </c>
      <c r="J56" s="1541"/>
      <c r="K56" s="325"/>
      <c r="L56" s="406"/>
      <c r="M56" s="405"/>
      <c r="N56" s="405"/>
      <c r="O56" s="405"/>
      <c r="P56" s="405"/>
      <c r="Q56" s="404"/>
      <c r="S56" s="2816"/>
      <c r="T56" s="2817"/>
    </row>
    <row r="57" spans="1:23" s="297" customFormat="1" ht="13.15" customHeight="1">
      <c r="A57" s="325" t="s">
        <v>3727</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46" t="s">
        <v>4380</v>
      </c>
      <c r="B61" s="2887"/>
      <c r="C61" s="2887"/>
      <c r="D61" s="2887"/>
      <c r="E61" s="2887"/>
      <c r="F61" s="2887"/>
      <c r="G61" s="2887"/>
      <c r="H61" s="2887"/>
      <c r="I61" s="2887"/>
      <c r="J61" s="2888"/>
      <c r="K61" s="2749"/>
      <c r="L61" s="2887"/>
      <c r="M61" s="2887"/>
      <c r="N61" s="2887"/>
      <c r="O61" s="2887"/>
      <c r="P61" s="2887"/>
      <c r="Q61" s="2888"/>
      <c r="S61" s="1534" t="s">
        <v>2796</v>
      </c>
      <c r="T61" s="1534"/>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yUYBrfygcag8gMoYQXSQdMoT7Ot6nMnvnCX3glBlAiirBR0gPg0JZ7VjGcG1oSu4Ey+hUiPt9bNM1NRlvIsEVg==" saltValue="JpF5ZWGwfvBC0GbsGocOJ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7"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2016-010 The Preserve at Newport, Kingsland, Camden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2566</v>
      </c>
      <c r="B16" s="226" t="s">
        <v>2563</v>
      </c>
      <c r="C16" s="226" t="s">
        <v>2564</v>
      </c>
      <c r="D16" s="1563" t="s">
        <v>2334</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2016-010 The Preserve at Newport, Kingsland, Camden County</v>
      </c>
      <c r="B58" s="1555"/>
      <c r="C58" s="1555"/>
      <c r="D58" s="1555"/>
      <c r="E58" s="1555"/>
      <c r="F58" s="1555"/>
      <c r="G58" s="1555" t="str">
        <f>CONCATENATE('Part I-Project Information'!$O$4," ",'Part I-Project Information'!$F$24,", ",'Part I-Project Information'!$F$28,", ",'Part I-Project Information'!$J$29," County")</f>
        <v>2016-010 The Preserve at Newport, Kingsland, Camden County</v>
      </c>
      <c r="H58" s="1555"/>
      <c r="I58" s="1555"/>
      <c r="J58" s="1555"/>
      <c r="K58" s="1555"/>
      <c r="L58" s="1555"/>
    </row>
    <row r="59" spans="1:12" ht="15">
      <c r="A59" s="1552" t="s">
        <v>2557</v>
      </c>
      <c r="B59" s="1552"/>
      <c r="C59" s="1552"/>
      <c r="D59" s="1552"/>
      <c r="E59" s="1552"/>
      <c r="F59" s="1552"/>
      <c r="G59" s="1552" t="s">
        <v>2557</v>
      </c>
      <c r="H59" s="1552"/>
      <c r="I59" s="1552"/>
      <c r="J59" s="1552"/>
      <c r="K59" s="1552"/>
      <c r="L59" s="1552"/>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2016-010 The Preserve at Newport, Kingsland, Camden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2016-010 The Preserve at Newport, Kingsland, Camden County</v>
      </c>
      <c r="B50" s="1555"/>
      <c r="C50" s="1555"/>
      <c r="D50" s="1555"/>
      <c r="E50" s="1555"/>
      <c r="F50" s="1555"/>
      <c r="G50" s="235"/>
      <c r="H50" s="235"/>
    </row>
    <row r="51" spans="1:10" ht="15">
      <c r="A51" s="1552" t="s">
        <v>2557</v>
      </c>
      <c r="B51" s="1552"/>
      <c r="C51" s="1552"/>
      <c r="D51" s="1552"/>
      <c r="E51" s="1552"/>
      <c r="F51" s="1552"/>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42" zoomScaleNormal="142" zoomScaleSheetLayoutView="90" workbookViewId="0">
      <selection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4" t="str">
        <f>CONCATENATE("PART FOUR -  USES OF FUNDS","  -  ",'Part I-Project Information'!$O$4," ",'Part I-Project Information'!$F$24,", ",'Part I-Project Information'!F28,", ",'Part I-Project Information'!J29," County")</f>
        <v>PART FOUR -  USES OF FUNDS  -  2016-010 The Preserve at Newport, Kingsland, Camden County</v>
      </c>
      <c r="B1" s="1625"/>
      <c r="C1" s="1625"/>
      <c r="D1" s="1625"/>
      <c r="E1" s="1625"/>
      <c r="F1" s="1625"/>
      <c r="G1" s="1625"/>
      <c r="H1" s="1625"/>
      <c r="I1" s="1625"/>
      <c r="J1" s="1625"/>
      <c r="K1" s="1625"/>
      <c r="L1" s="1625"/>
      <c r="M1" s="1625"/>
      <c r="N1" s="1625"/>
      <c r="O1" s="1625"/>
      <c r="P1" s="1625"/>
      <c r="Q1" s="1625"/>
      <c r="R1" s="1625"/>
      <c r="S1" s="1625"/>
      <c r="T1" s="1625"/>
      <c r="W1" s="1623" t="str">
        <f>A1</f>
        <v>PART FOUR -  USES OF FUNDS  -  2016-010 The Preserve at Newport, Kingsland, Camden County</v>
      </c>
      <c r="X1" s="1623"/>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4" t="s">
        <v>4195</v>
      </c>
      <c r="E5" s="1465"/>
      <c r="F5" s="1466"/>
      <c r="G5" s="553"/>
      <c r="H5" s="553"/>
      <c r="I5" s="553"/>
      <c r="J5" s="1569" t="s">
        <v>283</v>
      </c>
      <c r="K5" s="1570"/>
      <c r="L5" s="380"/>
      <c r="M5" s="1573" t="s">
        <v>507</v>
      </c>
      <c r="N5" s="1574"/>
      <c r="P5" s="1569" t="s">
        <v>284</v>
      </c>
      <c r="Q5" s="1570"/>
      <c r="S5" s="1569" t="s">
        <v>285</v>
      </c>
      <c r="T5" s="1570"/>
      <c r="W5" s="470" t="str">
        <f>B5</f>
        <v>DEVELOPMENT BUDGET</v>
      </c>
    </row>
    <row r="6" spans="1:24" s="325" customFormat="1" ht="19.5" customHeight="1" thickBot="1">
      <c r="G6" s="1626" t="s">
        <v>103</v>
      </c>
      <c r="H6" s="1627"/>
      <c r="J6" s="1571"/>
      <c r="K6" s="1572"/>
      <c r="L6" s="380"/>
      <c r="M6" s="1575"/>
      <c r="N6" s="1576"/>
      <c r="P6" s="1571"/>
      <c r="Q6" s="1572"/>
      <c r="S6" s="1571"/>
      <c r="T6" s="1572"/>
      <c r="W6" s="1643" t="s">
        <v>2778</v>
      </c>
      <c r="X6" s="1643"/>
    </row>
    <row r="7" spans="1:24" s="325" customFormat="1" ht="12" customHeight="1">
      <c r="B7" s="327" t="s">
        <v>104</v>
      </c>
      <c r="O7" s="539" t="str">
        <f>B7</f>
        <v>PRE-DEVELOPMENT COSTS</v>
      </c>
      <c r="W7" s="325" t="str">
        <f>B7</f>
        <v>PRE-DEVELOPMENT COSTS</v>
      </c>
    </row>
    <row r="8" spans="1:24" s="325" customFormat="1" ht="12.6" customHeight="1">
      <c r="B8" s="325" t="s">
        <v>2076</v>
      </c>
      <c r="G8" s="2889">
        <v>8000</v>
      </c>
      <c r="H8" s="2890"/>
      <c r="J8" s="2889">
        <v>8000</v>
      </c>
      <c r="K8" s="2890"/>
      <c r="L8" s="1404"/>
      <c r="M8" s="2889"/>
      <c r="N8" s="2890"/>
      <c r="P8" s="2889"/>
      <c r="Q8" s="2890"/>
      <c r="S8" s="2889"/>
      <c r="T8" s="2890"/>
      <c r="V8" s="2891"/>
      <c r="W8" s="2892"/>
      <c r="X8" s="2893"/>
    </row>
    <row r="9" spans="1:24" s="325" customFormat="1" ht="12.6" customHeight="1">
      <c r="B9" s="325" t="s">
        <v>474</v>
      </c>
      <c r="G9" s="2889">
        <v>7500</v>
      </c>
      <c r="H9" s="2890"/>
      <c r="J9" s="2889">
        <v>7500</v>
      </c>
      <c r="K9" s="2890"/>
      <c r="L9" s="1404"/>
      <c r="M9" s="2889"/>
      <c r="N9" s="2890"/>
      <c r="P9" s="2889"/>
      <c r="Q9" s="2890"/>
      <c r="S9" s="2889"/>
      <c r="T9" s="2890"/>
      <c r="V9" s="2891"/>
      <c r="W9" s="2894"/>
      <c r="X9" s="2895"/>
    </row>
    <row r="10" spans="1:24" s="325" customFormat="1" ht="12.6" customHeight="1">
      <c r="B10" s="325" t="s">
        <v>504</v>
      </c>
      <c r="G10" s="2889">
        <v>10500</v>
      </c>
      <c r="H10" s="2890"/>
      <c r="J10" s="2889">
        <v>10500</v>
      </c>
      <c r="K10" s="2890"/>
      <c r="L10" s="1404"/>
      <c r="M10" s="2889"/>
      <c r="N10" s="2890"/>
      <c r="P10" s="2889"/>
      <c r="Q10" s="2890"/>
      <c r="S10" s="2889"/>
      <c r="T10" s="2890"/>
      <c r="V10" s="2891"/>
      <c r="W10" s="2894"/>
      <c r="X10" s="2895"/>
    </row>
    <row r="11" spans="1:24" s="325" customFormat="1" ht="12.6" customHeight="1">
      <c r="B11" s="325" t="s">
        <v>505</v>
      </c>
      <c r="G11" s="2889">
        <v>10000</v>
      </c>
      <c r="H11" s="2890"/>
      <c r="J11" s="2889">
        <v>10000</v>
      </c>
      <c r="K11" s="2890"/>
      <c r="L11" s="1404"/>
      <c r="M11" s="2889"/>
      <c r="N11" s="2890"/>
      <c r="P11" s="2889"/>
      <c r="Q11" s="2890"/>
      <c r="S11" s="2889"/>
      <c r="T11" s="2890"/>
      <c r="V11" s="2891"/>
      <c r="W11" s="2894"/>
      <c r="X11" s="2895"/>
    </row>
    <row r="12" spans="1:24" s="325" customFormat="1" ht="12.6" customHeight="1">
      <c r="B12" s="325" t="s">
        <v>2586</v>
      </c>
      <c r="G12" s="2889">
        <v>12000</v>
      </c>
      <c r="H12" s="2890"/>
      <c r="J12" s="2889">
        <v>12000</v>
      </c>
      <c r="K12" s="2890"/>
      <c r="L12" s="1404"/>
      <c r="M12" s="2889"/>
      <c r="N12" s="2890"/>
      <c r="P12" s="2889"/>
      <c r="Q12" s="2890"/>
      <c r="S12" s="2889"/>
      <c r="T12" s="2890"/>
      <c r="V12" s="2891"/>
      <c r="W12" s="2894"/>
      <c r="X12" s="2895"/>
    </row>
    <row r="13" spans="1:24" s="325" customFormat="1" ht="12.6" customHeight="1">
      <c r="B13" s="325" t="s">
        <v>196</v>
      </c>
      <c r="G13" s="2889">
        <f>1266+2500</f>
        <v>3766</v>
      </c>
      <c r="H13" s="2890"/>
      <c r="J13" s="2889">
        <f>1266+2500</f>
        <v>3766</v>
      </c>
      <c r="K13" s="2890"/>
      <c r="L13" s="1404"/>
      <c r="M13" s="2889"/>
      <c r="N13" s="2890"/>
      <c r="P13" s="2889"/>
      <c r="Q13" s="2890"/>
      <c r="S13" s="2889"/>
      <c r="T13" s="2890"/>
      <c r="V13" s="2891"/>
      <c r="W13" s="2894"/>
      <c r="X13" s="2895"/>
    </row>
    <row r="14" spans="1:24" s="325" customFormat="1" ht="12.6" customHeight="1">
      <c r="A14" s="408" t="str">
        <f>IF(AND(G14&gt;0,OR(C14="",C14="&lt;Enter detailed description here; use Comments section if needed&gt;")),"X","")</f>
        <v/>
      </c>
      <c r="B14" s="325" t="s">
        <v>771</v>
      </c>
      <c r="C14" s="2637" t="s">
        <v>4189</v>
      </c>
      <c r="D14" s="2637"/>
      <c r="E14" s="2637"/>
      <c r="F14" s="2638"/>
      <c r="G14" s="2889"/>
      <c r="H14" s="2890"/>
      <c r="J14" s="2889"/>
      <c r="K14" s="2890"/>
      <c r="L14" s="1404"/>
      <c r="M14" s="2889"/>
      <c r="N14" s="2890"/>
      <c r="P14" s="2889"/>
      <c r="Q14" s="2890"/>
      <c r="S14" s="2889"/>
      <c r="T14" s="2890"/>
      <c r="U14" s="407" t="str">
        <f>IF(AND(G14&gt;0,OR(C14="",C14="&lt;Enter detailed description here; use Comments section if needed&gt;")),"NO DESCRIPTION PROVIDED - please enter detailed description in Other box at left; use Comments section below if needed.","")</f>
        <v/>
      </c>
      <c r="V14" s="2896"/>
      <c r="W14" s="2894"/>
      <c r="X14" s="2895"/>
    </row>
    <row r="15" spans="1:24" s="325" customFormat="1" ht="12.6" customHeight="1">
      <c r="A15" s="408" t="str">
        <f>IF(AND(G15&gt;0,OR(C15="",C15="&lt;Enter detailed description here; use Comments section if needed&gt;")),"X","")</f>
        <v/>
      </c>
      <c r="B15" s="325" t="s">
        <v>771</v>
      </c>
      <c r="C15" s="2637" t="s">
        <v>4189</v>
      </c>
      <c r="D15" s="2637"/>
      <c r="E15" s="2637"/>
      <c r="F15" s="2638"/>
      <c r="G15" s="2889"/>
      <c r="H15" s="2890"/>
      <c r="J15" s="2889"/>
      <c r="K15" s="2890"/>
      <c r="L15" s="1404"/>
      <c r="M15" s="2889"/>
      <c r="N15" s="2890"/>
      <c r="P15" s="2889"/>
      <c r="Q15" s="2890"/>
      <c r="S15" s="2889"/>
      <c r="T15" s="2890"/>
      <c r="U15" s="407" t="str">
        <f>IF(AND(G15&gt;0,OR(C15="",C15="&lt;Enter detailed description here; use Comments section if needed&gt;")),"NO DESCRIPTION PROVIDED - please enter detailed description in Other box at left; use Comments section below if needed.","")</f>
        <v/>
      </c>
      <c r="V15" s="2896"/>
      <c r="W15" s="2894"/>
      <c r="X15" s="2895"/>
    </row>
    <row r="16" spans="1:24" s="325" customFormat="1" ht="12.6" customHeight="1" thickBot="1">
      <c r="A16" s="408" t="str">
        <f>IF(AND(G16&gt;0,OR(C16="",C16="&lt;Enter detailed description here; use Comments section if needed&gt;")),"X","")</f>
        <v/>
      </c>
      <c r="B16" s="325" t="s">
        <v>771</v>
      </c>
      <c r="C16" s="2637" t="s">
        <v>4189</v>
      </c>
      <c r="D16" s="2637"/>
      <c r="E16" s="2637"/>
      <c r="F16" s="2638"/>
      <c r="G16" s="2889"/>
      <c r="H16" s="2890"/>
      <c r="J16" s="2897"/>
      <c r="K16" s="2898"/>
      <c r="L16" s="1404"/>
      <c r="M16" s="2889"/>
      <c r="N16" s="2890"/>
      <c r="P16" s="2889"/>
      <c r="Q16" s="2890"/>
      <c r="S16" s="2897"/>
      <c r="T16" s="2898"/>
      <c r="U16" s="407" t="str">
        <f>IF(AND(G16&gt;0,OR(C16="",C16="&lt;Enter detailed description here; use Comments section if needed&gt;")),"NO DESCRIPTION PROVIDED - please enter detailed description in Other box at left; use Comments section below if needed.","")</f>
        <v/>
      </c>
      <c r="V16" s="2896"/>
      <c r="W16" s="2894"/>
      <c r="X16" s="2895"/>
    </row>
    <row r="17" spans="2:24" s="325" customFormat="1" ht="12.6" customHeight="1" thickTop="1">
      <c r="F17" s="381" t="s">
        <v>197</v>
      </c>
      <c r="G17" s="1578">
        <f>SUM(G8:H16)</f>
        <v>51766</v>
      </c>
      <c r="H17" s="1579"/>
      <c r="J17" s="1578">
        <f>SUM(J8:K16)</f>
        <v>51766</v>
      </c>
      <c r="K17" s="1644"/>
      <c r="L17" s="1404"/>
      <c r="M17" s="1578">
        <f>SUM(M8:N16)</f>
        <v>0</v>
      </c>
      <c r="N17" s="1579"/>
      <c r="P17" s="1578">
        <f>SUM(P8:Q16)</f>
        <v>0</v>
      </c>
      <c r="Q17" s="1579"/>
      <c r="S17" s="1578">
        <f>SUM(S8:T16)</f>
        <v>0</v>
      </c>
      <c r="T17" s="1579"/>
      <c r="V17" s="2899">
        <f>SUM(V8:V16)</f>
        <v>0</v>
      </c>
      <c r="W17" s="2900"/>
      <c r="X17" s="2901"/>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89">
        <v>145000</v>
      </c>
      <c r="H19" s="2890"/>
      <c r="J19" s="383"/>
      <c r="K19" s="380"/>
      <c r="L19" s="383"/>
      <c r="M19" s="383"/>
      <c r="N19" s="380"/>
      <c r="P19" s="383"/>
      <c r="Q19" s="380"/>
      <c r="S19" s="2889"/>
      <c r="T19" s="2890"/>
      <c r="V19" s="2891"/>
      <c r="W19" s="2892"/>
      <c r="X19" s="2893"/>
    </row>
    <row r="20" spans="2:24" s="325" customFormat="1" ht="12.6" customHeight="1">
      <c r="B20" s="325" t="s">
        <v>1157</v>
      </c>
      <c r="G20" s="2889"/>
      <c r="H20" s="2890"/>
      <c r="J20" s="383"/>
      <c r="K20" s="380"/>
      <c r="L20" s="383"/>
      <c r="M20" s="383"/>
      <c r="N20" s="380"/>
      <c r="P20" s="383"/>
      <c r="Q20" s="380"/>
      <c r="S20" s="2889"/>
      <c r="T20" s="2890"/>
      <c r="V20" s="2891"/>
      <c r="W20" s="2894"/>
      <c r="X20" s="2895"/>
    </row>
    <row r="21" spans="2:24" s="325" customFormat="1" ht="12.6" customHeight="1">
      <c r="B21" s="325" t="s">
        <v>475</v>
      </c>
      <c r="G21" s="2889"/>
      <c r="H21" s="2890"/>
      <c r="J21" s="383"/>
      <c r="K21" s="380"/>
      <c r="L21" s="383"/>
      <c r="M21" s="2889"/>
      <c r="N21" s="2890"/>
      <c r="P21" s="383"/>
      <c r="Q21" s="380"/>
      <c r="S21" s="2889"/>
      <c r="T21" s="2890"/>
      <c r="V21" s="2891"/>
      <c r="W21" s="2894"/>
      <c r="X21" s="2895"/>
    </row>
    <row r="22" spans="2:24" s="325" customFormat="1" ht="12.6" customHeight="1" thickBot="1">
      <c r="B22" s="325" t="s">
        <v>445</v>
      </c>
      <c r="G22" s="2902"/>
      <c r="H22" s="2903"/>
      <c r="J22" s="383"/>
      <c r="K22" s="380"/>
      <c r="L22" s="383"/>
      <c r="M22" s="2902"/>
      <c r="N22" s="2903"/>
      <c r="P22" s="383"/>
      <c r="Q22" s="380"/>
      <c r="S22" s="2889"/>
      <c r="T22" s="2890"/>
      <c r="V22" s="2891"/>
      <c r="W22" s="2894"/>
      <c r="X22" s="2895"/>
    </row>
    <row r="23" spans="2:24" s="325" customFormat="1" ht="12.6" customHeight="1" thickTop="1">
      <c r="F23" s="381" t="s">
        <v>197</v>
      </c>
      <c r="G23" s="1578">
        <f>SUM(G19:H22)</f>
        <v>145000</v>
      </c>
      <c r="H23" s="1579"/>
      <c r="J23" s="383"/>
      <c r="K23" s="380"/>
      <c r="L23" s="383"/>
      <c r="M23" s="1578">
        <f>SUM(M21:N22)</f>
        <v>0</v>
      </c>
      <c r="N23" s="1579"/>
      <c r="P23" s="383"/>
      <c r="Q23" s="380"/>
      <c r="S23" s="1578">
        <f>SUM(S19:T22)</f>
        <v>0</v>
      </c>
      <c r="T23" s="1579"/>
      <c r="V23" s="2899">
        <f>SUM(V19:V22)</f>
        <v>0</v>
      </c>
      <c r="W23" s="2900"/>
      <c r="X23" s="2901"/>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89">
        <v>1477870</v>
      </c>
      <c r="H25" s="2890"/>
      <c r="J25" s="2897">
        <v>1477870</v>
      </c>
      <c r="K25" s="2898"/>
      <c r="L25" s="1404"/>
      <c r="M25" s="2897"/>
      <c r="N25" s="2898"/>
      <c r="P25" s="2897"/>
      <c r="Q25" s="2898"/>
      <c r="S25" s="2889"/>
      <c r="T25" s="2890"/>
      <c r="V25" s="2891"/>
      <c r="W25" s="2892"/>
      <c r="X25" s="2893"/>
    </row>
    <row r="26" spans="2:24" s="325" customFormat="1" ht="12.6" customHeight="1" thickBot="1">
      <c r="B26" s="325" t="s">
        <v>1160</v>
      </c>
      <c r="G26" s="2889"/>
      <c r="H26" s="2890"/>
      <c r="J26" s="2897"/>
      <c r="K26" s="2898"/>
      <c r="L26" s="384"/>
      <c r="M26" s="1622"/>
      <c r="N26" s="1622"/>
      <c r="P26" s="1622"/>
      <c r="Q26" s="1622"/>
      <c r="S26" s="2889"/>
      <c r="T26" s="2890"/>
      <c r="V26" s="2891"/>
      <c r="W26" s="2894"/>
      <c r="X26" s="2895"/>
    </row>
    <row r="27" spans="2:24" s="325" customFormat="1" ht="12.6" customHeight="1" thickTop="1">
      <c r="F27" s="381" t="s">
        <v>197</v>
      </c>
      <c r="G27" s="1578">
        <f>SUM(G25:H26)</f>
        <v>1477870</v>
      </c>
      <c r="H27" s="1579"/>
      <c r="J27" s="1578">
        <f>SUM(J25:K26)</f>
        <v>1477870</v>
      </c>
      <c r="K27" s="1579"/>
      <c r="L27" s="383"/>
      <c r="M27" s="1578">
        <f>M25</f>
        <v>0</v>
      </c>
      <c r="N27" s="1579"/>
      <c r="P27" s="1578">
        <f>P25</f>
        <v>0</v>
      </c>
      <c r="Q27" s="1579"/>
      <c r="S27" s="1578">
        <f>SUM(S25:T26)</f>
        <v>0</v>
      </c>
      <c r="T27" s="1579"/>
      <c r="V27" s="2899">
        <f>SUM(V25:V26)</f>
        <v>0</v>
      </c>
      <c r="W27" s="2900"/>
      <c r="X27" s="2901"/>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89">
        <v>5191772</v>
      </c>
      <c r="H29" s="2890"/>
      <c r="J29" s="2889">
        <v>5191772</v>
      </c>
      <c r="K29" s="2890"/>
      <c r="L29" s="1404"/>
      <c r="M29" s="2889"/>
      <c r="N29" s="2890"/>
      <c r="P29" s="2889"/>
      <c r="Q29" s="2890"/>
      <c r="S29" s="2889"/>
      <c r="T29" s="2890"/>
      <c r="V29" s="2891"/>
      <c r="W29" s="2892"/>
      <c r="X29" s="2893"/>
    </row>
    <row r="30" spans="2:24" s="325" customFormat="1" ht="12.6" customHeight="1">
      <c r="B30" s="325" t="s">
        <v>1163</v>
      </c>
      <c r="G30" s="2889"/>
      <c r="H30" s="2890"/>
      <c r="J30" s="2889"/>
      <c r="K30" s="2890"/>
      <c r="L30" s="1404"/>
      <c r="M30" s="2889"/>
      <c r="N30" s="2890"/>
      <c r="P30" s="2889"/>
      <c r="Q30" s="2890"/>
      <c r="S30" s="2889"/>
      <c r="T30" s="2890"/>
      <c r="V30" s="2891"/>
      <c r="W30" s="2894"/>
      <c r="X30" s="2895"/>
    </row>
    <row r="31" spans="2:24" s="325" customFormat="1" ht="12.6" customHeight="1">
      <c r="B31" s="325" t="s">
        <v>2897</v>
      </c>
      <c r="G31" s="2889">
        <v>150908</v>
      </c>
      <c r="H31" s="2890"/>
      <c r="J31" s="2889">
        <v>150908</v>
      </c>
      <c r="K31" s="2890"/>
      <c r="L31" s="1404"/>
      <c r="M31" s="2889"/>
      <c r="N31" s="2890"/>
      <c r="P31" s="2889"/>
      <c r="Q31" s="2890"/>
      <c r="S31" s="2889"/>
      <c r="T31" s="2890"/>
      <c r="V31" s="2891"/>
      <c r="W31" s="2894"/>
      <c r="X31" s="2895"/>
    </row>
    <row r="32" spans="2:24" ht="12.6" customHeight="1" thickBot="1">
      <c r="B32" s="325" t="s">
        <v>2896</v>
      </c>
      <c r="G32" s="2889"/>
      <c r="H32" s="2890"/>
      <c r="I32" s="325"/>
      <c r="J32" s="2889"/>
      <c r="K32" s="2890"/>
      <c r="L32" s="1404"/>
      <c r="M32" s="2889"/>
      <c r="N32" s="2890"/>
      <c r="O32" s="325"/>
      <c r="P32" s="2889"/>
      <c r="Q32" s="2890"/>
      <c r="R32" s="325"/>
      <c r="S32" s="2889"/>
      <c r="T32" s="2890"/>
      <c r="V32" s="2891"/>
      <c r="W32" s="2894"/>
      <c r="X32" s="2895"/>
    </row>
    <row r="33" spans="1:24" s="325" customFormat="1" ht="12.6" customHeight="1" thickTop="1">
      <c r="C33" s="1577"/>
      <c r="D33" s="1577"/>
      <c r="E33" s="1408"/>
      <c r="F33" s="381" t="s">
        <v>197</v>
      </c>
      <c r="G33" s="1578">
        <f>SUM(G29:H32)</f>
        <v>5342680</v>
      </c>
      <c r="H33" s="1579"/>
      <c r="J33" s="1578">
        <f>SUM(J29:K32)</f>
        <v>5342680</v>
      </c>
      <c r="K33" s="1579"/>
      <c r="L33" s="1404"/>
      <c r="M33" s="1578">
        <f>SUM(M29:N32)</f>
        <v>0</v>
      </c>
      <c r="N33" s="1579"/>
      <c r="P33" s="1578">
        <f>SUM(P29:Q32)</f>
        <v>0</v>
      </c>
      <c r="Q33" s="1579"/>
      <c r="S33" s="1578">
        <f>SUM(S29:T32)</f>
        <v>0</v>
      </c>
      <c r="T33" s="1579"/>
      <c r="V33" s="2899">
        <f>SUM(V29:V32)</f>
        <v>0</v>
      </c>
      <c r="W33" s="2900"/>
      <c r="X33" s="2901"/>
    </row>
    <row r="34" spans="1:24" s="325" customFormat="1" ht="12" customHeight="1">
      <c r="B34" s="327" t="s">
        <v>2424</v>
      </c>
      <c r="E34" s="554">
        <f>SUM(E35:E37)</f>
        <v>0.14000000000000001</v>
      </c>
      <c r="F34" s="1396"/>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409233</v>
      </c>
      <c r="G35" s="2889">
        <v>409230</v>
      </c>
      <c r="H35" s="2890"/>
      <c r="I35" s="344"/>
      <c r="J35" s="2889">
        <v>409230</v>
      </c>
      <c r="K35" s="2890"/>
      <c r="L35" s="1404"/>
      <c r="M35" s="2889"/>
      <c r="N35" s="2890"/>
      <c r="P35" s="2889"/>
      <c r="Q35" s="2890"/>
      <c r="S35" s="2889"/>
      <c r="T35" s="2890"/>
      <c r="V35" s="2891"/>
      <c r="W35" s="2892"/>
      <c r="X35" s="2893"/>
    </row>
    <row r="36" spans="1:24" s="325" customFormat="1" ht="12.6" customHeight="1">
      <c r="B36" s="325" t="s">
        <v>2850</v>
      </c>
      <c r="E36" s="439">
        <f>'DCA Underwriting Assumptions'!$R$81</f>
        <v>0.02</v>
      </c>
      <c r="F36" s="440">
        <f>E36*(G27+G33)</f>
        <v>136411</v>
      </c>
      <c r="G36" s="2889">
        <v>136410</v>
      </c>
      <c r="H36" s="2890"/>
      <c r="I36" s="344"/>
      <c r="J36" s="2889">
        <v>136410</v>
      </c>
      <c r="K36" s="2890"/>
      <c r="L36" s="1404"/>
      <c r="M36" s="2889"/>
      <c r="N36" s="2890"/>
      <c r="P36" s="2889"/>
      <c r="Q36" s="2890"/>
      <c r="S36" s="2889"/>
      <c r="T36" s="2890"/>
      <c r="V36" s="2891"/>
      <c r="W36" s="2894"/>
      <c r="X36" s="2895"/>
    </row>
    <row r="37" spans="1:24" s="325" customFormat="1" ht="12.6" customHeight="1" thickBot="1">
      <c r="B37" s="325" t="s">
        <v>2851</v>
      </c>
      <c r="E37" s="439">
        <f>'DCA Underwriting Assumptions'!$R$82</f>
        <v>0.06</v>
      </c>
      <c r="F37" s="440">
        <f>E37*(G27+G33)</f>
        <v>409233</v>
      </c>
      <c r="G37" s="2889">
        <v>409230</v>
      </c>
      <c r="H37" s="2890"/>
      <c r="I37" s="344"/>
      <c r="J37" s="2889">
        <v>409230</v>
      </c>
      <c r="K37" s="2890"/>
      <c r="L37" s="1404"/>
      <c r="M37" s="2889"/>
      <c r="N37" s="2890"/>
      <c r="P37" s="2889"/>
      <c r="Q37" s="2890"/>
      <c r="S37" s="2889"/>
      <c r="T37" s="2890"/>
      <c r="V37" s="2891"/>
      <c r="W37" s="2894"/>
      <c r="X37" s="2895"/>
    </row>
    <row r="38" spans="1:24" s="325" customFormat="1" ht="12.6" customHeight="1" thickTop="1">
      <c r="B38" s="325" t="s">
        <v>2117</v>
      </c>
      <c r="D38" s="388"/>
      <c r="E38" s="1396"/>
      <c r="F38" s="441" t="s">
        <v>197</v>
      </c>
      <c r="G38" s="1578">
        <f>SUM(G35:H37)</f>
        <v>954870</v>
      </c>
      <c r="H38" s="1579"/>
      <c r="J38" s="1578">
        <f>SUM(J35:K37)</f>
        <v>954870</v>
      </c>
      <c r="K38" s="1579"/>
      <c r="L38" s="383"/>
      <c r="M38" s="1578">
        <f>SUM(M35:N37)</f>
        <v>0</v>
      </c>
      <c r="N38" s="1579"/>
      <c r="P38" s="1578">
        <f>SUM(P35:Q37)</f>
        <v>0</v>
      </c>
      <c r="Q38" s="1579"/>
      <c r="S38" s="1578">
        <f>SUM(S35:T37)</f>
        <v>0</v>
      </c>
      <c r="T38" s="1579"/>
      <c r="V38" s="2899">
        <f>SUM(V35:V37)</f>
        <v>0</v>
      </c>
      <c r="W38" s="2900"/>
      <c r="X38" s="2901"/>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2855</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7" t="s">
        <v>4189</v>
      </c>
      <c r="D41" s="2904"/>
      <c r="E41" s="2904"/>
      <c r="F41" s="2905"/>
      <c r="G41" s="2889"/>
      <c r="H41" s="2890"/>
      <c r="I41" s="325"/>
      <c r="J41" s="2889"/>
      <c r="K41" s="2890"/>
      <c r="L41" s="1404"/>
      <c r="M41" s="2889"/>
      <c r="N41" s="2890"/>
      <c r="O41" s="325"/>
      <c r="P41" s="2889"/>
      <c r="Q41" s="2890"/>
      <c r="R41" s="325"/>
      <c r="S41" s="2889"/>
      <c r="T41" s="2890"/>
      <c r="V41" s="2891"/>
      <c r="W41" s="2892"/>
      <c r="X41" s="2893"/>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94"/>
      <c r="X42" s="2895"/>
    </row>
    <row r="43" spans="1:24" s="325" customFormat="1" ht="12.6" customHeight="1">
      <c r="B43" s="580" t="s">
        <v>2860</v>
      </c>
      <c r="C43" s="581"/>
      <c r="E43" s="1632" t="s">
        <v>2859</v>
      </c>
      <c r="F43" s="1405">
        <f>B44/'Part VI-Revenues &amp; Expenses'!$O$60</f>
        <v>107991.94444444444</v>
      </c>
      <c r="G43" s="578" t="s">
        <v>2888</v>
      </c>
      <c r="H43" s="540"/>
      <c r="I43" s="540"/>
      <c r="J43" s="1629">
        <f>B44/'Part VI-Revenues &amp; Expenses'!$O$62</f>
        <v>107991.94444444444</v>
      </c>
      <c r="K43" s="1629"/>
      <c r="L43" s="540"/>
      <c r="M43" s="1631" t="s">
        <v>1454</v>
      </c>
      <c r="N43" s="1631"/>
      <c r="O43" s="540"/>
      <c r="P43" s="1629">
        <f>B44/'Part I-Project Information'!$P$60</f>
        <v>95.28117149684455</v>
      </c>
      <c r="Q43" s="1629"/>
      <c r="R43" s="540"/>
      <c r="S43" s="1641" t="s">
        <v>2895</v>
      </c>
      <c r="T43" s="1642"/>
      <c r="W43" s="2894"/>
      <c r="X43" s="2895"/>
    </row>
    <row r="44" spans="1:24" s="325" customFormat="1" ht="12.6" customHeight="1">
      <c r="B44" s="1635">
        <f>G27+G33+G38+G41</f>
        <v>7775420</v>
      </c>
      <c r="C44" s="1636"/>
      <c r="E44" s="1633"/>
      <c r="F44" s="1406">
        <f>B44/'Part VI-Revenues &amp; Expenses'!$O$117</f>
        <v>98.050693568726359</v>
      </c>
      <c r="G44" s="579" t="s">
        <v>2889</v>
      </c>
      <c r="H44" s="1402"/>
      <c r="I44" s="1402"/>
      <c r="J44" s="1630">
        <f>B44/'Part VI-Revenues &amp; Expenses'!$O$119</f>
        <v>98.050693568726359</v>
      </c>
      <c r="K44" s="1630"/>
      <c r="L44" s="1402"/>
      <c r="M44" s="1628" t="s">
        <v>2894</v>
      </c>
      <c r="N44" s="1628"/>
      <c r="O44" s="1402"/>
      <c r="P44" s="1402"/>
      <c r="Q44" s="1402"/>
      <c r="R44" s="1402"/>
      <c r="S44" s="1402"/>
      <c r="T44" s="373"/>
      <c r="W44" s="2900"/>
      <c r="X44" s="2901"/>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63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4"/>
      <c r="F47" s="385">
        <f>G47/B44</f>
        <v>4.9999871389584102E-2</v>
      </c>
      <c r="G47" s="2889">
        <v>388770</v>
      </c>
      <c r="H47" s="2890"/>
      <c r="I47" s="325"/>
      <c r="J47" s="2889">
        <v>388770</v>
      </c>
      <c r="K47" s="2890"/>
      <c r="L47" s="1404"/>
      <c r="M47" s="2889"/>
      <c r="N47" s="2890"/>
      <c r="O47" s="325"/>
      <c r="P47" s="2889"/>
      <c r="Q47" s="2890"/>
      <c r="R47" s="325"/>
      <c r="S47" s="2889"/>
      <c r="T47" s="2890"/>
      <c r="V47" s="2891"/>
      <c r="W47" s="2906"/>
      <c r="X47" s="2907"/>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2982</v>
      </c>
      <c r="H50" s="1396"/>
      <c r="I50" s="1396"/>
      <c r="J50" s="1569" t="s">
        <v>283</v>
      </c>
      <c r="K50" s="1570"/>
      <c r="L50" s="380"/>
      <c r="M50" s="1573" t="s">
        <v>507</v>
      </c>
      <c r="N50" s="1574"/>
      <c r="P50" s="1569" t="s">
        <v>284</v>
      </c>
      <c r="Q50" s="1570"/>
      <c r="S50" s="1569" t="s">
        <v>285</v>
      </c>
      <c r="T50" s="1570"/>
      <c r="W50" s="470" t="str">
        <f>B50</f>
        <v>DEVELOPMENT BUDGET (cont'd)</v>
      </c>
    </row>
    <row r="51" spans="1:24" s="325" customFormat="1" ht="18.75" customHeight="1" thickBot="1">
      <c r="G51" s="1626" t="s">
        <v>103</v>
      </c>
      <c r="H51" s="1627"/>
      <c r="J51" s="1571"/>
      <c r="K51" s="1572"/>
      <c r="L51" s="380"/>
      <c r="M51" s="1575"/>
      <c r="N51" s="1576"/>
      <c r="P51" s="1571"/>
      <c r="Q51" s="1572"/>
      <c r="S51" s="1571"/>
      <c r="T51" s="1572"/>
      <c r="W51" s="1643" t="s">
        <v>2778</v>
      </c>
      <c r="X51" s="1643"/>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89"/>
      <c r="H53" s="2890"/>
      <c r="J53" s="2889"/>
      <c r="K53" s="2890"/>
      <c r="L53" s="1404"/>
      <c r="M53" s="2889"/>
      <c r="N53" s="2890"/>
      <c r="P53" s="2889"/>
      <c r="Q53" s="2890"/>
      <c r="S53" s="2889"/>
      <c r="T53" s="2890"/>
      <c r="V53" s="2908"/>
      <c r="W53" s="2909"/>
      <c r="X53" s="2910"/>
    </row>
    <row r="54" spans="1:24" s="325" customFormat="1" ht="12" customHeight="1">
      <c r="B54" s="325" t="s">
        <v>2427</v>
      </c>
      <c r="G54" s="2889">
        <v>53740</v>
      </c>
      <c r="H54" s="2890"/>
      <c r="J54" s="2889">
        <v>53740</v>
      </c>
      <c r="K54" s="2890"/>
      <c r="L54" s="1404"/>
      <c r="M54" s="2889"/>
      <c r="N54" s="2890"/>
      <c r="P54" s="2889"/>
      <c r="Q54" s="2890"/>
      <c r="S54" s="2889"/>
      <c r="T54" s="2890"/>
      <c r="V54" s="2908"/>
      <c r="W54" s="2911"/>
      <c r="X54" s="2912"/>
    </row>
    <row r="55" spans="1:24" s="325" customFormat="1" ht="12" customHeight="1">
      <c r="B55" s="325" t="s">
        <v>2428</v>
      </c>
      <c r="G55" s="2889">
        <v>119736</v>
      </c>
      <c r="H55" s="2890"/>
      <c r="J55" s="2889">
        <v>95982</v>
      </c>
      <c r="K55" s="2890"/>
      <c r="L55" s="1404"/>
      <c r="M55" s="2889"/>
      <c r="N55" s="2890"/>
      <c r="P55" s="2889"/>
      <c r="Q55" s="2890"/>
      <c r="S55" s="2889"/>
      <c r="T55" s="2890"/>
      <c r="V55" s="2908"/>
      <c r="W55" s="2911"/>
      <c r="X55" s="2912"/>
    </row>
    <row r="56" spans="1:24" s="325" customFormat="1" ht="12" customHeight="1">
      <c r="B56" s="325" t="s">
        <v>2429</v>
      </c>
      <c r="G56" s="2889">
        <v>25000</v>
      </c>
      <c r="H56" s="2890"/>
      <c r="J56" s="2889">
        <v>25000</v>
      </c>
      <c r="K56" s="2890"/>
      <c r="L56" s="1404"/>
      <c r="M56" s="2889"/>
      <c r="N56" s="2890"/>
      <c r="P56" s="2889"/>
      <c r="Q56" s="2890"/>
      <c r="S56" s="2889"/>
      <c r="T56" s="2890"/>
      <c r="V56" s="2908"/>
      <c r="W56" s="2911"/>
      <c r="X56" s="2912"/>
    </row>
    <row r="57" spans="1:24" s="325" customFormat="1" ht="12" customHeight="1">
      <c r="B57" s="325" t="s">
        <v>2787</v>
      </c>
      <c r="G57" s="2889">
        <v>12000</v>
      </c>
      <c r="H57" s="2890"/>
      <c r="J57" s="2889">
        <v>12000</v>
      </c>
      <c r="K57" s="2890"/>
      <c r="L57" s="1404"/>
      <c r="M57" s="2889"/>
      <c r="N57" s="2890"/>
      <c r="P57" s="2889"/>
      <c r="Q57" s="2890"/>
      <c r="S57" s="2889"/>
      <c r="T57" s="2890"/>
      <c r="V57" s="2908"/>
      <c r="W57" s="2911"/>
      <c r="X57" s="2912"/>
    </row>
    <row r="58" spans="1:24" s="325" customFormat="1" ht="12" customHeight="1">
      <c r="B58" s="325" t="s">
        <v>753</v>
      </c>
      <c r="G58" s="2889">
        <v>5000</v>
      </c>
      <c r="H58" s="2890"/>
      <c r="J58" s="2889">
        <v>5000</v>
      </c>
      <c r="K58" s="2890"/>
      <c r="L58" s="1404"/>
      <c r="M58" s="2889"/>
      <c r="N58" s="2890"/>
      <c r="P58" s="2889"/>
      <c r="Q58" s="2890"/>
      <c r="S58" s="2889"/>
      <c r="T58" s="2890"/>
      <c r="V58" s="2908"/>
      <c r="W58" s="2911"/>
      <c r="X58" s="2912"/>
    </row>
    <row r="59" spans="1:24" s="325" customFormat="1" ht="12" customHeight="1">
      <c r="B59" s="325" t="s">
        <v>2430</v>
      </c>
      <c r="G59" s="2889">
        <v>32500</v>
      </c>
      <c r="H59" s="2890"/>
      <c r="J59" s="2889">
        <v>32500</v>
      </c>
      <c r="K59" s="2890"/>
      <c r="L59" s="1404"/>
      <c r="M59" s="2889"/>
      <c r="N59" s="2890"/>
      <c r="P59" s="2889"/>
      <c r="Q59" s="2890"/>
      <c r="S59" s="2889"/>
      <c r="T59" s="2890"/>
      <c r="V59" s="2908"/>
      <c r="W59" s="2911"/>
      <c r="X59" s="2912"/>
    </row>
    <row r="60" spans="1:24" s="325" customFormat="1" ht="12" customHeight="1">
      <c r="B60" s="325" t="s">
        <v>1323</v>
      </c>
      <c r="G60" s="2889">
        <v>25000</v>
      </c>
      <c r="H60" s="2890"/>
      <c r="J60" s="2889">
        <v>25000</v>
      </c>
      <c r="K60" s="2890"/>
      <c r="L60" s="1404"/>
      <c r="M60" s="2889"/>
      <c r="N60" s="2890"/>
      <c r="P60" s="2889"/>
      <c r="Q60" s="2890"/>
      <c r="S60" s="2889"/>
      <c r="T60" s="2890"/>
      <c r="V60" s="2908"/>
      <c r="W60" s="2911"/>
      <c r="X60" s="2912"/>
    </row>
    <row r="61" spans="1:24" s="325" customFormat="1" ht="12" customHeight="1">
      <c r="B61" s="387" t="s">
        <v>1195</v>
      </c>
      <c r="D61" s="385"/>
      <c r="E61" s="385"/>
      <c r="F61" s="386"/>
      <c r="G61" s="2889">
        <v>78812</v>
      </c>
      <c r="H61" s="2890"/>
      <c r="I61" s="344"/>
      <c r="J61" s="2889">
        <v>78812</v>
      </c>
      <c r="K61" s="2890"/>
      <c r="L61" s="1404"/>
      <c r="M61" s="2889"/>
      <c r="N61" s="2890"/>
      <c r="P61" s="2889"/>
      <c r="Q61" s="2890"/>
      <c r="S61" s="2889"/>
      <c r="T61" s="2890"/>
      <c r="V61" s="2908"/>
      <c r="W61" s="2911"/>
      <c r="X61" s="2912"/>
    </row>
    <row r="62" spans="1:24" s="325" customFormat="1" ht="12" customHeight="1">
      <c r="A62" s="408" t="str">
        <f>IF(AND(G62&gt;0,OR(C62="",C62="&lt;Enter detailed description here; use Comments section if needed&gt;")),"X","")</f>
        <v/>
      </c>
      <c r="B62" s="325" t="s">
        <v>771</v>
      </c>
      <c r="C62" s="2637" t="s">
        <v>4189</v>
      </c>
      <c r="D62" s="2637"/>
      <c r="E62" s="2637"/>
      <c r="F62" s="2638"/>
      <c r="G62" s="2889"/>
      <c r="H62" s="2890"/>
      <c r="J62" s="2889"/>
      <c r="K62" s="2890"/>
      <c r="L62" s="1404"/>
      <c r="M62" s="2889"/>
      <c r="N62" s="2890"/>
      <c r="P62" s="2889"/>
      <c r="Q62" s="2890"/>
      <c r="S62" s="2889"/>
      <c r="T62" s="2890"/>
      <c r="U62" s="407" t="str">
        <f>IF(AND(G62&gt;0,OR(C62="",C62="&lt;Enter detailed description here; use Comments section if needed&gt;")),"NO DESCRIPTION PROVIDED - please enter detailed description in Other box at left; use Comments section below if needed.","")</f>
        <v/>
      </c>
      <c r="V62" s="2908"/>
      <c r="W62" s="2911"/>
      <c r="X62" s="2912"/>
    </row>
    <row r="63" spans="1:24" s="325" customFormat="1" ht="12" customHeight="1" thickBot="1">
      <c r="A63" s="408" t="str">
        <f>IF(AND(G63&gt;0,OR(C63="",C63="&lt;Enter detailed description here; use Comments section if needed&gt;")),"X","")</f>
        <v/>
      </c>
      <c r="B63" s="325" t="s">
        <v>771</v>
      </c>
      <c r="C63" s="2637" t="s">
        <v>4189</v>
      </c>
      <c r="D63" s="2637"/>
      <c r="E63" s="2637"/>
      <c r="F63" s="2638"/>
      <c r="G63" s="2889"/>
      <c r="H63" s="2890"/>
      <c r="J63" s="2889"/>
      <c r="K63" s="2890"/>
      <c r="L63" s="1404"/>
      <c r="M63" s="2889"/>
      <c r="N63" s="2890"/>
      <c r="P63" s="2889"/>
      <c r="Q63" s="2890"/>
      <c r="S63" s="2889"/>
      <c r="T63" s="2890"/>
      <c r="U63" s="407" t="str">
        <f>IF(AND(G63&gt;0,OR(C63="",C63="&lt;Enter detailed description here; use Comments section if needed&gt;")),"NO DESCRIPTION PROVIDED - please enter detailed description in Other box at left; use Comments section below if needed.","")</f>
        <v/>
      </c>
      <c r="V63" s="2908"/>
      <c r="W63" s="2911"/>
      <c r="X63" s="2912"/>
    </row>
    <row r="64" spans="1:24" s="325" customFormat="1" ht="12" customHeight="1" thickTop="1">
      <c r="F64" s="381" t="s">
        <v>197</v>
      </c>
      <c r="G64" s="1578">
        <f>SUM(G53:H63)</f>
        <v>351788</v>
      </c>
      <c r="H64" s="1579"/>
      <c r="J64" s="1578">
        <f>SUM(J53:K63)</f>
        <v>328034</v>
      </c>
      <c r="K64" s="1579"/>
      <c r="L64" s="383"/>
      <c r="M64" s="1578">
        <f>SUM(M53:N63)</f>
        <v>0</v>
      </c>
      <c r="N64" s="1579"/>
      <c r="P64" s="1578">
        <f>SUM(P53:Q63)</f>
        <v>0</v>
      </c>
      <c r="Q64" s="1579"/>
      <c r="S64" s="1578">
        <f>SUM(S53:T63)</f>
        <v>0</v>
      </c>
      <c r="T64" s="1579"/>
      <c r="V64" s="2913">
        <f>SUM(V53:V63)</f>
        <v>0</v>
      </c>
      <c r="W64" s="2914"/>
      <c r="X64" s="2915"/>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89">
        <v>115200</v>
      </c>
      <c r="H66" s="2890"/>
      <c r="J66" s="2889">
        <v>115200</v>
      </c>
      <c r="K66" s="2890"/>
      <c r="L66" s="1404"/>
      <c r="M66" s="2889"/>
      <c r="N66" s="2890"/>
      <c r="P66" s="2889"/>
      <c r="Q66" s="2890"/>
      <c r="S66" s="2889"/>
      <c r="T66" s="2890"/>
      <c r="V66" s="2891"/>
      <c r="W66" s="2892"/>
      <c r="X66" s="2893"/>
    </row>
    <row r="67" spans="1:24" s="325" customFormat="1" ht="12" customHeight="1">
      <c r="B67" s="325" t="s">
        <v>495</v>
      </c>
      <c r="G67" s="2889">
        <v>9000</v>
      </c>
      <c r="H67" s="2890"/>
      <c r="J67" s="2889">
        <v>9000</v>
      </c>
      <c r="K67" s="2890"/>
      <c r="L67" s="1404"/>
      <c r="M67" s="2889"/>
      <c r="N67" s="2890"/>
      <c r="P67" s="2889"/>
      <c r="Q67" s="2890"/>
      <c r="S67" s="2889"/>
      <c r="T67" s="2890"/>
      <c r="V67" s="2891"/>
      <c r="W67" s="2894"/>
      <c r="X67" s="2895"/>
    </row>
    <row r="68" spans="1:24" s="325" customFormat="1" ht="12" customHeight="1">
      <c r="B68" s="325" t="s">
        <v>1166</v>
      </c>
      <c r="F68" s="325" t="s">
        <v>2874</v>
      </c>
      <c r="G68" s="2889"/>
      <c r="H68" s="2890"/>
      <c r="J68" s="2889"/>
      <c r="K68" s="2890"/>
      <c r="L68" s="1404"/>
      <c r="M68" s="2889"/>
      <c r="N68" s="2890"/>
      <c r="P68" s="2889"/>
      <c r="Q68" s="2890"/>
      <c r="S68" s="2889"/>
      <c r="T68" s="2890"/>
      <c r="V68" s="2891"/>
      <c r="W68" s="2894"/>
      <c r="X68" s="2895"/>
    </row>
    <row r="69" spans="1:24" s="325" customFormat="1" ht="12" customHeight="1">
      <c r="B69" s="325" t="s">
        <v>1167</v>
      </c>
      <c r="G69" s="2889">
        <v>31680</v>
      </c>
      <c r="H69" s="2890"/>
      <c r="J69" s="2889">
        <v>31680</v>
      </c>
      <c r="K69" s="2890"/>
      <c r="L69" s="1404"/>
      <c r="M69" s="2889"/>
      <c r="N69" s="2890"/>
      <c r="P69" s="2889"/>
      <c r="Q69" s="2890"/>
      <c r="S69" s="2889"/>
      <c r="T69" s="2890"/>
      <c r="V69" s="2891"/>
      <c r="W69" s="2894"/>
      <c r="X69" s="2895"/>
    </row>
    <row r="70" spans="1:24" s="325" customFormat="1" ht="12" customHeight="1">
      <c r="B70" s="325" t="s">
        <v>1168</v>
      </c>
      <c r="G70" s="2889">
        <v>12500</v>
      </c>
      <c r="H70" s="2890"/>
      <c r="J70" s="2889">
        <v>12500</v>
      </c>
      <c r="K70" s="2890"/>
      <c r="L70" s="1404"/>
      <c r="M70" s="2889"/>
      <c r="N70" s="2890"/>
      <c r="P70" s="2889"/>
      <c r="Q70" s="2890"/>
      <c r="S70" s="2889"/>
      <c r="T70" s="2890"/>
      <c r="V70" s="2891"/>
      <c r="W70" s="2894"/>
      <c r="X70" s="2895"/>
    </row>
    <row r="71" spans="1:24" s="325" customFormat="1" ht="12" customHeight="1">
      <c r="B71" s="325" t="s">
        <v>1169</v>
      </c>
      <c r="G71" s="2889"/>
      <c r="H71" s="2890"/>
      <c r="J71" s="2889"/>
      <c r="K71" s="2890"/>
      <c r="L71" s="1404"/>
      <c r="M71" s="2889"/>
      <c r="N71" s="2890"/>
      <c r="P71" s="2889"/>
      <c r="Q71" s="2890"/>
      <c r="S71" s="2889"/>
      <c r="T71" s="2890"/>
      <c r="V71" s="2891"/>
      <c r="W71" s="2894"/>
      <c r="X71" s="2895"/>
    </row>
    <row r="72" spans="1:24" s="325" customFormat="1" ht="12" customHeight="1">
      <c r="B72" s="325" t="s">
        <v>496</v>
      </c>
      <c r="G72" s="2889">
        <v>45000</v>
      </c>
      <c r="H72" s="2890"/>
      <c r="J72" s="2889">
        <v>45000</v>
      </c>
      <c r="K72" s="2890"/>
      <c r="L72" s="1404"/>
      <c r="M72" s="2889"/>
      <c r="N72" s="2890"/>
      <c r="P72" s="2889"/>
      <c r="Q72" s="2890"/>
      <c r="S72" s="2889"/>
      <c r="T72" s="2890"/>
      <c r="V72" s="2891"/>
      <c r="W72" s="2894"/>
      <c r="X72" s="2895"/>
    </row>
    <row r="73" spans="1:24" s="325" customFormat="1" ht="12" customHeight="1">
      <c r="B73" s="325" t="s">
        <v>497</v>
      </c>
      <c r="G73" s="2889">
        <v>40000</v>
      </c>
      <c r="H73" s="2890"/>
      <c r="J73" s="2889">
        <v>40000</v>
      </c>
      <c r="K73" s="2890"/>
      <c r="L73" s="1404"/>
      <c r="M73" s="2889"/>
      <c r="N73" s="2890"/>
      <c r="P73" s="2889"/>
      <c r="Q73" s="2890"/>
      <c r="S73" s="2889"/>
      <c r="T73" s="2890"/>
      <c r="V73" s="2891"/>
      <c r="W73" s="2894"/>
      <c r="X73" s="2895"/>
    </row>
    <row r="74" spans="1:24" s="325" customFormat="1" ht="12" customHeight="1">
      <c r="B74" s="325" t="s">
        <v>2127</v>
      </c>
      <c r="G74" s="2889">
        <v>20000</v>
      </c>
      <c r="H74" s="2890"/>
      <c r="J74" s="2889">
        <v>20000</v>
      </c>
      <c r="K74" s="2890"/>
      <c r="L74" s="1404"/>
      <c r="M74" s="2889"/>
      <c r="N74" s="2890"/>
      <c r="P74" s="2889"/>
      <c r="Q74" s="2890"/>
      <c r="S74" s="2889"/>
      <c r="T74" s="2890"/>
      <c r="V74" s="2891"/>
      <c r="W74" s="2894"/>
      <c r="X74" s="2895"/>
    </row>
    <row r="75" spans="1:24" s="325" customFormat="1" ht="12" customHeight="1">
      <c r="B75" s="325" t="s">
        <v>1324</v>
      </c>
      <c r="G75" s="2889">
        <v>8000</v>
      </c>
      <c r="H75" s="2890"/>
      <c r="J75" s="2889">
        <v>8000</v>
      </c>
      <c r="K75" s="2890"/>
      <c r="L75" s="1404"/>
      <c r="M75" s="2889"/>
      <c r="N75" s="2890"/>
      <c r="P75" s="2889"/>
      <c r="Q75" s="2890"/>
      <c r="S75" s="2889"/>
      <c r="T75" s="2890"/>
      <c r="V75" s="2891"/>
      <c r="W75" s="2894"/>
      <c r="X75" s="2895"/>
    </row>
    <row r="76" spans="1:24" s="325" customFormat="1" ht="12" customHeight="1" thickBot="1">
      <c r="A76" s="408" t="str">
        <f>IF(AND(G76&gt;0,OR(C76="",C76="&lt;Enter detailed description here; use Comments section if needed&gt;")),"X","")</f>
        <v/>
      </c>
      <c r="B76" s="325" t="s">
        <v>771</v>
      </c>
      <c r="C76" s="2637" t="s">
        <v>4189</v>
      </c>
      <c r="D76" s="2637"/>
      <c r="E76" s="2637"/>
      <c r="F76" s="2638"/>
      <c r="G76" s="2889"/>
      <c r="H76" s="2890"/>
      <c r="J76" s="2889"/>
      <c r="K76" s="2890"/>
      <c r="L76" s="1404"/>
      <c r="M76" s="2889"/>
      <c r="N76" s="2890"/>
      <c r="P76" s="2889"/>
      <c r="Q76" s="2890"/>
      <c r="S76" s="2889"/>
      <c r="T76" s="2890"/>
      <c r="U76" s="407" t="str">
        <f>IF(AND(G76&gt;0,OR(C76="",C76="&lt;Enter detailed description here; use Comments section if needed&gt;")),"NO DESCRIPTION PROVIDED - please enter detailed description in Other box at left; use Comments section below if needed.","")</f>
        <v/>
      </c>
      <c r="V76" s="2891"/>
      <c r="W76" s="2894"/>
      <c r="X76" s="2895"/>
    </row>
    <row r="77" spans="1:24" s="325" customFormat="1" ht="12" customHeight="1" thickTop="1">
      <c r="F77" s="381" t="s">
        <v>197</v>
      </c>
      <c r="G77" s="1578">
        <f>SUM(G66:H76)</f>
        <v>281380</v>
      </c>
      <c r="H77" s="1579"/>
      <c r="J77" s="1578">
        <f>SUM(J66:K76)</f>
        <v>281380</v>
      </c>
      <c r="K77" s="1579"/>
      <c r="L77" s="383"/>
      <c r="M77" s="1578">
        <f>SUM(M66:N76)</f>
        <v>0</v>
      </c>
      <c r="N77" s="1579"/>
      <c r="P77" s="1578">
        <f>SUM(P66:Q76)</f>
        <v>0</v>
      </c>
      <c r="Q77" s="1579"/>
      <c r="S77" s="1578">
        <f>SUM(S66:T76)</f>
        <v>0</v>
      </c>
      <c r="T77" s="1579"/>
      <c r="V77" s="2899">
        <f>SUM(V66:V76)</f>
        <v>0</v>
      </c>
      <c r="W77" s="2900"/>
      <c r="X77" s="2901"/>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89">
        <f>30135-2500</f>
        <v>27635</v>
      </c>
      <c r="H79" s="2890"/>
      <c r="J79" s="2889">
        <f>30135-2500</f>
        <v>27635</v>
      </c>
      <c r="K79" s="2890"/>
      <c r="L79" s="1404"/>
      <c r="M79" s="2889"/>
      <c r="N79" s="2890"/>
      <c r="P79" s="2889"/>
      <c r="Q79" s="2890"/>
      <c r="S79" s="2889"/>
      <c r="T79" s="2890"/>
      <c r="V79" s="2891"/>
      <c r="W79" s="2916"/>
      <c r="X79" s="2917"/>
    </row>
    <row r="80" spans="1:24" s="325" customFormat="1" ht="12" customHeight="1">
      <c r="B80" s="325" t="s">
        <v>1318</v>
      </c>
      <c r="G80" s="2889"/>
      <c r="H80" s="2890"/>
      <c r="J80" s="2889"/>
      <c r="K80" s="2890"/>
      <c r="L80" s="1404"/>
      <c r="M80" s="2889"/>
      <c r="N80" s="2890"/>
      <c r="P80" s="2889"/>
      <c r="Q80" s="2890"/>
      <c r="S80" s="2889"/>
      <c r="T80" s="2890"/>
      <c r="V80" s="2891"/>
      <c r="W80" s="2918"/>
      <c r="X80" s="2919"/>
    </row>
    <row r="81" spans="1:24" s="325" customFormat="1" ht="12" customHeight="1">
      <c r="B81" s="325" t="s">
        <v>1319</v>
      </c>
      <c r="D81" s="390" t="s">
        <v>1455</v>
      </c>
      <c r="E81" s="2920"/>
      <c r="G81" s="2889">
        <v>35127</v>
      </c>
      <c r="H81" s="2890"/>
      <c r="I81" s="344"/>
      <c r="J81" s="2889">
        <v>35127</v>
      </c>
      <c r="K81" s="2890"/>
      <c r="L81" s="1404"/>
      <c r="M81" s="2889"/>
      <c r="N81" s="2890"/>
      <c r="P81" s="2889"/>
      <c r="Q81" s="2890"/>
      <c r="S81" s="2889"/>
      <c r="T81" s="2890"/>
      <c r="V81" s="2891"/>
      <c r="W81" s="2918"/>
      <c r="X81" s="2919"/>
    </row>
    <row r="82" spans="1:24" s="325" customFormat="1" ht="12" customHeight="1" thickBot="1">
      <c r="B82" s="325" t="s">
        <v>1320</v>
      </c>
      <c r="D82" s="390" t="s">
        <v>1455</v>
      </c>
      <c r="E82" s="2920"/>
      <c r="G82" s="2889">
        <v>178800</v>
      </c>
      <c r="H82" s="2890"/>
      <c r="I82" s="344"/>
      <c r="J82" s="2889">
        <v>178800</v>
      </c>
      <c r="K82" s="2890"/>
      <c r="L82" s="1404"/>
      <c r="M82" s="2889"/>
      <c r="N82" s="2890"/>
      <c r="P82" s="2889"/>
      <c r="Q82" s="2890"/>
      <c r="S82" s="2889"/>
      <c r="T82" s="2890"/>
      <c r="V82" s="2891"/>
      <c r="W82" s="2918"/>
      <c r="X82" s="2919"/>
    </row>
    <row r="83" spans="1:24" s="325" customFormat="1" ht="12" customHeight="1" thickTop="1">
      <c r="F83" s="381" t="s">
        <v>197</v>
      </c>
      <c r="G83" s="1578">
        <f>SUM(G79:H82)</f>
        <v>241562</v>
      </c>
      <c r="H83" s="1579"/>
      <c r="J83" s="1578">
        <f>SUM(J79:K82)</f>
        <v>241562</v>
      </c>
      <c r="K83" s="1579"/>
      <c r="L83" s="383"/>
      <c r="M83" s="1578">
        <f>SUM(M79:N82)</f>
        <v>0</v>
      </c>
      <c r="N83" s="1579"/>
      <c r="P83" s="1578">
        <f>SUM(P79:Q82)</f>
        <v>0</v>
      </c>
      <c r="Q83" s="1579"/>
      <c r="S83" s="1578">
        <f>SUM(S79:T82)</f>
        <v>0</v>
      </c>
      <c r="T83" s="1579"/>
      <c r="V83" s="2899">
        <f>SUM(V79:V82)</f>
        <v>0</v>
      </c>
      <c r="W83" s="2921"/>
      <c r="X83" s="2922"/>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89"/>
      <c r="H85" s="2890"/>
      <c r="J85" s="1568"/>
      <c r="K85" s="1568"/>
      <c r="L85" s="1404"/>
      <c r="M85" s="1568"/>
      <c r="N85" s="1568"/>
      <c r="P85" s="1568"/>
      <c r="Q85" s="1568"/>
      <c r="S85" s="2889"/>
      <c r="T85" s="2890"/>
      <c r="V85" s="2891"/>
      <c r="W85" s="2916"/>
      <c r="X85" s="2917"/>
    </row>
    <row r="86" spans="1:24" s="325" customFormat="1" ht="12" customHeight="1">
      <c r="B86" s="325" t="s">
        <v>1322</v>
      </c>
      <c r="G86" s="2889"/>
      <c r="H86" s="2890"/>
      <c r="J86" s="1568"/>
      <c r="K86" s="1568"/>
      <c r="L86" s="1404"/>
      <c r="M86" s="1568"/>
      <c r="N86" s="1568"/>
      <c r="P86" s="1568"/>
      <c r="Q86" s="1568"/>
      <c r="S86" s="2889"/>
      <c r="T86" s="2890"/>
      <c r="V86" s="2891"/>
      <c r="W86" s="2918"/>
      <c r="X86" s="2919"/>
    </row>
    <row r="87" spans="1:24" s="325" customFormat="1" ht="12" customHeight="1">
      <c r="B87" s="325" t="s">
        <v>1323</v>
      </c>
      <c r="G87" s="2889">
        <v>5000</v>
      </c>
      <c r="H87" s="2890"/>
      <c r="J87" s="1568"/>
      <c r="K87" s="1568"/>
      <c r="L87" s="1404"/>
      <c r="M87" s="1568"/>
      <c r="N87" s="1568"/>
      <c r="P87" s="1568"/>
      <c r="Q87" s="1568"/>
      <c r="S87" s="2889"/>
      <c r="T87" s="2890"/>
      <c r="V87" s="2891"/>
      <c r="W87" s="2918"/>
      <c r="X87" s="2919"/>
    </row>
    <row r="88" spans="1:24" s="325" customFormat="1" ht="12" customHeight="1">
      <c r="B88" s="325" t="s">
        <v>1325</v>
      </c>
      <c r="G88" s="2889"/>
      <c r="H88" s="2890"/>
      <c r="J88" s="1568"/>
      <c r="K88" s="1568"/>
      <c r="L88" s="1404"/>
      <c r="M88" s="1568"/>
      <c r="N88" s="1568"/>
      <c r="P88" s="1568"/>
      <c r="Q88" s="1568"/>
      <c r="S88" s="2889"/>
      <c r="T88" s="2890"/>
      <c r="V88" s="2891"/>
      <c r="W88" s="2918"/>
      <c r="X88" s="2919"/>
    </row>
    <row r="89" spans="1:24" s="325" customFormat="1" ht="12" customHeight="1">
      <c r="B89" s="325" t="s">
        <v>2378</v>
      </c>
      <c r="G89" s="2889"/>
      <c r="H89" s="2890"/>
      <c r="J89" s="1568"/>
      <c r="K89" s="1568"/>
      <c r="L89" s="1404"/>
      <c r="M89" s="1568"/>
      <c r="N89" s="1568"/>
      <c r="P89" s="1568"/>
      <c r="Q89" s="1568"/>
      <c r="S89" s="2889"/>
      <c r="T89" s="2890"/>
      <c r="V89" s="2891"/>
      <c r="W89" s="2918"/>
      <c r="X89" s="2919"/>
    </row>
    <row r="90" spans="1:24" s="325" customFormat="1" ht="12" customHeight="1" thickBot="1">
      <c r="A90" s="408" t="str">
        <f>IF(AND(G90&gt;0,OR(C90="",C90="&lt;Enter detailed description here; use Comments section if needed&gt;")),"X","")</f>
        <v/>
      </c>
      <c r="B90" s="325" t="s">
        <v>771</v>
      </c>
      <c r="C90" s="2637" t="s">
        <v>4273</v>
      </c>
      <c r="D90" s="2637"/>
      <c r="E90" s="2637"/>
      <c r="F90" s="2638"/>
      <c r="G90" s="2889">
        <v>17700</v>
      </c>
      <c r="H90" s="2890"/>
      <c r="J90" s="1568"/>
      <c r="K90" s="1568"/>
      <c r="L90" s="1404"/>
      <c r="M90" s="1568"/>
      <c r="N90" s="1568"/>
      <c r="P90" s="1568"/>
      <c r="Q90" s="1568"/>
      <c r="S90" s="2889"/>
      <c r="T90" s="2890"/>
      <c r="U90" s="407" t="str">
        <f>IF(AND(G90&gt;0,OR(C90="",C90="&lt;Enter detailed description here; use Comments section if needed&gt;")),"NO DESCRIPTION PROVIDED - please enter detailed description in Other box at left; use Comments section below if needed.","")</f>
        <v/>
      </c>
      <c r="V90" s="2891"/>
      <c r="W90" s="2918"/>
      <c r="X90" s="2919"/>
    </row>
    <row r="91" spans="1:24" s="325" customFormat="1" ht="12" customHeight="1" thickTop="1">
      <c r="F91" s="381" t="s">
        <v>197</v>
      </c>
      <c r="G91" s="1578">
        <f>SUM(G85:H90)</f>
        <v>22700</v>
      </c>
      <c r="H91" s="1579"/>
      <c r="J91" s="1568"/>
      <c r="K91" s="1568"/>
      <c r="L91" s="383"/>
      <c r="M91" s="1568"/>
      <c r="N91" s="1568"/>
      <c r="P91" s="1568"/>
      <c r="Q91" s="1568"/>
      <c r="S91" s="1578">
        <f>SUM(S85:T90)</f>
        <v>0</v>
      </c>
      <c r="T91" s="1579"/>
      <c r="V91" s="2899">
        <f>SUM(V85:V90)</f>
        <v>0</v>
      </c>
      <c r="W91" s="2921"/>
      <c r="X91" s="2922"/>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2981</v>
      </c>
      <c r="H93" s="1396"/>
      <c r="I93" s="1396"/>
      <c r="J93" s="1569" t="s">
        <v>283</v>
      </c>
      <c r="K93" s="1570"/>
      <c r="L93" s="380"/>
      <c r="M93" s="1573" t="s">
        <v>507</v>
      </c>
      <c r="N93" s="1574"/>
      <c r="P93" s="1569" t="s">
        <v>284</v>
      </c>
      <c r="Q93" s="1570"/>
      <c r="S93" s="1569" t="s">
        <v>285</v>
      </c>
      <c r="T93" s="1570"/>
      <c r="W93" s="470" t="str">
        <f>B93</f>
        <v>DEVELOPMENT BUDGET  (cont'd)</v>
      </c>
    </row>
    <row r="94" spans="1:24" s="325" customFormat="1" ht="18" customHeight="1" thickBot="1">
      <c r="G94" s="1626" t="s">
        <v>103</v>
      </c>
      <c r="H94" s="1627"/>
      <c r="J94" s="1571"/>
      <c r="K94" s="1572"/>
      <c r="L94" s="380"/>
      <c r="M94" s="1575"/>
      <c r="N94" s="1576"/>
      <c r="P94" s="1571"/>
      <c r="Q94" s="1572"/>
      <c r="S94" s="1571"/>
      <c r="T94" s="1572"/>
      <c r="W94" s="1643" t="s">
        <v>2778</v>
      </c>
      <c r="X94" s="1643"/>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89">
        <v>1000</v>
      </c>
      <c r="H96" s="2890"/>
      <c r="J96" s="383"/>
      <c r="K96" s="383"/>
      <c r="L96" s="1404"/>
      <c r="M96" s="383"/>
      <c r="N96" s="383"/>
      <c r="P96" s="383"/>
      <c r="Q96" s="383"/>
      <c r="S96" s="2889"/>
      <c r="T96" s="2890"/>
      <c r="V96" s="2891"/>
      <c r="W96" s="2916"/>
      <c r="X96" s="2917"/>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89">
        <v>6500</v>
      </c>
      <c r="H97" s="2890"/>
      <c r="J97" s="383"/>
      <c r="K97" s="383"/>
      <c r="L97" s="391"/>
      <c r="M97" s="383"/>
      <c r="N97" s="383"/>
      <c r="P97" s="383"/>
      <c r="Q97" s="383"/>
      <c r="S97" s="2889"/>
      <c r="T97" s="2890"/>
      <c r="V97" s="2891"/>
      <c r="W97" s="2918"/>
      <c r="X97" s="2919"/>
    </row>
    <row r="98" spans="1:24" s="325" customFormat="1" ht="12.6" customHeight="1">
      <c r="B98" s="325" t="s">
        <v>2790</v>
      </c>
      <c r="G98" s="2889">
        <v>1000</v>
      </c>
      <c r="H98" s="2890"/>
      <c r="J98" s="383"/>
      <c r="K98" s="383"/>
      <c r="L98" s="391"/>
      <c r="M98" s="383"/>
      <c r="N98" s="383"/>
      <c r="O98" s="1396"/>
      <c r="P98" s="383"/>
      <c r="Q98" s="383"/>
      <c r="S98" s="2889"/>
      <c r="T98" s="2890"/>
      <c r="V98" s="2891"/>
      <c r="W98" s="2918"/>
      <c r="X98" s="2919"/>
    </row>
    <row r="99" spans="1:24" s="325" customFormat="1" ht="12.6" customHeight="1">
      <c r="B99" s="325" t="s">
        <v>538</v>
      </c>
      <c r="E99" s="1637">
        <f>'DCA Underwriting Assumptions'!$Q$83*J174</f>
        <v>53591.48</v>
      </c>
      <c r="F99" s="1638"/>
      <c r="G99" s="2889">
        <v>53591</v>
      </c>
      <c r="H99" s="2890"/>
      <c r="J99" s="383"/>
      <c r="K99" s="383"/>
      <c r="L99" s="1404"/>
      <c r="M99" s="383"/>
      <c r="N99" s="383"/>
      <c r="O99" s="1396"/>
      <c r="P99" s="383"/>
      <c r="Q99" s="383"/>
      <c r="S99" s="2889"/>
      <c r="T99" s="2890"/>
      <c r="V99" s="2891"/>
      <c r="W99" s="2918"/>
      <c r="X99" s="2919"/>
    </row>
    <row r="100" spans="1:24" s="325" customFormat="1" ht="12.6" customHeight="1">
      <c r="B100" s="325" t="s">
        <v>783</v>
      </c>
      <c r="E100" s="163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100" s="1638"/>
      <c r="G100" s="2889">
        <v>57600</v>
      </c>
      <c r="H100" s="2890"/>
      <c r="J100" s="299"/>
      <c r="K100" s="299"/>
      <c r="L100" s="299"/>
      <c r="M100" s="299"/>
      <c r="N100" s="299"/>
      <c r="O100" s="299"/>
      <c r="P100" s="299"/>
      <c r="Q100" s="299"/>
      <c r="S100" s="2889"/>
      <c r="T100" s="2890"/>
      <c r="V100" s="2891"/>
      <c r="W100" s="2918"/>
      <c r="X100" s="2919"/>
    </row>
    <row r="101" spans="1:24" s="325" customFormat="1" ht="12.6" customHeight="1">
      <c r="B101" s="325" t="str">
        <f>CONCATENATE("DCA HOME Front End Analysis Fee (when ID of Interest; $",'DCA Underwriting Assumptions'!$Q$85,")")</f>
        <v>DCA HOME Front End Analysis Fee (when ID of Interest; $2700)</v>
      </c>
      <c r="G101" s="2889">
        <v>2700</v>
      </c>
      <c r="H101" s="2890"/>
      <c r="J101" s="299"/>
      <c r="K101" s="299"/>
      <c r="L101" s="299"/>
      <c r="M101" s="299"/>
      <c r="N101" s="299"/>
      <c r="O101" s="299"/>
      <c r="P101" s="299"/>
      <c r="Q101" s="299"/>
      <c r="S101" s="2889"/>
      <c r="T101" s="2890"/>
      <c r="V101" s="2891"/>
      <c r="W101" s="2918"/>
      <c r="X101" s="2919"/>
    </row>
    <row r="102" spans="1:24" s="325" customFormat="1" ht="12.6" customHeight="1">
      <c r="B102" s="325" t="str">
        <f>CONCATENATE("DCA Final Inspection Fee (Tax Credit only - no HOME; $",'DCA Underwriting Assumptions'!$Q$106,")")</f>
        <v>DCA Final Inspection Fee (Tax Credit only - no HOME; $3000)</v>
      </c>
      <c r="G102" s="2889"/>
      <c r="H102" s="2890"/>
      <c r="J102" s="299"/>
      <c r="K102" s="299"/>
      <c r="L102" s="299"/>
      <c r="M102" s="299"/>
      <c r="N102" s="299"/>
      <c r="O102" s="299"/>
      <c r="P102" s="299"/>
      <c r="Q102" s="299"/>
      <c r="S102" s="2889"/>
      <c r="T102" s="2890"/>
      <c r="V102" s="2891"/>
      <c r="W102" s="2918"/>
      <c r="X102" s="2919"/>
    </row>
    <row r="103" spans="1:24" s="325" customFormat="1" ht="12.6" customHeight="1">
      <c r="A103" s="408" t="str">
        <f>IF(AND(G103&gt;0,OR(C103="",C103="&lt;Enter detailed description here; use Comments section if needed&gt;")),"X","")</f>
        <v/>
      </c>
      <c r="B103" s="325" t="s">
        <v>771</v>
      </c>
      <c r="C103" s="2637" t="s">
        <v>4189</v>
      </c>
      <c r="D103" s="2637"/>
      <c r="E103" s="2637"/>
      <c r="F103" s="2638"/>
      <c r="G103" s="2889"/>
      <c r="H103" s="2890"/>
      <c r="J103" s="299"/>
      <c r="K103" s="299"/>
      <c r="L103" s="299"/>
      <c r="M103" s="299"/>
      <c r="N103" s="299"/>
      <c r="O103" s="299"/>
      <c r="P103" s="299"/>
      <c r="Q103" s="299"/>
      <c r="S103" s="2889"/>
      <c r="T103" s="2890"/>
      <c r="U103" s="407" t="str">
        <f>IF(AND(G103&gt;0,OR(C103="",C103="&lt;Enter detailed description here; use Comments section if needed&gt;")),"NO DESCRIPTION PROVIDED - please enter detailed description in Other box at left; use Comments section below if needed.","")</f>
        <v/>
      </c>
      <c r="V103" s="2891"/>
      <c r="W103" s="2918"/>
      <c r="X103" s="2919"/>
    </row>
    <row r="104" spans="1:24" s="325" customFormat="1" ht="12.6" customHeight="1" thickBot="1">
      <c r="A104" s="408" t="str">
        <f>IF(AND(G104&gt;0,OR(C104="",C104="&lt;Enter detailed description here; use Comments section if needed&gt;")),"X","")</f>
        <v/>
      </c>
      <c r="B104" s="325" t="s">
        <v>771</v>
      </c>
      <c r="C104" s="2637" t="s">
        <v>4189</v>
      </c>
      <c r="D104" s="2637"/>
      <c r="E104" s="2637"/>
      <c r="F104" s="2638"/>
      <c r="G104" s="2889"/>
      <c r="H104" s="2890"/>
      <c r="J104" s="299"/>
      <c r="K104" s="299"/>
      <c r="L104" s="299"/>
      <c r="M104" s="299"/>
      <c r="N104" s="299"/>
      <c r="O104" s="299"/>
      <c r="P104" s="299"/>
      <c r="Q104" s="299"/>
      <c r="S104" s="2889"/>
      <c r="T104" s="2890"/>
      <c r="U104" s="407" t="str">
        <f>IF(AND(G104&gt;0,OR(C104="",C104="&lt;Enter detailed description here; use Comments section if needed&gt;")),"NO DESCRIPTION PROVIDED - please enter detailed description in Other box at left; use Comments section below if needed.","")</f>
        <v/>
      </c>
      <c r="V104" s="2891"/>
      <c r="W104" s="2918"/>
      <c r="X104" s="2919"/>
    </row>
    <row r="105" spans="1:24" s="325" customFormat="1" ht="12.6" customHeight="1" thickTop="1">
      <c r="F105" s="381" t="s">
        <v>197</v>
      </c>
      <c r="G105" s="1578">
        <f>SUM(G96:H104)</f>
        <v>122391</v>
      </c>
      <c r="H105" s="1579"/>
      <c r="J105" s="383"/>
      <c r="K105" s="383"/>
      <c r="L105" s="1404"/>
      <c r="M105" s="383"/>
      <c r="N105" s="383"/>
      <c r="P105" s="383"/>
      <c r="Q105" s="383"/>
      <c r="S105" s="1578">
        <f>SUM(S96:T104)</f>
        <v>0</v>
      </c>
      <c r="T105" s="1579"/>
      <c r="V105" s="2899">
        <f>SUM(V96:V104)</f>
        <v>0</v>
      </c>
      <c r="W105" s="2921"/>
      <c r="X105" s="2922"/>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89">
        <v>2500</v>
      </c>
      <c r="H107" s="2890"/>
      <c r="J107" s="1568"/>
      <c r="K107" s="1568"/>
      <c r="L107" s="1404"/>
      <c r="M107" s="1568"/>
      <c r="N107" s="1568"/>
      <c r="O107" s="1396"/>
      <c r="P107" s="1568"/>
      <c r="Q107" s="1568"/>
      <c r="S107" s="2889"/>
      <c r="T107" s="2890"/>
      <c r="V107" s="2891"/>
      <c r="W107" s="2916"/>
      <c r="X107" s="2917"/>
    </row>
    <row r="108" spans="1:24" s="325" customFormat="1" ht="12.6" customHeight="1">
      <c r="B108" s="325" t="s">
        <v>293</v>
      </c>
      <c r="G108" s="2889">
        <v>2500</v>
      </c>
      <c r="H108" s="2890"/>
      <c r="J108" s="1568"/>
      <c r="K108" s="1568"/>
      <c r="L108" s="1404"/>
      <c r="M108" s="1568"/>
      <c r="N108" s="1568"/>
      <c r="O108" s="1396"/>
      <c r="P108" s="1568"/>
      <c r="Q108" s="1568"/>
      <c r="S108" s="2889"/>
      <c r="T108" s="2890"/>
      <c r="V108" s="2891"/>
      <c r="W108" s="2918"/>
      <c r="X108" s="2919"/>
    </row>
    <row r="109" spans="1:24" s="325" customFormat="1" ht="12.6" customHeight="1">
      <c r="B109" s="325" t="s">
        <v>2471</v>
      </c>
      <c r="G109" s="2889"/>
      <c r="H109" s="2890"/>
      <c r="J109" s="1568"/>
      <c r="K109" s="1568"/>
      <c r="L109" s="1404"/>
      <c r="M109" s="1568"/>
      <c r="N109" s="1568"/>
      <c r="O109" s="1396"/>
      <c r="P109" s="1568"/>
      <c r="Q109" s="1568"/>
      <c r="S109" s="2889"/>
      <c r="T109" s="2890"/>
      <c r="V109" s="2891"/>
      <c r="W109" s="2918"/>
      <c r="X109" s="2919"/>
    </row>
    <row r="110" spans="1:24" s="325" customFormat="1" ht="12.6" customHeight="1" thickBot="1">
      <c r="A110" s="408" t="str">
        <f>IF(AND(G110&gt;0,OR(C110="",C110="&lt;Enter detailed description here; use Comments section if needed&gt;")),"X","")</f>
        <v/>
      </c>
      <c r="B110" s="325" t="s">
        <v>771</v>
      </c>
      <c r="C110" s="2637" t="s">
        <v>4189</v>
      </c>
      <c r="D110" s="2637"/>
      <c r="E110" s="2637"/>
      <c r="F110" s="2638"/>
      <c r="G110" s="2889"/>
      <c r="H110" s="2890"/>
      <c r="J110" s="1568"/>
      <c r="K110" s="1568"/>
      <c r="L110" s="1404"/>
      <c r="M110" s="1568"/>
      <c r="N110" s="1568"/>
      <c r="O110" s="1396"/>
      <c r="P110" s="1568"/>
      <c r="Q110" s="1568"/>
      <c r="S110" s="2889"/>
      <c r="T110" s="2890"/>
      <c r="U110" s="407" t="str">
        <f>IF(AND(G110&gt;0,OR(C110="",C110="&lt;Enter detailed description here; use Comments section if needed&gt;")),"NO DESCRIPTION PROVIDED - please enter detailed description in Other box at left; use Comments section below if needed.","")</f>
        <v/>
      </c>
      <c r="V110" s="2891"/>
      <c r="W110" s="2918"/>
      <c r="X110" s="2919"/>
    </row>
    <row r="111" spans="1:24" s="325" customFormat="1" ht="12.6" customHeight="1" thickTop="1">
      <c r="F111" s="381" t="s">
        <v>197</v>
      </c>
      <c r="G111" s="1578">
        <f>SUM(G107:H110)</f>
        <v>5000</v>
      </c>
      <c r="H111" s="1579"/>
      <c r="J111" s="1568"/>
      <c r="K111" s="1568"/>
      <c r="L111" s="1404"/>
      <c r="M111" s="1568"/>
      <c r="N111" s="1568"/>
      <c r="O111" s="1396"/>
      <c r="P111" s="1568"/>
      <c r="Q111" s="1568"/>
      <c r="S111" s="1578">
        <f>SUM(S107:T110)</f>
        <v>0</v>
      </c>
      <c r="T111" s="1579"/>
      <c r="V111" s="2899">
        <f>SUM(V107:V110)</f>
        <v>0</v>
      </c>
      <c r="W111" s="2921"/>
      <c r="X111" s="2922"/>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v>
      </c>
      <c r="G113" s="2889"/>
      <c r="H113" s="2890"/>
      <c r="J113" s="2889"/>
      <c r="K113" s="2890"/>
      <c r="L113" s="382"/>
      <c r="M113" s="2889"/>
      <c r="N113" s="2890"/>
      <c r="P113" s="2889"/>
      <c r="Q113" s="2890"/>
      <c r="S113" s="2889"/>
      <c r="T113" s="2890"/>
      <c r="V113" s="2891"/>
      <c r="W113" s="2916"/>
      <c r="X113" s="2917"/>
    </row>
    <row r="114" spans="1:24" s="325" customFormat="1" ht="12.6" customHeight="1">
      <c r="B114" s="325" t="s">
        <v>1931</v>
      </c>
      <c r="F114" s="443">
        <f>IF($G$117=0,0,G114/$G$117)</f>
        <v>0</v>
      </c>
      <c r="G114" s="2889"/>
      <c r="H114" s="2890"/>
      <c r="J114" s="2889"/>
      <c r="K114" s="2890"/>
      <c r="L114" s="1404"/>
      <c r="M114" s="2889"/>
      <c r="N114" s="2890"/>
      <c r="P114" s="2889"/>
      <c r="Q114" s="2890"/>
      <c r="S114" s="2889"/>
      <c r="T114" s="2890"/>
      <c r="V114" s="2891"/>
      <c r="W114" s="2918"/>
      <c r="X114" s="2919"/>
    </row>
    <row r="115" spans="1:24" s="325" customFormat="1" ht="12.6" customHeight="1">
      <c r="B115" s="325" t="s">
        <v>4043</v>
      </c>
      <c r="F115" s="443">
        <f>IF($G$117=0,0,G115/$G$117)</f>
        <v>0</v>
      </c>
      <c r="G115" s="2889"/>
      <c r="H115" s="2890"/>
      <c r="J115" s="2889"/>
      <c r="K115" s="2890"/>
      <c r="L115" s="1404"/>
      <c r="M115" s="2889"/>
      <c r="N115" s="2890"/>
      <c r="P115" s="2889"/>
      <c r="Q115" s="2890"/>
      <c r="S115" s="2889"/>
      <c r="T115" s="2890"/>
      <c r="V115" s="2891"/>
      <c r="W115" s="2918"/>
      <c r="X115" s="2919"/>
    </row>
    <row r="116" spans="1:24" s="325" customFormat="1" ht="12.6" customHeight="1" thickBot="1">
      <c r="B116" s="325" t="s">
        <v>1923</v>
      </c>
      <c r="F116" s="443">
        <f>IF($G$117=0,0,G116/$G$117)</f>
        <v>1</v>
      </c>
      <c r="G116" s="2889">
        <v>1375210</v>
      </c>
      <c r="H116" s="2890"/>
      <c r="J116" s="2889">
        <v>1375210</v>
      </c>
      <c r="K116" s="2890"/>
      <c r="L116" s="1404"/>
      <c r="M116" s="2889"/>
      <c r="N116" s="2890"/>
      <c r="P116" s="2889"/>
      <c r="Q116" s="2890"/>
      <c r="S116" s="2889"/>
      <c r="T116" s="2890"/>
      <c r="V116" s="2891"/>
      <c r="W116" s="2918"/>
      <c r="X116" s="2919"/>
    </row>
    <row r="117" spans="1:24" s="325" customFormat="1" ht="12.6" customHeight="1" thickTop="1">
      <c r="C117" s="407" t="str">
        <f>IF(G117&lt;='DCA Underwriting Assumptions'!$Q$92,"","Developer Fee exceeds DCA Program Maximum !!!")</f>
        <v/>
      </c>
      <c r="F117" s="381" t="s">
        <v>197</v>
      </c>
      <c r="G117" s="1578">
        <f>SUM(G113:H116)</f>
        <v>1375210</v>
      </c>
      <c r="H117" s="1579"/>
      <c r="J117" s="1578">
        <f>SUM(J113:K116)</f>
        <v>1375210</v>
      </c>
      <c r="K117" s="1579"/>
      <c r="L117" s="1404"/>
      <c r="M117" s="1578">
        <f>SUM(M113:N116)</f>
        <v>0</v>
      </c>
      <c r="N117" s="1579"/>
      <c r="P117" s="1578">
        <f>SUM(P113:Q116)</f>
        <v>0</v>
      </c>
      <c r="Q117" s="1579"/>
      <c r="S117" s="1578">
        <f>SUM(S113:T116)</f>
        <v>0</v>
      </c>
      <c r="T117" s="1579"/>
      <c r="V117" s="2899">
        <f>SUM(V113:V116)</f>
        <v>0</v>
      </c>
      <c r="W117" s="2921"/>
      <c r="X117" s="2922"/>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89">
        <v>54000</v>
      </c>
      <c r="H119" s="2890"/>
      <c r="J119" s="392"/>
      <c r="K119" s="392"/>
      <c r="L119" s="392"/>
      <c r="M119" s="392"/>
      <c r="N119" s="392"/>
      <c r="P119" s="392"/>
      <c r="Q119" s="392"/>
      <c r="S119" s="2889"/>
      <c r="T119" s="2890"/>
      <c r="V119" s="2891"/>
      <c r="W119" s="2916"/>
      <c r="X119" s="2917"/>
    </row>
    <row r="120" spans="1:24" s="325" customFormat="1" ht="12.6" customHeight="1">
      <c r="B120" s="325" t="s">
        <v>1593</v>
      </c>
      <c r="F120" s="563">
        <f>+'Part VI-Revenues &amp; Expenses'!$P$176*('DCA Underwriting Assumptions'!$Q$105/12)</f>
        <v>72552.25</v>
      </c>
      <c r="G120" s="2889">
        <f>72822*0+72552</f>
        <v>72552</v>
      </c>
      <c r="H120" s="2890"/>
      <c r="J120" s="1568"/>
      <c r="K120" s="1568"/>
      <c r="L120" s="1404"/>
      <c r="M120" s="1568"/>
      <c r="N120" s="1568"/>
      <c r="O120" s="1396"/>
      <c r="P120" s="1568"/>
      <c r="Q120" s="1568"/>
      <c r="R120" s="1396"/>
      <c r="S120" s="2889"/>
      <c r="T120" s="2890"/>
      <c r="V120" s="2891"/>
      <c r="W120" s="2918"/>
      <c r="X120" s="2919"/>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189995.14364628642</v>
      </c>
      <c r="G121" s="2889">
        <f>189980*0+189995</f>
        <v>189995</v>
      </c>
      <c r="H121" s="2890"/>
      <c r="J121" s="391"/>
      <c r="K121" s="391"/>
      <c r="L121" s="391"/>
      <c r="M121" s="391"/>
      <c r="N121" s="391"/>
      <c r="O121" s="1396"/>
      <c r="P121" s="391"/>
      <c r="Q121" s="391"/>
      <c r="R121" s="1396"/>
      <c r="S121" s="2889"/>
      <c r="T121" s="2890"/>
      <c r="V121" s="2891"/>
      <c r="W121" s="2918"/>
      <c r="X121" s="2919"/>
    </row>
    <row r="122" spans="1:24" s="325" customFormat="1" ht="12.6" customHeight="1">
      <c r="B122" s="325" t="s">
        <v>1291</v>
      </c>
      <c r="G122" s="2889"/>
      <c r="H122" s="2890"/>
      <c r="J122" s="392"/>
      <c r="K122" s="392"/>
      <c r="L122" s="392"/>
      <c r="M122" s="392"/>
      <c r="N122" s="392"/>
      <c r="P122" s="392"/>
      <c r="Q122" s="392"/>
      <c r="S122" s="2889"/>
      <c r="T122" s="2890"/>
      <c r="V122" s="2891"/>
      <c r="W122" s="2918"/>
      <c r="X122" s="2919"/>
    </row>
    <row r="123" spans="1:24" s="325" customFormat="1" ht="12.6" customHeight="1">
      <c r="B123" s="325" t="s">
        <v>1292</v>
      </c>
      <c r="E123" s="1132" t="s">
        <v>3851</v>
      </c>
      <c r="F123" s="518">
        <f>IF('Part VI-Revenues &amp; Expenses'!$O$62=0,0,G123/'Part VI-Revenues &amp; Expenses'!$O$62)</f>
        <v>277.77777777777777</v>
      </c>
      <c r="G123" s="2889">
        <v>20000</v>
      </c>
      <c r="H123" s="2890"/>
      <c r="J123" s="2889">
        <v>20000</v>
      </c>
      <c r="K123" s="2890"/>
      <c r="L123" s="1404"/>
      <c r="M123" s="2889"/>
      <c r="N123" s="2890"/>
      <c r="P123" s="2889"/>
      <c r="Q123" s="2890"/>
      <c r="S123" s="2889"/>
      <c r="T123" s="2890"/>
      <c r="V123" s="2891"/>
      <c r="W123" s="2918"/>
      <c r="X123" s="2919"/>
    </row>
    <row r="124" spans="1:24" s="325" customFormat="1" ht="12.6" customHeight="1" thickBot="1">
      <c r="A124" s="408" t="str">
        <f>IF(AND(G124&gt;0,OR(C124="",C124="&lt;Enter detailed description here; use Comments section if needed&gt;")),"X","")</f>
        <v/>
      </c>
      <c r="B124" s="325" t="s">
        <v>771</v>
      </c>
      <c r="C124" s="2637" t="s">
        <v>4189</v>
      </c>
      <c r="D124" s="2637"/>
      <c r="E124" s="2637"/>
      <c r="F124" s="2638"/>
      <c r="G124" s="2889"/>
      <c r="H124" s="2890"/>
      <c r="J124" s="2889"/>
      <c r="K124" s="2890"/>
      <c r="L124" s="1404"/>
      <c r="M124" s="2889"/>
      <c r="N124" s="2890"/>
      <c r="P124" s="2889"/>
      <c r="Q124" s="2890"/>
      <c r="S124" s="2889"/>
      <c r="T124" s="2890"/>
      <c r="U124" s="407" t="str">
        <f>IF(AND(G124&gt;0,OR(C124="",C124="&lt;Enter detailed description here; use Comments section if needed&gt;")),"NO DESCRIPTION PROVIDED - please enter detailed description in Other box at left; use Comments section below if needed.","")</f>
        <v/>
      </c>
      <c r="V124" s="2891"/>
      <c r="W124" s="2918"/>
      <c r="X124" s="2919"/>
    </row>
    <row r="125" spans="1:24" s="325" customFormat="1" ht="12.6" customHeight="1" thickTop="1">
      <c r="B125" s="393"/>
      <c r="F125" s="381" t="s">
        <v>197</v>
      </c>
      <c r="G125" s="1578">
        <f>SUM(G119:H124)</f>
        <v>336547</v>
      </c>
      <c r="H125" s="1579"/>
      <c r="J125" s="1578">
        <f>SUM(J123:K124)</f>
        <v>20000</v>
      </c>
      <c r="K125" s="1579"/>
      <c r="L125" s="1404"/>
      <c r="M125" s="1578">
        <f>SUM(M123:N124)</f>
        <v>0</v>
      </c>
      <c r="N125" s="1579"/>
      <c r="P125" s="1578">
        <f>SUM(P123:Q124)</f>
        <v>0</v>
      </c>
      <c r="Q125" s="1579"/>
      <c r="S125" s="1578">
        <f>SUM(S119:T124)</f>
        <v>0</v>
      </c>
      <c r="T125" s="1579"/>
      <c r="V125" s="2899">
        <f>SUM(V119:V124)</f>
        <v>0</v>
      </c>
      <c r="W125" s="2921"/>
      <c r="X125" s="2922"/>
    </row>
    <row r="126" spans="1:24" s="325" customFormat="1" ht="13.15" customHeight="1">
      <c r="B126" s="327" t="s">
        <v>634</v>
      </c>
      <c r="C126" s="1386"/>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6"/>
      <c r="G127" s="2889"/>
      <c r="H127" s="2890"/>
      <c r="J127" s="2889"/>
      <c r="K127" s="2890"/>
      <c r="L127" s="382"/>
      <c r="M127" s="2889"/>
      <c r="N127" s="2890"/>
      <c r="P127" s="2889"/>
      <c r="Q127" s="2890"/>
      <c r="S127" s="2889"/>
      <c r="T127" s="2890"/>
      <c r="V127" s="2891"/>
      <c r="W127" s="2916"/>
      <c r="X127" s="2917"/>
    </row>
    <row r="128" spans="1:24" s="325" customFormat="1" ht="12.6" customHeight="1" thickBot="1">
      <c r="A128" s="408" t="str">
        <f>IF(AND(G128&gt;0,OR(C128="",C128="&lt;Enter detailed description here; use Comments section if needed&gt;")),"X","")</f>
        <v/>
      </c>
      <c r="B128" s="325" t="s">
        <v>771</v>
      </c>
      <c r="C128" s="2637" t="s">
        <v>4189</v>
      </c>
      <c r="D128" s="2637"/>
      <c r="E128" s="2637"/>
      <c r="F128" s="2638"/>
      <c r="G128" s="2889"/>
      <c r="H128" s="2890"/>
      <c r="J128" s="2889"/>
      <c r="K128" s="2890"/>
      <c r="L128" s="1404"/>
      <c r="M128" s="2889"/>
      <c r="N128" s="2890"/>
      <c r="P128" s="2889"/>
      <c r="Q128" s="2890"/>
      <c r="S128" s="2889"/>
      <c r="T128" s="2890"/>
      <c r="U128" s="407" t="str">
        <f>IF(AND(G128&gt;0,OR(C128="",C128="&lt;Enter detailed description here; use Comments section if needed&gt;")),"NO DESCRIPTION PROVIDED - please enter detailed description in Other box at left; use Comments section below if needed.","")</f>
        <v/>
      </c>
      <c r="V128" s="2891"/>
      <c r="W128" s="2918"/>
      <c r="X128" s="2919"/>
    </row>
    <row r="129" spans="1:24" s="325" customFormat="1" ht="12.6" customHeight="1" thickTop="1">
      <c r="C129" s="1386"/>
      <c r="F129" s="381" t="s">
        <v>197</v>
      </c>
      <c r="G129" s="1578">
        <f>SUM(G127:H128)</f>
        <v>0</v>
      </c>
      <c r="H129" s="1579"/>
      <c r="J129" s="1578">
        <f>SUM(J127:K128)</f>
        <v>0</v>
      </c>
      <c r="K129" s="1579"/>
      <c r="L129" s="1404"/>
      <c r="M129" s="1578">
        <f>SUM(M127:N128)</f>
        <v>0</v>
      </c>
      <c r="N129" s="1579"/>
      <c r="P129" s="1578">
        <f>SUM(P127:Q128)</f>
        <v>0</v>
      </c>
      <c r="Q129" s="1579"/>
      <c r="S129" s="1578">
        <f>SUM(S127:T128)</f>
        <v>0</v>
      </c>
      <c r="T129" s="1579"/>
      <c r="V129" s="2899">
        <f>SUM(V127:V128)</f>
        <v>0</v>
      </c>
      <c r="W129" s="2918"/>
      <c r="X129" s="2919"/>
    </row>
    <row r="130" spans="1:24" s="325" customFormat="1" ht="3" customHeight="1" thickBot="1">
      <c r="C130" s="1386"/>
      <c r="H130" s="389"/>
      <c r="I130" s="389"/>
      <c r="L130" s="1396"/>
      <c r="W130" s="2918"/>
      <c r="X130" s="2919"/>
    </row>
    <row r="131" spans="1:24" s="325" customFormat="1" ht="13.9" customHeight="1" thickBot="1">
      <c r="B131" s="331" t="s">
        <v>2885</v>
      </c>
      <c r="G131" s="1619">
        <f>G17+G23+G27+G33+G38+G41+G47+G64+G77+G83+G91+G105+G111+G117+G125+G129</f>
        <v>11097534</v>
      </c>
      <c r="H131" s="1620"/>
      <c r="J131" s="1619">
        <f>J17+J23+J27+J33+J38+J41+J47+J64+J77+J83+J91+J105+J111+J117+J125+J129</f>
        <v>10462142</v>
      </c>
      <c r="K131" s="1620"/>
      <c r="M131" s="1619">
        <f>M17+M23+M27+M33+M38+M41+M47+M64+M77+M83+M91+M105+M111+M117+M125+M129</f>
        <v>0</v>
      </c>
      <c r="N131" s="1620"/>
      <c r="P131" s="1619">
        <f>P17+P23+P27+P33+P38+P41+P47+P64+P77+P83+P91+P105+P111+P117+P125+P129</f>
        <v>0</v>
      </c>
      <c r="Q131" s="1620"/>
      <c r="S131" s="1619">
        <f>S17+S23+S27+S33+S38+S41+S47+S64+S77+S83+S91+S105+S111+S117+S125+S129</f>
        <v>0</v>
      </c>
      <c r="T131" s="1620"/>
      <c r="V131" s="2923">
        <f>V17+V23+V27+V33+V38+V41+V47+V64+V77+V83+V91+V105+V111+V117+V125+V129</f>
        <v>0</v>
      </c>
      <c r="W131" s="2924"/>
      <c r="X131" s="2922"/>
    </row>
    <row r="132" spans="1:24" s="325" customFormat="1" ht="3" customHeight="1">
      <c r="C132" s="1386"/>
      <c r="H132" s="389"/>
      <c r="I132" s="389"/>
      <c r="L132" s="1396"/>
    </row>
    <row r="133" spans="1:24" s="325" customFormat="1" ht="13.9" customHeight="1">
      <c r="B133" s="574" t="s">
        <v>2880</v>
      </c>
      <c r="C133" s="572"/>
      <c r="D133" s="1621">
        <f>IF('Part VI-Revenues &amp; Expenses'!$O$62=0,0,G131/'Part VI-Revenues &amp; Expenses'!$O$62)</f>
        <v>154132.41666666666</v>
      </c>
      <c r="E133" s="1621"/>
      <c r="F133" s="573" t="s">
        <v>2879</v>
      </c>
      <c r="G133" s="1639">
        <f>IF('Part I-Project Information'!$P$60=0,0,G131/'Part I-Project Information'!$P$60)</f>
        <v>135.99085840328411</v>
      </c>
      <c r="H133" s="1640"/>
      <c r="I133" s="394"/>
    </row>
    <row r="134" spans="1:24" s="325" customFormat="1" ht="3" customHeight="1">
      <c r="I134" s="394"/>
      <c r="L134" s="394"/>
    </row>
    <row r="135" spans="1:24" s="325" customFormat="1" ht="3.6" customHeight="1" thickBot="1">
      <c r="D135" s="1386"/>
      <c r="E135" s="1386"/>
      <c r="I135" s="389"/>
      <c r="J135" s="389"/>
      <c r="K135" s="395"/>
      <c r="L135" s="330"/>
      <c r="P135" s="1396"/>
    </row>
    <row r="136" spans="1:24" s="325" customFormat="1" ht="25.9" customHeight="1">
      <c r="A136" s="469" t="s">
        <v>770</v>
      </c>
      <c r="B136" s="471" t="s">
        <v>1480</v>
      </c>
      <c r="C136" s="1172"/>
      <c r="D136" s="1404"/>
      <c r="E136" s="1404"/>
      <c r="F136" s="1404"/>
      <c r="G136" s="1396"/>
      <c r="H136" s="1396"/>
      <c r="I136" s="396"/>
      <c r="J136" s="1569" t="s">
        <v>283</v>
      </c>
      <c r="K136" s="1570"/>
      <c r="M136" s="1569" t="s">
        <v>102</v>
      </c>
      <c r="N136" s="1570"/>
      <c r="P136" s="1569" t="s">
        <v>284</v>
      </c>
      <c r="Q136" s="1570"/>
      <c r="W136" s="470" t="str">
        <f>B136</f>
        <v>TAX CREDIT CALCULATION - BASIS METHOD</v>
      </c>
    </row>
    <row r="137" spans="1:24" s="325" customFormat="1" ht="15" customHeight="1" thickBot="1">
      <c r="B137" s="331" t="s">
        <v>2122</v>
      </c>
      <c r="D137" s="1404"/>
      <c r="E137" s="1404"/>
      <c r="I137" s="396"/>
      <c r="J137" s="1571"/>
      <c r="K137" s="1572"/>
      <c r="L137" s="1172"/>
      <c r="M137" s="1571"/>
      <c r="N137" s="1572"/>
      <c r="P137" s="1571"/>
      <c r="Q137" s="1572"/>
      <c r="W137" s="325" t="str">
        <f>B137</f>
        <v>Subtractions From Eligible Basis</v>
      </c>
      <c r="X137" s="367"/>
    </row>
    <row r="138" spans="1:24" s="325" customFormat="1" ht="6" customHeight="1">
      <c r="D138" s="1386"/>
      <c r="E138" s="1386"/>
      <c r="I138" s="389"/>
      <c r="J138" s="389"/>
      <c r="K138" s="395"/>
      <c r="L138" s="330"/>
      <c r="P138" s="1396"/>
    </row>
    <row r="139" spans="1:24" s="325" customFormat="1" ht="13.9" customHeight="1">
      <c r="B139" s="1386" t="s">
        <v>146</v>
      </c>
      <c r="D139" s="1396"/>
      <c r="E139" s="1396"/>
      <c r="F139" s="1396"/>
      <c r="G139" s="1396"/>
      <c r="H139" s="1396"/>
      <c r="I139" s="396"/>
      <c r="J139" s="2925"/>
      <c r="K139" s="2926"/>
      <c r="P139" s="2925"/>
      <c r="Q139" s="2926"/>
      <c r="V139" s="2891"/>
      <c r="W139" s="2916"/>
      <c r="X139" s="2917"/>
    </row>
    <row r="140" spans="1:24" s="325" customFormat="1" ht="13.9" customHeight="1">
      <c r="B140" s="1396" t="s">
        <v>2230</v>
      </c>
      <c r="D140" s="1396"/>
      <c r="E140" s="1396"/>
      <c r="F140" s="1396"/>
      <c r="G140" s="1396"/>
      <c r="H140" s="1396"/>
      <c r="I140" s="396"/>
      <c r="J140" s="2925"/>
      <c r="K140" s="2926"/>
      <c r="P140" s="2925"/>
      <c r="Q140" s="2926"/>
      <c r="V140" s="2891"/>
      <c r="W140" s="2918"/>
      <c r="X140" s="2919"/>
    </row>
    <row r="141" spans="1:24" s="325" customFormat="1" ht="13.9" customHeight="1">
      <c r="B141" s="1396" t="s">
        <v>1933</v>
      </c>
      <c r="D141" s="1396"/>
      <c r="E141" s="1396"/>
      <c r="I141" s="396"/>
      <c r="J141" s="2925"/>
      <c r="K141" s="2926"/>
      <c r="P141" s="2925"/>
      <c r="Q141" s="2926"/>
      <c r="V141" s="2891"/>
      <c r="W141" s="2918"/>
      <c r="X141" s="2919"/>
    </row>
    <row r="142" spans="1:24" s="325" customFormat="1" ht="13.9" customHeight="1">
      <c r="B142" s="1396" t="s">
        <v>1934</v>
      </c>
      <c r="D142" s="1396"/>
      <c r="E142" s="1396"/>
      <c r="I142" s="396"/>
      <c r="J142" s="2925"/>
      <c r="K142" s="2926"/>
      <c r="P142" s="2925"/>
      <c r="Q142" s="2926"/>
      <c r="V142" s="2891"/>
      <c r="W142" s="2918"/>
      <c r="X142" s="2919"/>
    </row>
    <row r="143" spans="1:24" s="325" customFormat="1" ht="13.9" customHeight="1">
      <c r="B143" s="1396" t="s">
        <v>265</v>
      </c>
      <c r="D143" s="1396"/>
      <c r="E143" s="1396"/>
      <c r="I143" s="396"/>
      <c r="J143" s="2925"/>
      <c r="K143" s="2926"/>
      <c r="P143" s="2925"/>
      <c r="Q143" s="2926"/>
      <c r="V143" s="2891"/>
      <c r="W143" s="2918"/>
      <c r="X143" s="2919"/>
    </row>
    <row r="144" spans="1:24" s="325" customFormat="1" ht="13.9" customHeight="1" thickBot="1">
      <c r="B144" s="1396" t="s">
        <v>1659</v>
      </c>
      <c r="C144" s="2637" t="s">
        <v>2500</v>
      </c>
      <c r="D144" s="2637"/>
      <c r="E144" s="2637"/>
      <c r="F144" s="2637"/>
      <c r="G144" s="2637"/>
      <c r="H144" s="2637"/>
      <c r="I144" s="2638"/>
      <c r="J144" s="2925"/>
      <c r="K144" s="2926"/>
      <c r="P144" s="2925"/>
      <c r="Q144" s="2926"/>
      <c r="V144" s="2891"/>
      <c r="W144" s="2918"/>
      <c r="X144" s="2919"/>
    </row>
    <row r="145" spans="1:24" s="325" customFormat="1" ht="13.9" customHeight="1" thickBot="1">
      <c r="B145" s="336" t="s">
        <v>1935</v>
      </c>
      <c r="C145" s="339"/>
      <c r="J145" s="1540">
        <f>SUM(J139:K144)</f>
        <v>0</v>
      </c>
      <c r="K145" s="1541"/>
      <c r="P145" s="1540">
        <f>SUM(P139:Q144)</f>
        <v>0</v>
      </c>
      <c r="Q145" s="1541"/>
      <c r="V145" s="2899">
        <f>SUM(V139:V144)</f>
        <v>0</v>
      </c>
      <c r="W145" s="2921"/>
      <c r="X145" s="2922"/>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595">
        <f>J131</f>
        <v>10462142</v>
      </c>
      <c r="K148" s="1596"/>
      <c r="M148" s="1597">
        <f>M131</f>
        <v>0</v>
      </c>
      <c r="N148" s="1598"/>
      <c r="P148" s="1595">
        <f>P131</f>
        <v>0</v>
      </c>
      <c r="Q148" s="1596"/>
      <c r="V148" s="2891"/>
      <c r="W148" s="2916"/>
      <c r="X148" s="2917"/>
    </row>
    <row r="149" spans="1:24" s="325" customFormat="1" ht="13.9" customHeight="1">
      <c r="B149" s="325" t="s">
        <v>2299</v>
      </c>
      <c r="J149" s="1580">
        <f>J145</f>
        <v>0</v>
      </c>
      <c r="K149" s="1587"/>
      <c r="M149" s="1581"/>
      <c r="N149" s="1581"/>
      <c r="P149" s="1580">
        <f>P145</f>
        <v>0</v>
      </c>
      <c r="Q149" s="1587"/>
      <c r="V149" s="2891"/>
      <c r="W149" s="2918"/>
      <c r="X149" s="2919"/>
    </row>
    <row r="150" spans="1:24" s="325" customFormat="1" ht="13.9" customHeight="1">
      <c r="B150" s="325" t="s">
        <v>2300</v>
      </c>
      <c r="J150" s="1580">
        <f>J148-J149</f>
        <v>10462142</v>
      </c>
      <c r="K150" s="1587"/>
      <c r="M150" s="1580">
        <f>M148</f>
        <v>0</v>
      </c>
      <c r="N150" s="1587"/>
      <c r="P150" s="1580">
        <f>P148-P149</f>
        <v>0</v>
      </c>
      <c r="Q150" s="1587"/>
      <c r="V150" s="2891"/>
      <c r="W150" s="2918"/>
      <c r="X150" s="2919"/>
    </row>
    <row r="151" spans="1:24" s="325" customFormat="1" ht="13.9" customHeight="1">
      <c r="B151" s="325" t="s">
        <v>1542</v>
      </c>
      <c r="G151" s="1390" t="s">
        <v>1778</v>
      </c>
      <c r="H151" s="2627" t="s">
        <v>1837</v>
      </c>
      <c r="I151" s="2628"/>
      <c r="J151" s="2927">
        <v>1</v>
      </c>
      <c r="K151" s="2928"/>
      <c r="M151" s="1594"/>
      <c r="N151" s="1594"/>
      <c r="P151" s="2927"/>
      <c r="Q151" s="2928"/>
      <c r="V151" s="2891"/>
      <c r="W151" s="2918"/>
      <c r="X151" s="2919"/>
    </row>
    <row r="152" spans="1:24" s="325" customFormat="1" ht="13.9" customHeight="1">
      <c r="B152" s="325" t="s">
        <v>2132</v>
      </c>
      <c r="J152" s="1580">
        <f>J150*J151</f>
        <v>10462142</v>
      </c>
      <c r="K152" s="1587"/>
      <c r="M152" s="1580">
        <f>+M150</f>
        <v>0</v>
      </c>
      <c r="N152" s="1587"/>
      <c r="P152" s="1580">
        <f>P150*P151</f>
        <v>0</v>
      </c>
      <c r="Q152" s="1587"/>
      <c r="V152" s="2891"/>
      <c r="W152" s="2918"/>
      <c r="X152" s="2919"/>
    </row>
    <row r="153" spans="1:24" s="325" customFormat="1" ht="13.9" customHeight="1">
      <c r="B153" s="325" t="s">
        <v>2629</v>
      </c>
      <c r="J153" s="1592">
        <f>MIN('Part VI-Revenues &amp; Expenses'!$O$58/'Part VI-Revenues &amp; Expenses'!$O$60,'Part VI-Revenues &amp; Expenses'!$O$115/'Part VI-Revenues &amp; Expenses'!$O$117)</f>
        <v>1</v>
      </c>
      <c r="K153" s="1593"/>
      <c r="M153" s="1592">
        <f>MIN('Part VI-Revenues &amp; Expenses'!$O$58/'Part VI-Revenues &amp; Expenses'!$O$60,'Part VI-Revenues &amp; Expenses'!$O$115/'Part VI-Revenues &amp; Expenses'!$O$117)</f>
        <v>1</v>
      </c>
      <c r="N153" s="1593"/>
      <c r="P153" s="1592">
        <f>MIN('Part VI-Revenues &amp; Expenses'!$O$58/'Part VI-Revenues &amp; Expenses'!$O$60,'Part VI-Revenues &amp; Expenses'!$O$115/'Part VI-Revenues &amp; Expenses'!$O$117)</f>
        <v>1</v>
      </c>
      <c r="Q153" s="1593"/>
      <c r="V153" s="2891"/>
      <c r="W153" s="2918"/>
      <c r="X153" s="2919"/>
    </row>
    <row r="154" spans="1:24" s="325" customFormat="1" ht="13.9" customHeight="1">
      <c r="B154" s="325" t="s">
        <v>2123</v>
      </c>
      <c r="J154" s="1580">
        <f>J152*J153</f>
        <v>10462142</v>
      </c>
      <c r="K154" s="1587"/>
      <c r="M154" s="1580">
        <f>M152*M153</f>
        <v>0</v>
      </c>
      <c r="N154" s="1587"/>
      <c r="P154" s="1580">
        <f>P152*P153</f>
        <v>0</v>
      </c>
      <c r="Q154" s="1587"/>
      <c r="V154" s="2891"/>
      <c r="W154" s="2918"/>
      <c r="X154" s="2919"/>
    </row>
    <row r="155" spans="1:24" s="325" customFormat="1" ht="13.9" customHeight="1">
      <c r="B155" s="325" t="s">
        <v>2124</v>
      </c>
      <c r="J155" s="2927">
        <v>0.09</v>
      </c>
      <c r="K155" s="2928"/>
      <c r="M155" s="2927"/>
      <c r="N155" s="2928"/>
      <c r="P155" s="2927"/>
      <c r="Q155" s="2928"/>
      <c r="V155" s="2891"/>
      <c r="W155" s="2918"/>
      <c r="X155" s="2919"/>
    </row>
    <row r="156" spans="1:24" s="325" customFormat="1" ht="13.9" customHeight="1" thickBot="1">
      <c r="B156" s="325" t="s">
        <v>2630</v>
      </c>
      <c r="J156" s="1590">
        <f>J154*J155</f>
        <v>941592.77999999991</v>
      </c>
      <c r="K156" s="1591"/>
      <c r="M156" s="1590">
        <f>M154*M155</f>
        <v>0</v>
      </c>
      <c r="N156" s="1591"/>
      <c r="P156" s="1590">
        <f>P154*P155</f>
        <v>0</v>
      </c>
      <c r="Q156" s="1591"/>
      <c r="V156" s="2929"/>
      <c r="W156" s="2918"/>
      <c r="X156" s="2919"/>
    </row>
    <row r="157" spans="1:24" s="325" customFormat="1" ht="13.9" customHeight="1" thickBot="1">
      <c r="B157" s="327" t="s">
        <v>1478</v>
      </c>
      <c r="J157" s="1540">
        <f>J156+M156+P156</f>
        <v>941592.77999999991</v>
      </c>
      <c r="K157" s="1613"/>
      <c r="L157" s="1613"/>
      <c r="M157" s="1613"/>
      <c r="N157" s="1613"/>
      <c r="O157" s="1613"/>
      <c r="P157" s="1613"/>
      <c r="Q157" s="1541"/>
      <c r="V157" s="2891"/>
      <c r="W157" s="2921"/>
      <c r="X157" s="2922"/>
    </row>
    <row r="158" spans="1:24" s="325" customFormat="1" ht="6" customHeight="1">
      <c r="B158" s="397"/>
      <c r="L158" s="398"/>
      <c r="M158" s="398"/>
      <c r="N158" s="398"/>
      <c r="O158" s="398"/>
    </row>
    <row r="159" spans="1:24" s="325" customFormat="1" ht="13.9" customHeight="1">
      <c r="A159" s="470" t="s">
        <v>772</v>
      </c>
      <c r="B159" s="470" t="s">
        <v>1481</v>
      </c>
      <c r="H159" s="389"/>
      <c r="I159" s="389"/>
      <c r="L159" s="1396"/>
      <c r="M159" s="535"/>
      <c r="N159" s="1396"/>
      <c r="O159" s="1396"/>
      <c r="P159" s="1396"/>
      <c r="Q159" s="1396"/>
      <c r="R159" s="1396"/>
      <c r="S159" s="1396"/>
      <c r="T159" s="1396"/>
    </row>
    <row r="160" spans="1:24" s="325" customFormat="1" ht="15" customHeight="1" thickBot="1">
      <c r="B160" s="327" t="s">
        <v>179</v>
      </c>
      <c r="H160" s="297"/>
      <c r="M160" s="535"/>
      <c r="N160" s="1396"/>
      <c r="O160" s="1396"/>
      <c r="P160" s="1396"/>
      <c r="Q160" s="1396"/>
      <c r="R160" s="1396"/>
      <c r="S160" s="1396"/>
      <c r="T160" s="1396"/>
      <c r="W160" s="470" t="str">
        <f>B159</f>
        <v>TAX CREDIT CALCULATION - GAP METHOD</v>
      </c>
    </row>
    <row r="161" spans="1:24" s="325" customFormat="1" ht="15" customHeight="1">
      <c r="B161" s="318" t="s">
        <v>2886</v>
      </c>
      <c r="G161" s="1608" t="str">
        <f>IF(J162&gt;J161,"TDC exceeds QAP PUCL!","")</f>
        <v/>
      </c>
      <c r="H161" s="1608"/>
      <c r="I161" s="1609"/>
      <c r="J161" s="1610">
        <f>'Part VIII-Threshold Criteria'!$P$65</f>
        <v>11865716</v>
      </c>
      <c r="K161" s="1611"/>
      <c r="L161" s="1612"/>
      <c r="M161" s="1602" t="s">
        <v>2861</v>
      </c>
      <c r="N161" s="1603"/>
      <c r="O161" s="1603"/>
      <c r="P161" s="1603"/>
      <c r="Q161" s="1603"/>
      <c r="R161" s="1604"/>
      <c r="S161" s="1602" t="s">
        <v>4111</v>
      </c>
      <c r="T161" s="1604"/>
      <c r="V161" s="2891"/>
      <c r="W161" s="2916"/>
      <c r="X161" s="2917"/>
    </row>
    <row r="162" spans="1:24" s="325" customFormat="1" ht="13.9" customHeight="1">
      <c r="B162" s="325" t="s">
        <v>2863</v>
      </c>
      <c r="J162" s="2930">
        <f>MIN(G131,J161,(G131-O164))</f>
        <v>11097534</v>
      </c>
      <c r="K162" s="2931"/>
      <c r="L162" s="2932"/>
      <c r="M162" s="1605"/>
      <c r="N162" s="1606"/>
      <c r="O162" s="1606"/>
      <c r="P162" s="1606"/>
      <c r="Q162" s="1606"/>
      <c r="R162" s="1607"/>
      <c r="S162" s="1605"/>
      <c r="T162" s="1607"/>
      <c r="V162" s="2891"/>
      <c r="W162" s="2918"/>
      <c r="X162" s="2919"/>
    </row>
    <row r="163" spans="1:24" s="325" customFormat="1" ht="13.9" customHeight="1">
      <c r="B163" s="325" t="s">
        <v>275</v>
      </c>
      <c r="J163" s="1580">
        <f>'Part III-Sources of Funds'!$I$54-'Part III-Sources of Funds'!$I$41-'Part III-Sources of Funds'!$I$42-'Part III-Sources of Funds'!$I$45-'Part III-Sources of Funds'!$I$46</f>
        <v>1250099</v>
      </c>
      <c r="K163" s="1581"/>
      <c r="L163" s="1582"/>
      <c r="M163" s="1605"/>
      <c r="N163" s="1606"/>
      <c r="O163" s="1606"/>
      <c r="P163" s="1606"/>
      <c r="Q163" s="1606"/>
      <c r="R163" s="1607"/>
      <c r="S163" s="1605"/>
      <c r="T163" s="1607"/>
      <c r="V163" s="2891"/>
      <c r="W163" s="2918"/>
      <c r="X163" s="2919"/>
    </row>
    <row r="164" spans="1:24" s="325" customFormat="1" ht="13.9" customHeight="1" thickBot="1">
      <c r="B164" s="325" t="s">
        <v>2311</v>
      </c>
      <c r="J164" s="1580">
        <f>+J162-J163</f>
        <v>9847435</v>
      </c>
      <c r="K164" s="1581"/>
      <c r="L164" s="1582"/>
      <c r="M164" s="1588" t="s">
        <v>2862</v>
      </c>
      <c r="N164" s="1589"/>
      <c r="O164" s="1614">
        <f>'Part III-Sources of Funds'!$I$41</f>
        <v>0</v>
      </c>
      <c r="P164" s="1614"/>
      <c r="Q164" s="1614"/>
      <c r="R164" s="1615"/>
      <c r="S164" s="455" t="s">
        <v>1721</v>
      </c>
      <c r="T164" s="2933"/>
      <c r="V164" s="2891"/>
      <c r="W164" s="2918"/>
      <c r="X164" s="2919"/>
    </row>
    <row r="165" spans="1:24" s="325" customFormat="1" ht="13.9" customHeight="1">
      <c r="B165" s="325" t="s">
        <v>1335</v>
      </c>
      <c r="J165" s="1583" t="str">
        <f>"/ 10"</f>
        <v>/ 10</v>
      </c>
      <c r="K165" s="1583"/>
      <c r="L165" s="1583"/>
      <c r="M165" s="1396"/>
      <c r="N165" s="532"/>
      <c r="O165" s="532"/>
      <c r="P165" s="532"/>
      <c r="Q165" s="532"/>
      <c r="R165" s="532"/>
      <c r="W165" s="2918"/>
      <c r="X165" s="2919"/>
    </row>
    <row r="166" spans="1:24" s="325" customFormat="1" ht="13.9" customHeight="1">
      <c r="B166" s="325" t="s">
        <v>1336</v>
      </c>
      <c r="J166" s="1580">
        <f>J164/10</f>
        <v>984743.5</v>
      </c>
      <c r="K166" s="1581"/>
      <c r="L166" s="1587"/>
      <c r="M166" s="344"/>
      <c r="N166" s="1456" t="s">
        <v>1337</v>
      </c>
      <c r="O166" s="1456"/>
      <c r="Q166" s="1456" t="s">
        <v>1865</v>
      </c>
      <c r="R166" s="1456"/>
      <c r="V166" s="2891"/>
      <c r="W166" s="2918"/>
      <c r="X166" s="2919"/>
    </row>
    <row r="167" spans="1:24" s="325" customFormat="1" ht="13.9" customHeight="1" thickBot="1">
      <c r="B167" s="325" t="s">
        <v>1541</v>
      </c>
      <c r="J167" s="1616">
        <f>N167+Q167</f>
        <v>1.47</v>
      </c>
      <c r="K167" s="1617"/>
      <c r="L167" s="1618"/>
      <c r="M167" s="1390" t="s">
        <v>1338</v>
      </c>
      <c r="N167" s="2934">
        <v>0.95</v>
      </c>
      <c r="O167" s="2935"/>
      <c r="P167" s="1390" t="s">
        <v>636</v>
      </c>
      <c r="Q167" s="2934">
        <v>0.52</v>
      </c>
      <c r="R167" s="2935"/>
      <c r="V167" s="2891"/>
      <c r="W167" s="2918"/>
      <c r="X167" s="2919"/>
    </row>
    <row r="168" spans="1:24" s="325" customFormat="1" ht="13.9" customHeight="1" thickBot="1">
      <c r="B168" s="327" t="s">
        <v>1479</v>
      </c>
      <c r="J168" s="1540">
        <f>IF(J167=0,"",J166/J167)</f>
        <v>669893.53741496603</v>
      </c>
      <c r="K168" s="1613"/>
      <c r="L168" s="1541"/>
      <c r="M168" s="344"/>
      <c r="N168" s="1396"/>
      <c r="O168" s="1396"/>
      <c r="V168" s="2891"/>
      <c r="W168" s="2918"/>
      <c r="X168" s="2919"/>
    </row>
    <row r="169" spans="1:24" s="325" customFormat="1" ht="6" customHeight="1">
      <c r="J169" s="399"/>
      <c r="K169" s="399"/>
      <c r="L169" s="399"/>
      <c r="M169" s="344"/>
      <c r="N169" s="1400"/>
      <c r="O169" s="1400"/>
      <c r="W169" s="2918"/>
      <c r="X169" s="2919"/>
    </row>
    <row r="170" spans="1:24" s="325" customFormat="1" ht="16.149999999999999" customHeight="1">
      <c r="B170" s="327" t="s">
        <v>3044</v>
      </c>
      <c r="J170" s="158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669893.53741496603</v>
      </c>
      <c r="K170" s="1585"/>
      <c r="L170" s="1586"/>
      <c r="M170" s="344"/>
      <c r="N170" s="1400"/>
      <c r="O170" s="1400"/>
      <c r="V170" s="2891"/>
      <c r="W170" s="2918"/>
      <c r="X170" s="2919"/>
    </row>
    <row r="171" spans="1:24" s="325" customFormat="1" ht="3" customHeight="1">
      <c r="J171" s="399"/>
      <c r="K171" s="399"/>
      <c r="L171" s="399"/>
      <c r="M171" s="344"/>
      <c r="N171" s="1400"/>
      <c r="O171" s="1400"/>
      <c r="W171" s="2918"/>
      <c r="X171" s="2919"/>
    </row>
    <row r="172" spans="1:24" s="325" customFormat="1" ht="16.149999999999999" customHeight="1">
      <c r="B172" s="327" t="s">
        <v>362</v>
      </c>
      <c r="J172" s="2936">
        <v>669893.5</v>
      </c>
      <c r="K172" s="2937"/>
      <c r="L172" s="2938"/>
      <c r="M172" s="400" t="str">
        <f>IF(J170=0,"",IF(J172&gt;J170,"ALLOCATION CANNOT EXCEED MAXIMUM - REVISE REQUEST!",""))</f>
        <v/>
      </c>
      <c r="N172" s="1400"/>
      <c r="O172" s="1400"/>
      <c r="V172" s="2891"/>
      <c r="W172" s="2918"/>
      <c r="X172" s="2919"/>
    </row>
    <row r="173" spans="1:24" s="325" customFormat="1" ht="3" customHeight="1">
      <c r="J173" s="399"/>
      <c r="K173" s="399"/>
      <c r="L173" s="399"/>
      <c r="M173" s="344"/>
      <c r="N173" s="1400"/>
      <c r="O173" s="1400"/>
      <c r="W173" s="2918"/>
      <c r="X173" s="2919"/>
    </row>
    <row r="174" spans="1:24" s="325" customFormat="1" ht="16.149999999999999" customHeight="1">
      <c r="A174" s="470" t="s">
        <v>1858</v>
      </c>
      <c r="B174" s="470" t="s">
        <v>2708</v>
      </c>
      <c r="D174" s="344"/>
      <c r="E174" s="344"/>
      <c r="F174" s="330"/>
      <c r="J174" s="1599">
        <f>IF(J172="",0,+MIN(J170,J172))</f>
        <v>669893.5</v>
      </c>
      <c r="K174" s="1600"/>
      <c r="L174" s="1601"/>
      <c r="N174" s="2939"/>
      <c r="O174" s="2939"/>
      <c r="P174" s="2939"/>
      <c r="Q174" s="2939"/>
      <c r="R174" s="2939"/>
      <c r="S174" s="2939"/>
      <c r="T174" s="2939"/>
      <c r="V174" s="2891"/>
      <c r="W174" s="2921"/>
      <c r="X174" s="2922"/>
    </row>
    <row r="175" spans="1:24" ht="3" customHeight="1"/>
    <row r="176" spans="1:24" ht="6" customHeight="1"/>
    <row r="177" spans="1:24" ht="12" customHeight="1">
      <c r="A177" s="327" t="s">
        <v>1860</v>
      </c>
      <c r="B177" s="353" t="s">
        <v>593</v>
      </c>
      <c r="K177" s="327" t="s">
        <v>549</v>
      </c>
      <c r="L177" s="327" t="s">
        <v>81</v>
      </c>
    </row>
    <row r="178" spans="1:24" ht="201" customHeight="1">
      <c r="A178" s="2940" t="s">
        <v>4378</v>
      </c>
      <c r="B178" s="2941"/>
      <c r="C178" s="2941"/>
      <c r="D178" s="2941"/>
      <c r="E178" s="2941"/>
      <c r="F178" s="2941"/>
      <c r="G178" s="2941"/>
      <c r="H178" s="2941"/>
      <c r="I178" s="2941"/>
      <c r="J178" s="2942"/>
      <c r="K178" s="2943"/>
      <c r="L178" s="2944"/>
      <c r="M178" s="2944"/>
      <c r="N178" s="2944"/>
      <c r="O178" s="2944"/>
      <c r="P178" s="2944"/>
      <c r="Q178" s="2944"/>
      <c r="R178" s="2944"/>
      <c r="S178" s="2944"/>
      <c r="T178" s="2945"/>
      <c r="W178" s="1534" t="s">
        <v>2796</v>
      </c>
      <c r="X178" s="1534"/>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tzuU6clmfDuwmaYt8slRnYzpWvUAS0DwyBNlkWlyurKsx4dS6QNR0mKx7+ULxTMqmdYs/83g8BiPELacG0MqLg==" saltValue="B1h8nuHFkRkLPJcV2Bm6Q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7"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48" zoomScale="136" zoomScaleNormal="136" zoomScaleSheetLayoutView="70" workbookViewId="0">
      <selection activeCell="A48" sqref="A1:XFD1048576"/>
    </sheetView>
  </sheetViews>
  <sheetFormatPr defaultRowHeight="12.75"/>
  <cols>
    <col min="1" max="1" width="10.7109375" style="2946" customWidth="1"/>
    <col min="2" max="2" width="13" style="2946" customWidth="1"/>
    <col min="3" max="3" width="11.140625" style="2946" customWidth="1"/>
    <col min="4" max="4" width="13" style="2946" customWidth="1"/>
    <col min="5" max="5" width="0.7109375" style="2946" customWidth="1"/>
    <col min="6" max="6" width="42.5703125" style="2946" customWidth="1"/>
    <col min="7" max="7" width="0.85546875" style="2946" customWidth="1"/>
    <col min="8" max="8" width="42.5703125" style="2946" customWidth="1"/>
    <col min="9" max="16384" width="9.140625" style="2946"/>
  </cols>
  <sheetData>
    <row r="1" spans="1:14" ht="15.75">
      <c r="A1" s="1654" t="str">
        <f>CONCATENATE("PART FOUR (b) -  OTHER COSTS","  -  ",'Part I-Project Information'!$O$4," - ",'Part I-Project Information'!$F$24,"  -  ",'Part I-Project Information'!$F$28,"  -  ",'Part I-Project Information'!$J$29,",  ","County")</f>
        <v>PART FOUR (b) -  OTHER COSTS  -  2016-010 - The Preserve at Newport  -  Kingsland  -  Camden,  County</v>
      </c>
      <c r="B1" s="1655"/>
      <c r="C1" s="1655"/>
      <c r="D1" s="1655"/>
      <c r="E1" s="1655"/>
      <c r="F1" s="1655"/>
      <c r="G1" s="1655"/>
      <c r="H1" s="1655"/>
      <c r="I1" s="1352"/>
      <c r="J1" s="1352"/>
      <c r="K1" s="1352"/>
      <c r="L1" s="1352"/>
      <c r="M1" s="1352"/>
      <c r="N1" s="1352"/>
    </row>
    <row r="2" spans="1:14" ht="9" customHeight="1"/>
    <row r="3" spans="1:14" ht="57" customHeight="1">
      <c r="A3" s="2947" t="s">
        <v>4194</v>
      </c>
      <c r="B3" s="2948"/>
      <c r="C3" s="2948"/>
      <c r="D3" s="2948"/>
      <c r="E3" s="2948"/>
      <c r="F3" s="2948"/>
      <c r="G3" s="2948"/>
      <c r="H3" s="2949"/>
    </row>
    <row r="4" spans="1:14" ht="6" customHeight="1"/>
    <row r="5" spans="1:14" ht="27" customHeight="1">
      <c r="A5" s="1656" t="s">
        <v>4180</v>
      </c>
      <c r="B5" s="1656"/>
      <c r="C5" s="1656"/>
      <c r="D5" s="1656"/>
      <c r="F5" s="1353" t="s">
        <v>4181</v>
      </c>
      <c r="G5" s="700"/>
      <c r="H5" s="1353" t="s">
        <v>4182</v>
      </c>
    </row>
    <row r="6" spans="1:14" ht="6.75" customHeight="1">
      <c r="A6" s="700"/>
      <c r="B6" s="700"/>
      <c r="C6" s="700"/>
      <c r="D6" s="700"/>
    </row>
    <row r="7" spans="1:14" s="2950" customFormat="1" ht="4.5" customHeight="1">
      <c r="A7" s="1354"/>
      <c r="B7" s="1354"/>
      <c r="C7" s="1354"/>
      <c r="D7" s="1354"/>
      <c r="E7" s="1354"/>
      <c r="F7" s="1354"/>
      <c r="G7" s="1354"/>
    </row>
    <row r="8" spans="1:14" s="2950" customFormat="1">
      <c r="A8" s="1363" t="s">
        <v>104</v>
      </c>
      <c r="B8" s="1355"/>
      <c r="C8" s="1355"/>
      <c r="D8" s="1355"/>
      <c r="E8" s="1355"/>
      <c r="F8" s="1355"/>
      <c r="G8" s="1355"/>
    </row>
    <row r="9" spans="1:14" s="2950" customFormat="1" ht="41.25" customHeight="1">
      <c r="A9" s="1651" t="str">
        <f>'Part IV-Uses of Funds'!$C$14</f>
        <v>&lt;&lt; Enter description here; provide detail &amp; justification in tab Part IV-b &gt;&gt;</v>
      </c>
      <c r="B9" s="1652"/>
      <c r="C9" s="1652"/>
      <c r="D9" s="1653"/>
      <c r="F9" s="2951"/>
      <c r="G9" s="1355"/>
      <c r="H9" s="2951"/>
    </row>
    <row r="10" spans="1:14" s="2950" customFormat="1" ht="41.25" customHeight="1">
      <c r="A10" s="1648"/>
      <c r="B10" s="1649"/>
      <c r="C10" s="1649"/>
      <c r="D10" s="1650"/>
      <c r="F10" s="2952"/>
      <c r="G10" s="1355"/>
      <c r="H10" s="2952"/>
    </row>
    <row r="11" spans="1:14" s="2950" customFormat="1" ht="4.5" customHeight="1">
      <c r="F11" s="2952"/>
      <c r="G11" s="1355"/>
      <c r="H11" s="2952"/>
    </row>
    <row r="12" spans="1:14" s="2950" customFormat="1" ht="15" customHeight="1">
      <c r="A12" s="1362" t="s">
        <v>4185</v>
      </c>
      <c r="B12" s="1361">
        <f>'Part IV-Uses of Funds'!$G$14</f>
        <v>0</v>
      </c>
      <c r="C12" s="1362" t="s">
        <v>1856</v>
      </c>
      <c r="D12" s="1361">
        <f>'Part IV-Uses of Funds'!$J$14+'Part IV-Uses of Funds'!$M$14+'Part IV-Uses of Funds'!$P$14</f>
        <v>0</v>
      </c>
      <c r="F12" s="2952"/>
      <c r="G12" s="1355"/>
      <c r="H12" s="2952"/>
    </row>
    <row r="13" spans="1:14" s="2950" customFormat="1" ht="6" customHeight="1">
      <c r="A13" s="1355"/>
      <c r="B13" s="1356"/>
      <c r="C13" s="1355"/>
      <c r="D13" s="1355"/>
      <c r="F13" s="2952"/>
      <c r="G13" s="1357"/>
      <c r="H13" s="2952"/>
    </row>
    <row r="14" spans="1:14" s="2950" customFormat="1" ht="41.25" customHeight="1">
      <c r="A14" s="1651" t="str">
        <f>'Part IV-Uses of Funds'!$C$15</f>
        <v>&lt;&lt; Enter description here; provide detail &amp; justification in tab Part IV-b &gt;&gt;</v>
      </c>
      <c r="B14" s="1652"/>
      <c r="C14" s="1652"/>
      <c r="D14" s="1653"/>
      <c r="F14" s="2952"/>
      <c r="G14" s="1355"/>
      <c r="H14" s="2952"/>
    </row>
    <row r="15" spans="1:14" s="2950" customFormat="1" ht="41.25" customHeight="1">
      <c r="A15" s="1648"/>
      <c r="B15" s="1649"/>
      <c r="C15" s="1649"/>
      <c r="D15" s="1650"/>
      <c r="F15" s="2952"/>
      <c r="G15" s="1355"/>
      <c r="H15" s="2952"/>
    </row>
    <row r="16" spans="1:14" s="2950" customFormat="1" ht="4.5" customHeight="1">
      <c r="F16" s="2952"/>
      <c r="G16" s="1355"/>
      <c r="H16" s="2952"/>
    </row>
    <row r="17" spans="1:8" s="2950" customFormat="1" ht="15" customHeight="1">
      <c r="A17" s="1362" t="s">
        <v>4185</v>
      </c>
      <c r="B17" s="1361">
        <f>'Part IV-Uses of Funds'!$G$15</f>
        <v>0</v>
      </c>
      <c r="C17" s="1362" t="s">
        <v>1856</v>
      </c>
      <c r="D17" s="1361">
        <f>'Part IV-Uses of Funds'!$J$15+'Part IV-Uses of Funds'!$M$15+'Part IV-Uses of Funds'!$P$15</f>
        <v>0</v>
      </c>
      <c r="F17" s="2952"/>
      <c r="G17" s="1355"/>
      <c r="H17" s="2952"/>
    </row>
    <row r="18" spans="1:8" s="2950" customFormat="1" ht="6" customHeight="1">
      <c r="A18" s="1355"/>
      <c r="B18" s="1356"/>
      <c r="C18" s="1355"/>
      <c r="D18" s="1355"/>
      <c r="F18" s="2952"/>
      <c r="G18" s="1357"/>
      <c r="H18" s="2952"/>
    </row>
    <row r="19" spans="1:8" s="2950" customFormat="1" ht="41.25" customHeight="1">
      <c r="A19" s="1651" t="str">
        <f>'Part IV-Uses of Funds'!$C$16</f>
        <v>&lt;&lt; Enter description here; provide detail &amp; justification in tab Part IV-b &gt;&gt;</v>
      </c>
      <c r="B19" s="1652"/>
      <c r="C19" s="1652"/>
      <c r="D19" s="1653"/>
      <c r="F19" s="2952"/>
      <c r="G19" s="1355"/>
      <c r="H19" s="2952"/>
    </row>
    <row r="20" spans="1:8" s="2950" customFormat="1" ht="41.25" customHeight="1">
      <c r="A20" s="1648"/>
      <c r="B20" s="1649"/>
      <c r="C20" s="1649"/>
      <c r="D20" s="1650"/>
      <c r="F20" s="2952"/>
      <c r="G20" s="1355"/>
      <c r="H20" s="2952"/>
    </row>
    <row r="21" spans="1:8" s="2950" customFormat="1" ht="4.5" customHeight="1">
      <c r="F21" s="2952"/>
      <c r="G21" s="1355"/>
      <c r="H21" s="2952"/>
    </row>
    <row r="22" spans="1:8" s="2950" customFormat="1" ht="15" customHeight="1">
      <c r="A22" s="1362" t="s">
        <v>4185</v>
      </c>
      <c r="B22" s="1361">
        <f>'Part IV-Uses of Funds'!$G$16</f>
        <v>0</v>
      </c>
      <c r="C22" s="1362" t="s">
        <v>1856</v>
      </c>
      <c r="D22" s="1361">
        <f>'Part IV-Uses of Funds'!$J$16+'Part IV-Uses of Funds'!$M$16+'Part IV-Uses of Funds'!$P$16</f>
        <v>0</v>
      </c>
      <c r="F22" s="2952"/>
      <c r="G22" s="1355"/>
      <c r="H22" s="2952"/>
    </row>
    <row r="23" spans="1:8" s="2950" customFormat="1" ht="6" customHeight="1">
      <c r="A23" s="1355"/>
      <c r="B23" s="1356"/>
      <c r="C23" s="1355"/>
      <c r="D23" s="1355"/>
      <c r="F23" s="2953"/>
      <c r="G23" s="1357"/>
      <c r="H23" s="2953"/>
    </row>
    <row r="24" spans="1:8" s="2950" customFormat="1">
      <c r="A24" s="1363" t="s">
        <v>4184</v>
      </c>
      <c r="B24" s="1355"/>
      <c r="C24" s="1355"/>
      <c r="D24" s="1355"/>
      <c r="E24" s="1355"/>
      <c r="F24" s="1355"/>
      <c r="G24" s="1355"/>
    </row>
    <row r="25" spans="1:8" s="2950" customFormat="1" ht="41.25" customHeight="1">
      <c r="A25" s="1651" t="str">
        <f>'Part IV-Uses of Funds'!$C$41</f>
        <v>&lt;&lt; Enter description here; provide detail &amp; justification in tab Part IV-b &gt;&gt;</v>
      </c>
      <c r="B25" s="1652"/>
      <c r="C25" s="1652"/>
      <c r="D25" s="1653"/>
      <c r="E25" s="1355"/>
      <c r="F25" s="2954"/>
      <c r="G25" s="1355"/>
      <c r="H25" s="2954"/>
    </row>
    <row r="26" spans="1:8" s="2950" customFormat="1" ht="41.25" customHeight="1">
      <c r="A26" s="1648"/>
      <c r="B26" s="1649"/>
      <c r="C26" s="1649"/>
      <c r="D26" s="1650"/>
      <c r="E26" s="1355"/>
      <c r="F26" s="2955"/>
      <c r="G26" s="1355"/>
      <c r="H26" s="2955"/>
    </row>
    <row r="27" spans="1:8" s="2950" customFormat="1" ht="4.5" customHeight="1">
      <c r="A27" s="1355"/>
      <c r="B27" s="1355"/>
      <c r="C27" s="1355"/>
      <c r="D27" s="1355"/>
      <c r="E27" s="1355"/>
      <c r="F27" s="2955"/>
      <c r="G27" s="1355"/>
      <c r="H27" s="2955"/>
    </row>
    <row r="28" spans="1:8" s="2950" customFormat="1">
      <c r="A28" s="1362" t="s">
        <v>4185</v>
      </c>
      <c r="B28" s="1361">
        <f>'Part IV-Uses of Funds'!$G$41</f>
        <v>0</v>
      </c>
      <c r="C28" s="1362" t="s">
        <v>1856</v>
      </c>
      <c r="D28" s="1361">
        <f>'Part IV-Uses of Funds'!$J$41+'Part IV-Uses of Funds'!$M$41+'Part IV-Uses of Funds'!$P$41</f>
        <v>0</v>
      </c>
      <c r="E28" s="1355"/>
      <c r="F28" s="2955"/>
      <c r="G28" s="1355"/>
      <c r="H28" s="2955"/>
    </row>
    <row r="29" spans="1:8" s="2950" customFormat="1" ht="6" customHeight="1">
      <c r="A29" s="1355"/>
      <c r="B29" s="1356"/>
      <c r="C29" s="1355"/>
      <c r="D29" s="1355"/>
      <c r="E29" s="1355"/>
      <c r="F29" s="2956"/>
      <c r="G29" s="1357"/>
      <c r="H29" s="2956"/>
    </row>
    <row r="30" spans="1:8" s="2950" customFormat="1">
      <c r="A30" s="1363" t="s">
        <v>752</v>
      </c>
      <c r="B30" s="1355"/>
      <c r="C30" s="1355"/>
      <c r="D30" s="1355"/>
      <c r="E30" s="1355"/>
      <c r="F30" s="1355"/>
      <c r="G30" s="1355"/>
    </row>
    <row r="31" spans="1:8" s="2950" customFormat="1" ht="41.25" customHeight="1">
      <c r="A31" s="1645" t="str">
        <f>'Part IV-Uses of Funds'!$C$62</f>
        <v>&lt;&lt; Enter description here; provide detail &amp; justification in tab Part IV-b &gt;&gt;</v>
      </c>
      <c r="B31" s="1646"/>
      <c r="C31" s="1646"/>
      <c r="D31" s="1647"/>
      <c r="E31" s="1355"/>
      <c r="F31" s="2951"/>
      <c r="G31" s="1355"/>
      <c r="H31" s="2951"/>
    </row>
    <row r="32" spans="1:8" s="2950" customFormat="1" ht="41.25" customHeight="1">
      <c r="A32" s="1648"/>
      <c r="B32" s="1649"/>
      <c r="C32" s="1649"/>
      <c r="D32" s="1650"/>
      <c r="E32" s="1355"/>
      <c r="F32" s="2952"/>
      <c r="G32" s="1355"/>
      <c r="H32" s="2952"/>
    </row>
    <row r="33" spans="1:8" s="2950" customFormat="1" ht="4.5" customHeight="1">
      <c r="A33" s="1355"/>
      <c r="B33" s="1355"/>
      <c r="C33" s="1355"/>
      <c r="D33" s="1355"/>
      <c r="E33" s="1355"/>
      <c r="F33" s="2952"/>
      <c r="G33" s="1355"/>
      <c r="H33" s="2952"/>
    </row>
    <row r="34" spans="1:8" s="2950" customFormat="1" ht="14.25" customHeight="1">
      <c r="A34" s="1362" t="s">
        <v>4185</v>
      </c>
      <c r="B34" s="1361">
        <f>'Part IV-Uses of Funds'!$G$62</f>
        <v>0</v>
      </c>
      <c r="C34" s="1362" t="s">
        <v>1856</v>
      </c>
      <c r="D34" s="1361">
        <f>'Part IV-Uses of Funds'!$J$62+'Part IV-Uses of Funds'!$M$62+'Part IV-Uses of Funds'!$P$62</f>
        <v>0</v>
      </c>
      <c r="E34" s="1355"/>
      <c r="F34" s="2952"/>
      <c r="G34" s="1355"/>
      <c r="H34" s="2952"/>
    </row>
    <row r="35" spans="1:8" s="2950" customFormat="1" ht="6" customHeight="1">
      <c r="D35" s="1355"/>
      <c r="E35" s="1355"/>
      <c r="F35" s="2952"/>
      <c r="G35" s="1357"/>
      <c r="H35" s="2952"/>
    </row>
    <row r="36" spans="1:8" s="2950" customFormat="1" ht="41.25" customHeight="1">
      <c r="A36" s="1645" t="str">
        <f>'Part IV-Uses of Funds'!$C$63</f>
        <v>&lt;&lt; Enter description here; provide detail &amp; justification in tab Part IV-b &gt;&gt;</v>
      </c>
      <c r="B36" s="1646"/>
      <c r="C36" s="1646"/>
      <c r="D36" s="1647"/>
      <c r="E36" s="1355"/>
      <c r="F36" s="2952"/>
      <c r="G36" s="1355"/>
      <c r="H36" s="2952"/>
    </row>
    <row r="37" spans="1:8" s="2950" customFormat="1" ht="41.25" customHeight="1">
      <c r="A37" s="1648"/>
      <c r="B37" s="1649"/>
      <c r="C37" s="1649"/>
      <c r="D37" s="1650"/>
      <c r="E37" s="1355"/>
      <c r="F37" s="2952"/>
      <c r="G37" s="1355"/>
      <c r="H37" s="2952"/>
    </row>
    <row r="38" spans="1:8" s="2950" customFormat="1" ht="4.5" customHeight="1">
      <c r="A38" s="1355"/>
      <c r="B38" s="1355"/>
      <c r="C38" s="1355"/>
      <c r="D38" s="1355"/>
      <c r="E38" s="1355"/>
      <c r="F38" s="2952"/>
      <c r="G38" s="1355"/>
      <c r="H38" s="2952"/>
    </row>
    <row r="39" spans="1:8" s="2950" customFormat="1" ht="14.25" customHeight="1">
      <c r="A39" s="1362" t="s">
        <v>4185</v>
      </c>
      <c r="B39" s="1361">
        <f>'Part IV-Uses of Funds'!$G$63</f>
        <v>0</v>
      </c>
      <c r="C39" s="1362" t="s">
        <v>1856</v>
      </c>
      <c r="D39" s="1361">
        <f>'Part IV-Uses of Funds'!$J$63+'Part IV-Uses of Funds'!$M$63+'Part IV-Uses of Funds'!$P$63</f>
        <v>0</v>
      </c>
      <c r="E39" s="1355"/>
      <c r="F39" s="2952"/>
      <c r="G39" s="1355"/>
      <c r="H39" s="2952"/>
    </row>
    <row r="40" spans="1:8" s="2950" customFormat="1" ht="6" customHeight="1">
      <c r="D40" s="1355"/>
      <c r="E40" s="1355"/>
      <c r="F40" s="2953"/>
      <c r="G40" s="1357"/>
      <c r="H40" s="2953"/>
    </row>
    <row r="41" spans="1:8" s="2950" customFormat="1">
      <c r="A41" s="1363" t="s">
        <v>493</v>
      </c>
      <c r="B41" s="1355"/>
      <c r="C41" s="1355"/>
      <c r="D41" s="1355"/>
      <c r="E41" s="1359"/>
      <c r="F41" s="1359"/>
      <c r="G41" s="1355"/>
    </row>
    <row r="42" spans="1:8" s="2950" customFormat="1" ht="41.25" customHeight="1">
      <c r="A42" s="1645" t="str">
        <f>'Part IV-Uses of Funds'!$C$76</f>
        <v>&lt;&lt; Enter description here; provide detail &amp; justification in tab Part IV-b &gt;&gt;</v>
      </c>
      <c r="B42" s="1646"/>
      <c r="C42" s="1646"/>
      <c r="D42" s="1647"/>
      <c r="F42" s="2954"/>
      <c r="G42" s="1355"/>
      <c r="H42" s="2954"/>
    </row>
    <row r="43" spans="1:8" s="2950" customFormat="1" ht="41.25" customHeight="1">
      <c r="A43" s="1648"/>
      <c r="B43" s="1649"/>
      <c r="C43" s="1649"/>
      <c r="D43" s="1650"/>
      <c r="E43" s="1355"/>
      <c r="F43" s="2955"/>
      <c r="G43" s="1355"/>
      <c r="H43" s="2955"/>
    </row>
    <row r="44" spans="1:8" s="2950" customFormat="1" ht="4.5" customHeight="1">
      <c r="A44" s="1355"/>
      <c r="B44" s="1355"/>
      <c r="C44" s="1355"/>
      <c r="D44" s="1355"/>
      <c r="E44" s="1355"/>
      <c r="F44" s="2955"/>
      <c r="G44" s="1355"/>
      <c r="H44" s="2955"/>
    </row>
    <row r="45" spans="1:8" s="2950" customFormat="1" ht="13.5" customHeight="1">
      <c r="A45" s="1362" t="s">
        <v>4185</v>
      </c>
      <c r="B45" s="1361">
        <f>'Part IV-Uses of Funds'!$G$76</f>
        <v>0</v>
      </c>
      <c r="C45" s="1362" t="s">
        <v>1856</v>
      </c>
      <c r="D45" s="1361">
        <f>'Part IV-Uses of Funds'!$J$76+'Part IV-Uses of Funds'!$M$76+'Part IV-Uses of Funds'!$P$76</f>
        <v>0</v>
      </c>
      <c r="E45" s="1355"/>
      <c r="F45" s="2955"/>
      <c r="G45" s="1355"/>
      <c r="H45" s="2955"/>
    </row>
    <row r="46" spans="1:8" s="2950" customFormat="1" ht="6" customHeight="1">
      <c r="A46" s="1355"/>
      <c r="B46" s="1356"/>
      <c r="C46" s="1355"/>
      <c r="D46" s="1355"/>
      <c r="E46" s="1355"/>
      <c r="F46" s="2956"/>
      <c r="G46" s="1357"/>
      <c r="H46" s="2956"/>
    </row>
    <row r="47" spans="1:8" s="2950" customFormat="1">
      <c r="A47" s="1363" t="s">
        <v>754</v>
      </c>
      <c r="B47" s="1355"/>
      <c r="C47" s="1355"/>
      <c r="D47" s="1355"/>
      <c r="E47" s="1355"/>
      <c r="F47" s="1355"/>
      <c r="G47" s="1355"/>
    </row>
    <row r="48" spans="1:8" s="2950" customFormat="1" ht="41.25" customHeight="1">
      <c r="A48" s="1645" t="str">
        <f>'Part IV-Uses of Funds'!$C$90</f>
        <v>Perm Insurance</v>
      </c>
      <c r="B48" s="1646"/>
      <c r="C48" s="1646"/>
      <c r="D48" s="1647"/>
      <c r="F48" s="2954" t="s">
        <v>4353</v>
      </c>
      <c r="G48" s="1355"/>
    </row>
    <row r="49" spans="1:7" s="2950" customFormat="1" ht="41.25" customHeight="1">
      <c r="A49" s="1648"/>
      <c r="B49" s="1649"/>
      <c r="C49" s="1649"/>
      <c r="D49" s="1650"/>
      <c r="E49" s="1355"/>
      <c r="F49" s="2955"/>
      <c r="G49" s="1355"/>
    </row>
    <row r="50" spans="1:7" s="2950" customFormat="1" ht="4.5" customHeight="1">
      <c r="A50" s="1355"/>
      <c r="B50" s="1355"/>
      <c r="C50" s="1355"/>
      <c r="D50" s="1355"/>
      <c r="E50" s="1355"/>
      <c r="F50" s="2955"/>
      <c r="G50" s="1355"/>
    </row>
    <row r="51" spans="1:7" s="2950" customFormat="1" ht="13.5" customHeight="1">
      <c r="A51" s="1362" t="s">
        <v>4185</v>
      </c>
      <c r="B51" s="1361">
        <f>'Part IV-Uses of Funds'!$G$90</f>
        <v>17700</v>
      </c>
      <c r="C51" s="1358"/>
      <c r="D51" s="1358"/>
      <c r="E51" s="1355"/>
      <c r="F51" s="2955"/>
      <c r="G51" s="1355"/>
    </row>
    <row r="52" spans="1:7" s="2950" customFormat="1" ht="6" customHeight="1">
      <c r="A52" s="1355"/>
      <c r="B52" s="1355"/>
      <c r="C52" s="1355"/>
      <c r="D52" s="1355"/>
      <c r="E52" s="1355"/>
      <c r="F52" s="2956"/>
      <c r="G52" s="1357"/>
    </row>
    <row r="53" spans="1:7" s="2950" customFormat="1">
      <c r="A53" s="1363" t="s">
        <v>4186</v>
      </c>
      <c r="B53" s="1355"/>
      <c r="C53" s="1355"/>
      <c r="D53" s="1355"/>
      <c r="E53" s="1355"/>
      <c r="F53" s="1355"/>
      <c r="G53" s="1355"/>
    </row>
    <row r="54" spans="1:7" s="2950" customFormat="1" ht="41.25" customHeight="1">
      <c r="A54" s="1645" t="str">
        <f>'Part IV-Uses of Funds'!$C$103</f>
        <v>&lt;&lt; Enter description here; provide detail &amp; justification in tab Part IV-b &gt;&gt;</v>
      </c>
      <c r="B54" s="1646"/>
      <c r="C54" s="1646"/>
      <c r="D54" s="1647"/>
      <c r="F54" s="2951"/>
      <c r="G54" s="1355"/>
    </row>
    <row r="55" spans="1:7" s="2950" customFormat="1" ht="41.25" customHeight="1">
      <c r="A55" s="1648"/>
      <c r="B55" s="1649"/>
      <c r="C55" s="1649"/>
      <c r="D55" s="1650"/>
      <c r="E55" s="1355"/>
      <c r="F55" s="2952"/>
      <c r="G55" s="1355"/>
    </row>
    <row r="56" spans="1:7" s="2950" customFormat="1" ht="4.5" customHeight="1">
      <c r="A56" s="1355"/>
      <c r="B56" s="1355"/>
      <c r="C56" s="1355"/>
      <c r="D56" s="1355"/>
      <c r="E56" s="1355"/>
      <c r="F56" s="2952"/>
      <c r="G56" s="1355"/>
    </row>
    <row r="57" spans="1:7" s="2950" customFormat="1">
      <c r="A57" s="1362" t="s">
        <v>4185</v>
      </c>
      <c r="B57" s="1361">
        <f>'Part IV-Uses of Funds'!$G$103</f>
        <v>0</v>
      </c>
      <c r="C57" s="1358"/>
      <c r="D57" s="1358"/>
      <c r="E57" s="1355"/>
      <c r="F57" s="2952"/>
      <c r="G57" s="1355"/>
    </row>
    <row r="58" spans="1:7" s="2950" customFormat="1" ht="6" customHeight="1">
      <c r="A58" s="1354"/>
      <c r="B58" s="1354"/>
      <c r="C58" s="1354"/>
      <c r="D58" s="1354"/>
      <c r="E58" s="1354"/>
      <c r="F58" s="2952"/>
      <c r="G58" s="1357"/>
    </row>
    <row r="59" spans="1:7" s="2950" customFormat="1" ht="41.25" customHeight="1">
      <c r="A59" s="1645" t="str">
        <f>'Part IV-Uses of Funds'!$C$104</f>
        <v>&lt;&lt; Enter description here; provide detail &amp; justification in tab Part IV-b &gt;&gt;</v>
      </c>
      <c r="B59" s="1646"/>
      <c r="C59" s="1646"/>
      <c r="D59" s="1647"/>
      <c r="F59" s="2952"/>
      <c r="G59" s="1355"/>
    </row>
    <row r="60" spans="1:7" s="2950" customFormat="1" ht="41.25" customHeight="1">
      <c r="A60" s="1648"/>
      <c r="B60" s="1649"/>
      <c r="C60" s="1649"/>
      <c r="D60" s="1650"/>
      <c r="E60" s="1355"/>
      <c r="F60" s="2952"/>
      <c r="G60" s="1355"/>
    </row>
    <row r="61" spans="1:7" s="2950" customFormat="1" ht="4.5" customHeight="1">
      <c r="A61" s="1355"/>
      <c r="B61" s="1355"/>
      <c r="C61" s="1355"/>
      <c r="D61" s="1355"/>
      <c r="E61" s="1355"/>
      <c r="F61" s="2952"/>
      <c r="G61" s="1355"/>
    </row>
    <row r="62" spans="1:7" s="2950" customFormat="1">
      <c r="A62" s="1358" t="s">
        <v>103</v>
      </c>
      <c r="B62" s="1361">
        <f>'Part IV-Uses of Funds'!$G$104</f>
        <v>0</v>
      </c>
      <c r="C62" s="1358"/>
      <c r="D62" s="1358"/>
      <c r="E62" s="1355"/>
      <c r="F62" s="2952"/>
      <c r="G62" s="1355"/>
    </row>
    <row r="63" spans="1:7" s="2950" customFormat="1" ht="6" customHeight="1">
      <c r="A63" s="1354"/>
      <c r="B63" s="1354"/>
      <c r="C63" s="1354"/>
      <c r="D63" s="1354"/>
      <c r="E63" s="1354"/>
      <c r="F63" s="2953"/>
      <c r="G63" s="1357"/>
    </row>
    <row r="64" spans="1:7" s="2950" customFormat="1">
      <c r="A64" s="1363" t="s">
        <v>4187</v>
      </c>
      <c r="B64" s="1355"/>
      <c r="C64" s="1355"/>
      <c r="D64" s="1355"/>
      <c r="E64" s="1355"/>
      <c r="F64" s="1355"/>
      <c r="G64" s="1355"/>
    </row>
    <row r="65" spans="1:8" s="2950" customFormat="1" ht="41.25" customHeight="1">
      <c r="A65" s="1645" t="str">
        <f>'Part IV-Uses of Funds'!$C$110</f>
        <v>&lt;&lt; Enter description here; provide detail &amp; justification in tab Part IV-b &gt;&gt;</v>
      </c>
      <c r="B65" s="1646"/>
      <c r="C65" s="1646"/>
      <c r="D65" s="1647"/>
      <c r="F65" s="2954"/>
      <c r="G65" s="1355"/>
    </row>
    <row r="66" spans="1:8" s="2950" customFormat="1" ht="41.25" customHeight="1">
      <c r="A66" s="1648"/>
      <c r="B66" s="1649"/>
      <c r="C66" s="1649"/>
      <c r="D66" s="1650"/>
      <c r="E66" s="1355"/>
      <c r="F66" s="2955"/>
      <c r="G66" s="1355"/>
    </row>
    <row r="67" spans="1:8" s="2950" customFormat="1" ht="4.5" customHeight="1">
      <c r="A67" s="1355"/>
      <c r="B67" s="1355"/>
      <c r="C67" s="1355"/>
      <c r="D67" s="1355"/>
      <c r="E67" s="1355"/>
      <c r="F67" s="2955"/>
      <c r="G67" s="1355"/>
    </row>
    <row r="68" spans="1:8" s="2950" customFormat="1">
      <c r="A68" s="1358" t="s">
        <v>103</v>
      </c>
      <c r="B68" s="1361">
        <f>'Part IV-Uses of Funds'!$G$110</f>
        <v>0</v>
      </c>
      <c r="C68" s="1358"/>
      <c r="D68" s="1358"/>
      <c r="E68" s="1355"/>
      <c r="F68" s="2955"/>
      <c r="G68" s="1355"/>
    </row>
    <row r="69" spans="1:8" s="2950" customFormat="1" ht="6" customHeight="1">
      <c r="A69" s="1355"/>
      <c r="B69" s="1356"/>
      <c r="C69" s="1355"/>
      <c r="D69" s="1355"/>
      <c r="E69" s="1355"/>
      <c r="F69" s="2956"/>
      <c r="G69" s="1357"/>
    </row>
    <row r="70" spans="1:8" s="2950" customFormat="1">
      <c r="A70" s="1363" t="s">
        <v>1358</v>
      </c>
      <c r="B70" s="1355"/>
      <c r="C70" s="1355"/>
      <c r="D70" s="1355"/>
      <c r="E70" s="1355"/>
      <c r="F70" s="1355"/>
      <c r="G70" s="1355"/>
    </row>
    <row r="71" spans="1:8" s="2950" customFormat="1" ht="41.25" customHeight="1">
      <c r="A71" s="1645" t="str">
        <f>'Part IV-Uses of Funds'!$C$124</f>
        <v>&lt;&lt; Enter description here; provide detail &amp; justification in tab Part IV-b &gt;&gt;</v>
      </c>
      <c r="B71" s="1646"/>
      <c r="C71" s="1646"/>
      <c r="D71" s="1647"/>
      <c r="F71" s="2954"/>
      <c r="G71" s="1355"/>
      <c r="H71" s="2954"/>
    </row>
    <row r="72" spans="1:8" s="2950" customFormat="1" ht="41.25" customHeight="1">
      <c r="A72" s="1648"/>
      <c r="B72" s="1649"/>
      <c r="C72" s="1649"/>
      <c r="D72" s="1650"/>
      <c r="E72" s="1355"/>
      <c r="F72" s="2955"/>
      <c r="G72" s="1355"/>
      <c r="H72" s="2955"/>
    </row>
    <row r="73" spans="1:8" s="2950" customFormat="1" ht="4.5" customHeight="1">
      <c r="A73" s="1355"/>
      <c r="B73" s="1355"/>
      <c r="C73" s="1355"/>
      <c r="D73" s="1355"/>
      <c r="E73" s="1355"/>
      <c r="F73" s="2955"/>
      <c r="G73" s="1355"/>
      <c r="H73" s="2955"/>
    </row>
    <row r="74" spans="1:8" s="2950" customFormat="1">
      <c r="A74" s="1358" t="s">
        <v>103</v>
      </c>
      <c r="B74" s="1361">
        <f>'Part IV-Uses of Funds'!$G$124</f>
        <v>0</v>
      </c>
      <c r="C74" s="1358" t="s">
        <v>4183</v>
      </c>
      <c r="D74" s="1361">
        <f>'Part IV-Uses of Funds'!$J$124+'Part IV-Uses of Funds'!$M$124+'Part IV-Uses of Funds'!$P$124</f>
        <v>0</v>
      </c>
      <c r="E74" s="1355"/>
      <c r="F74" s="2955"/>
      <c r="G74" s="1355"/>
      <c r="H74" s="2955"/>
    </row>
    <row r="75" spans="1:8" s="2950" customFormat="1" ht="6" customHeight="1">
      <c r="A75" s="1355"/>
      <c r="B75" s="1356"/>
      <c r="C75" s="1355"/>
      <c r="D75" s="1355"/>
      <c r="E75" s="1355"/>
      <c r="F75" s="2956"/>
      <c r="G75" s="1357"/>
      <c r="H75" s="2956"/>
    </row>
    <row r="76" spans="1:8" s="2950" customFormat="1">
      <c r="A76" s="1363" t="s">
        <v>4188</v>
      </c>
      <c r="B76" s="1356"/>
      <c r="C76" s="1355"/>
      <c r="D76" s="1355"/>
      <c r="E76" s="1355"/>
      <c r="F76" s="1355"/>
      <c r="G76" s="1357"/>
    </row>
    <row r="77" spans="1:8" s="2950" customFormat="1" ht="41.25" customHeight="1">
      <c r="A77" s="1645" t="str">
        <f>'Part IV-Uses of Funds'!$C$128</f>
        <v>&lt;&lt; Enter description here; provide detail &amp; justification in tab Part IV-b &gt;&gt;</v>
      </c>
      <c r="B77" s="1646"/>
      <c r="C77" s="1646"/>
      <c r="D77" s="1647"/>
      <c r="F77" s="2954"/>
      <c r="G77" s="1355"/>
      <c r="H77" s="2954"/>
    </row>
    <row r="78" spans="1:8" s="2950" customFormat="1" ht="41.25" customHeight="1">
      <c r="A78" s="1648"/>
      <c r="B78" s="1649"/>
      <c r="C78" s="1649"/>
      <c r="D78" s="1650"/>
      <c r="E78" s="1355"/>
      <c r="F78" s="2955"/>
      <c r="G78" s="1355"/>
      <c r="H78" s="2955"/>
    </row>
    <row r="79" spans="1:8" s="2950" customFormat="1" ht="4.5" customHeight="1">
      <c r="A79" s="1355"/>
      <c r="B79" s="1355"/>
      <c r="C79" s="1355"/>
      <c r="D79" s="1355"/>
      <c r="E79" s="1355"/>
      <c r="F79" s="2955"/>
      <c r="G79" s="1355"/>
      <c r="H79" s="2955"/>
    </row>
    <row r="80" spans="1:8" s="2950" customFormat="1">
      <c r="A80" s="1358" t="s">
        <v>103</v>
      </c>
      <c r="B80" s="1361">
        <f>'Part IV-Uses of Funds'!$G$128</f>
        <v>0</v>
      </c>
      <c r="C80" s="1358" t="s">
        <v>4183</v>
      </c>
      <c r="D80" s="1361">
        <f>'Part IV-Uses of Funds'!$J$128+'Part IV-Uses of Funds'!$M$128+'Part IV-Uses of Funds'!$P$128</f>
        <v>0</v>
      </c>
      <c r="E80" s="1360"/>
      <c r="F80" s="2955"/>
      <c r="G80" s="1355"/>
      <c r="H80" s="2955"/>
    </row>
    <row r="81" spans="4:8" s="2950" customFormat="1" ht="6" customHeight="1">
      <c r="D81" s="1383"/>
      <c r="E81" s="2957"/>
      <c r="F81" s="2956"/>
      <c r="G81" s="1357"/>
      <c r="H81" s="2956"/>
    </row>
    <row r="82" spans="4:8" s="2950" customFormat="1"/>
    <row r="83" spans="4:8" s="2950" customFormat="1"/>
    <row r="84" spans="4:8" s="2950" customFormat="1"/>
    <row r="85" spans="4:8" s="2950" customFormat="1"/>
    <row r="86" spans="4:8" s="2950" customFormat="1"/>
    <row r="87" spans="4:8" s="2950" customFormat="1"/>
    <row r="88" spans="4:8" s="2950" customFormat="1"/>
    <row r="89" spans="4:8" s="2950" customFormat="1"/>
    <row r="90" spans="4:8" s="2950" customFormat="1"/>
    <row r="91" spans="4:8" s="2950" customFormat="1"/>
    <row r="92" spans="4:8" s="2950" customFormat="1"/>
  </sheetData>
  <sheetProtection algorithmName="SHA-512" hashValue="zK3Twh5oPqQn6x6u3PiOj12v0ifH+bbJStlJeZUgHUiWNjF6mz8UcY0312I3w0f8SwZf3ys3ZYsrgaDkkFOlAQ==" saltValue="Va6g6T1NgdhB9iLjrTRpA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0" t="str">
        <f>CONCATENATE("PART FIVE - UTILITY ALLOWANCES","  -  ",'Part I-Project Information'!$O$4," ",'Part I-Project Information'!$F$24,", ",'Part I-Project Information'!F28,", ",'Part I-Project Information'!J29," County")</f>
        <v>PART FIVE - UTILITY ALLOWANCES  -  2016-010 The Preserve at Newport, Kingsland, Camden County</v>
      </c>
      <c r="B1" s="1661"/>
      <c r="C1" s="1661"/>
      <c r="D1" s="1661"/>
      <c r="E1" s="1661"/>
      <c r="F1" s="1661"/>
      <c r="G1" s="1661"/>
      <c r="H1" s="1661"/>
      <c r="I1" s="1661"/>
      <c r="J1" s="1661"/>
      <c r="K1" s="1661"/>
      <c r="L1" s="1661"/>
      <c r="M1" s="1661"/>
      <c r="N1" s="10"/>
      <c r="O1" s="10"/>
      <c r="P1" s="10"/>
      <c r="Q1" s="10"/>
      <c r="R1" s="17"/>
      <c r="S1" s="17"/>
      <c r="T1" s="17"/>
    </row>
    <row r="2" spans="1:20" s="8" customFormat="1" ht="13.5" thickBot="1"/>
    <row r="3" spans="1:20" s="8" customFormat="1" ht="13.5" thickBot="1">
      <c r="B3" s="1464" t="s">
        <v>4195</v>
      </c>
      <c r="C3" s="1465"/>
      <c r="D3" s="1466"/>
      <c r="F3" s="4" t="s">
        <v>534</v>
      </c>
      <c r="I3" s="1425" t="str">
        <f>VLOOKUP('Part I-Project Information'!$J$29,'DCA Underwriting Assumptions'!$G$141:$H$300,2)</f>
        <v>South</v>
      </c>
    </row>
    <row r="4" spans="1:20" s="8" customFormat="1"/>
    <row r="5" spans="1:20" s="8" customFormat="1">
      <c r="A5" s="14" t="s">
        <v>640</v>
      </c>
      <c r="B5" s="14" t="s">
        <v>2306</v>
      </c>
      <c r="F5" s="8" t="s">
        <v>2606</v>
      </c>
      <c r="I5" s="2958" t="s">
        <v>4274</v>
      </c>
      <c r="J5" s="2959"/>
      <c r="K5" s="2959"/>
      <c r="L5" s="2959"/>
      <c r="M5" s="2960"/>
    </row>
    <row r="6" spans="1:20" s="8" customFormat="1" ht="13.15" customHeight="1">
      <c r="A6" s="14"/>
      <c r="F6" s="8" t="s">
        <v>660</v>
      </c>
      <c r="H6" s="28"/>
      <c r="I6" s="2961">
        <v>42216</v>
      </c>
      <c r="J6" s="2962"/>
      <c r="K6" s="65" t="s">
        <v>559</v>
      </c>
      <c r="L6" s="2963" t="s">
        <v>4275</v>
      </c>
      <c r="M6" s="2960"/>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09" t="s">
        <v>666</v>
      </c>
      <c r="G9" s="1409" t="s">
        <v>1920</v>
      </c>
      <c r="I9" s="267" t="s">
        <v>587</v>
      </c>
      <c r="J9" s="268">
        <v>1</v>
      </c>
      <c r="K9" s="268">
        <v>2</v>
      </c>
      <c r="L9" s="268">
        <v>3</v>
      </c>
      <c r="M9" s="268">
        <v>4</v>
      </c>
    </row>
    <row r="10" spans="1:20" s="8" customFormat="1">
      <c r="B10" s="269" t="s">
        <v>1922</v>
      </c>
      <c r="C10" s="270"/>
      <c r="D10" s="2964" t="s">
        <v>4276</v>
      </c>
      <c r="E10" s="2965"/>
      <c r="F10" s="2966" t="s">
        <v>456</v>
      </c>
      <c r="G10" s="2966"/>
      <c r="H10" s="271"/>
      <c r="I10" s="2967"/>
      <c r="J10" s="2967">
        <v>19</v>
      </c>
      <c r="K10" s="2967">
        <v>21</v>
      </c>
      <c r="L10" s="2967">
        <v>22</v>
      </c>
      <c r="M10" s="2967"/>
      <c r="O10" s="1657" t="s">
        <v>4152</v>
      </c>
      <c r="P10" s="1657"/>
    </row>
    <row r="11" spans="1:20" s="8" customFormat="1">
      <c r="B11" s="272" t="s">
        <v>484</v>
      </c>
      <c r="C11" s="273"/>
      <c r="D11" s="272" t="s">
        <v>1653</v>
      </c>
      <c r="E11" s="273"/>
      <c r="F11" s="2968" t="s">
        <v>456</v>
      </c>
      <c r="G11" s="2968"/>
      <c r="H11" s="274"/>
      <c r="I11" s="2969"/>
      <c r="J11" s="2969">
        <v>13</v>
      </c>
      <c r="K11" s="2969">
        <v>20</v>
      </c>
      <c r="L11" s="2970">
        <v>28</v>
      </c>
      <c r="M11" s="2970"/>
      <c r="O11" s="1657"/>
      <c r="P11" s="1657"/>
    </row>
    <row r="12" spans="1:20" s="8" customFormat="1">
      <c r="B12" s="272" t="s">
        <v>1654</v>
      </c>
      <c r="C12" s="273"/>
      <c r="D12" s="2971" t="s">
        <v>1653</v>
      </c>
      <c r="E12" s="2972"/>
      <c r="F12" s="2968" t="s">
        <v>456</v>
      </c>
      <c r="G12" s="2968"/>
      <c r="H12" s="274"/>
      <c r="I12" s="2969"/>
      <c r="J12" s="2969">
        <v>6</v>
      </c>
      <c r="K12" s="2969">
        <v>8</v>
      </c>
      <c r="L12" s="2970">
        <v>11</v>
      </c>
      <c r="M12" s="2970"/>
      <c r="O12" s="1657"/>
      <c r="P12" s="1657"/>
    </row>
    <row r="13" spans="1:20" s="8" customFormat="1">
      <c r="B13" s="272" t="s">
        <v>1655</v>
      </c>
      <c r="C13" s="273"/>
      <c r="D13" s="2971" t="s">
        <v>1653</v>
      </c>
      <c r="E13" s="2972"/>
      <c r="F13" s="2968" t="s">
        <v>456</v>
      </c>
      <c r="G13" s="2968"/>
      <c r="H13" s="274"/>
      <c r="I13" s="2969"/>
      <c r="J13" s="2969">
        <v>13</v>
      </c>
      <c r="K13" s="2969">
        <v>17</v>
      </c>
      <c r="L13" s="2970">
        <v>21</v>
      </c>
      <c r="M13" s="2970"/>
      <c r="O13" s="1657"/>
      <c r="P13" s="1657"/>
    </row>
    <row r="14" spans="1:20" s="8" customFormat="1">
      <c r="B14" s="272" t="s">
        <v>1656</v>
      </c>
      <c r="C14" s="273"/>
      <c r="D14" s="272" t="s">
        <v>1653</v>
      </c>
      <c r="E14" s="275"/>
      <c r="F14" s="2968" t="s">
        <v>456</v>
      </c>
      <c r="G14" s="2968"/>
      <c r="H14" s="274"/>
      <c r="I14" s="2969"/>
      <c r="J14" s="2969">
        <v>22</v>
      </c>
      <c r="K14" s="2969">
        <v>31</v>
      </c>
      <c r="L14" s="2970">
        <v>39</v>
      </c>
      <c r="M14" s="2970"/>
      <c r="O14" s="1657"/>
      <c r="P14" s="1657"/>
    </row>
    <row r="15" spans="1:20" s="8" customFormat="1">
      <c r="B15" s="272" t="s">
        <v>1420</v>
      </c>
      <c r="C15" s="273"/>
      <c r="D15" s="844" t="s">
        <v>3728</v>
      </c>
      <c r="E15" s="2973" t="s">
        <v>3153</v>
      </c>
      <c r="F15" s="2968" t="s">
        <v>456</v>
      </c>
      <c r="G15" s="2968"/>
      <c r="H15" s="274"/>
      <c r="I15" s="2969"/>
      <c r="J15" s="2969">
        <v>46</v>
      </c>
      <c r="K15" s="2969">
        <v>60</v>
      </c>
      <c r="L15" s="2970">
        <v>84</v>
      </c>
      <c r="M15" s="2970"/>
      <c r="O15" s="1657"/>
      <c r="P15" s="1657"/>
    </row>
    <row r="16" spans="1:20" s="8" customFormat="1">
      <c r="B16" s="276" t="s">
        <v>1921</v>
      </c>
      <c r="C16" s="277"/>
      <c r="D16" s="276"/>
      <c r="E16" s="243"/>
      <c r="F16" s="2974"/>
      <c r="G16" s="2974" t="s">
        <v>456</v>
      </c>
      <c r="H16" s="278"/>
      <c r="I16" s="2975"/>
      <c r="J16" s="2975"/>
      <c r="K16" s="2975"/>
      <c r="L16" s="2976"/>
      <c r="M16" s="2976"/>
      <c r="O16" s="1657"/>
      <c r="P16" s="1657"/>
    </row>
    <row r="17" spans="1:19" s="8" customFormat="1">
      <c r="B17" s="266" t="s">
        <v>1057</v>
      </c>
      <c r="D17" s="28"/>
      <c r="E17" s="28"/>
      <c r="F17" s="85"/>
      <c r="G17" s="85"/>
      <c r="I17" s="1409">
        <f>IF(SUM(I10:I16)=0,0,IF(OR($D10="&lt;&lt;Select Fuel &gt;&gt;",$D12="&lt;&lt;Select Fuel &gt;&gt;",$D13="&lt;&lt;Select Fuel &gt;&gt;"),"Select Fuel",IF($E15="&lt;Select&gt;","Submeter?",SUM(I10:I16))))</f>
        <v>0</v>
      </c>
      <c r="J17" s="1409">
        <f>IF(SUM(J10:J16)=0,0,IF(OR($D10="&lt;&lt;Select Fuel &gt;&gt;",$D12="&lt;&lt;Select Fuel &gt;&gt;",$D13="&lt;&lt;Select Fuel &gt;&gt;"),"Select Fuel",IF($E15="&lt;Select&gt;","Submeter?",SUM(J10:J16))))</f>
        <v>119</v>
      </c>
      <c r="K17" s="1409">
        <f>IF(SUM(K10:K16)=0,0,IF(OR($D10="&lt;&lt;Select Fuel &gt;&gt;",$D12="&lt;&lt;Select Fuel &gt;&gt;",$D13="&lt;&lt;Select Fuel &gt;&gt;"),"Select Fuel",IF($E15="&lt;Select&gt;","Submeter?",SUM(K10:K16))))</f>
        <v>157</v>
      </c>
      <c r="L17" s="1409">
        <f>IF(SUM(L10:L16)=0,0,IF(OR($D10="&lt;&lt;Select Fuel &gt;&gt;",$D12="&lt;&lt;Select Fuel &gt;&gt;",$D13="&lt;&lt;Select Fuel &gt;&gt;"),"Select Fuel",IF($E15="&lt;Select&gt;","Submeter?",SUM(L10:L16))))</f>
        <v>205</v>
      </c>
      <c r="M17" s="1409">
        <f>IF(SUM(M10:M16)=0,0,IF(OR($D10="&lt;&lt;Select Fuel &gt;&gt;",$D12="&lt;&lt;Select Fuel &gt;&gt;",$D13="&lt;&lt;Select Fuel &gt;&gt;"),"Select Fuel",IF($E15="&lt;Select&gt;","Submeter?",SUM(M10:M16))))</f>
        <v>0</v>
      </c>
    </row>
    <row r="18" spans="1:19" s="8" customFormat="1">
      <c r="B18" s="480" t="s">
        <v>3729</v>
      </c>
      <c r="D18" s="28"/>
      <c r="E18" s="28"/>
      <c r="F18" s="85"/>
      <c r="G18" s="85"/>
      <c r="I18" s="1409"/>
      <c r="J18" s="1409"/>
      <c r="K18" s="1409"/>
      <c r="L18" s="1409"/>
      <c r="M18" s="1409"/>
    </row>
    <row r="19" spans="1:19" s="8" customFormat="1" ht="11.25" customHeight="1">
      <c r="M19" s="28"/>
      <c r="N19" s="28"/>
      <c r="O19" s="28"/>
      <c r="P19" s="28"/>
      <c r="Q19" s="28"/>
      <c r="R19" s="28"/>
      <c r="S19" s="28"/>
    </row>
    <row r="20" spans="1:19" s="8" customFormat="1">
      <c r="A20" s="14" t="s">
        <v>770</v>
      </c>
      <c r="B20" s="14" t="s">
        <v>2307</v>
      </c>
      <c r="F20" s="8" t="s">
        <v>2606</v>
      </c>
      <c r="I20" s="2963"/>
      <c r="J20" s="2959"/>
      <c r="K20" s="2959"/>
      <c r="L20" s="2959"/>
      <c r="M20" s="2960"/>
    </row>
    <row r="21" spans="1:19" s="8" customFormat="1" ht="13.15" customHeight="1">
      <c r="A21" s="14"/>
      <c r="B21" s="14"/>
      <c r="F21" s="8" t="s">
        <v>660</v>
      </c>
      <c r="H21" s="28"/>
      <c r="I21" s="2961"/>
      <c r="J21" s="2962"/>
      <c r="K21" s="65" t="s">
        <v>559</v>
      </c>
      <c r="L21" s="2963"/>
      <c r="M21" s="2960"/>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09" t="s">
        <v>666</v>
      </c>
      <c r="G24" s="1409" t="s">
        <v>1920</v>
      </c>
      <c r="I24" s="267" t="s">
        <v>587</v>
      </c>
      <c r="J24" s="268">
        <v>1</v>
      </c>
      <c r="K24" s="268">
        <v>2</v>
      </c>
      <c r="L24" s="268">
        <v>3</v>
      </c>
      <c r="M24" s="268">
        <v>4</v>
      </c>
    </row>
    <row r="25" spans="1:19" s="8" customFormat="1">
      <c r="B25" s="269" t="s">
        <v>1922</v>
      </c>
      <c r="C25" s="270"/>
      <c r="D25" s="2964" t="s">
        <v>1888</v>
      </c>
      <c r="E25" s="2965"/>
      <c r="F25" s="2966"/>
      <c r="G25" s="2966"/>
      <c r="H25" s="271"/>
      <c r="I25" s="2967"/>
      <c r="J25" s="2967"/>
      <c r="K25" s="2967"/>
      <c r="L25" s="2967"/>
      <c r="M25" s="2967"/>
      <c r="O25" s="1657" t="s">
        <v>4152</v>
      </c>
      <c r="P25" s="1657"/>
    </row>
    <row r="26" spans="1:19" s="8" customFormat="1">
      <c r="B26" s="272" t="s">
        <v>484</v>
      </c>
      <c r="C26" s="273"/>
      <c r="D26" s="272" t="s">
        <v>1653</v>
      </c>
      <c r="E26" s="273"/>
      <c r="F26" s="2968"/>
      <c r="G26" s="2968"/>
      <c r="H26" s="274"/>
      <c r="I26" s="2969"/>
      <c r="J26" s="2969"/>
      <c r="K26" s="2969"/>
      <c r="L26" s="2970"/>
      <c r="M26" s="2970"/>
      <c r="O26" s="1657"/>
      <c r="P26" s="1657"/>
    </row>
    <row r="27" spans="1:19" s="8" customFormat="1">
      <c r="B27" s="272" t="s">
        <v>1654</v>
      </c>
      <c r="C27" s="273"/>
      <c r="D27" s="2971" t="s">
        <v>1888</v>
      </c>
      <c r="E27" s="2972"/>
      <c r="F27" s="2968"/>
      <c r="G27" s="2968"/>
      <c r="H27" s="274"/>
      <c r="I27" s="2969"/>
      <c r="J27" s="2969"/>
      <c r="K27" s="2969"/>
      <c r="L27" s="2970"/>
      <c r="M27" s="2970"/>
      <c r="O27" s="1657"/>
      <c r="P27" s="1657"/>
    </row>
    <row r="28" spans="1:19" s="8" customFormat="1">
      <c r="B28" s="272" t="s">
        <v>1655</v>
      </c>
      <c r="C28" s="273"/>
      <c r="D28" s="2971" t="s">
        <v>1888</v>
      </c>
      <c r="E28" s="2972"/>
      <c r="F28" s="2968"/>
      <c r="G28" s="2968"/>
      <c r="H28" s="274"/>
      <c r="I28" s="2969"/>
      <c r="J28" s="2969"/>
      <c r="K28" s="2969"/>
      <c r="L28" s="2970"/>
      <c r="M28" s="2970"/>
      <c r="O28" s="1657"/>
      <c r="P28" s="1657"/>
    </row>
    <row r="29" spans="1:19" s="8" customFormat="1">
      <c r="B29" s="272" t="s">
        <v>1656</v>
      </c>
      <c r="C29" s="273"/>
      <c r="D29" s="272" t="s">
        <v>1653</v>
      </c>
      <c r="E29" s="275"/>
      <c r="F29" s="2968"/>
      <c r="G29" s="2968"/>
      <c r="H29" s="274"/>
      <c r="I29" s="2969"/>
      <c r="J29" s="2969"/>
      <c r="K29" s="2969"/>
      <c r="L29" s="2970"/>
      <c r="M29" s="2970"/>
      <c r="O29" s="1657"/>
      <c r="P29" s="1657"/>
    </row>
    <row r="30" spans="1:19" s="8" customFormat="1">
      <c r="B30" s="272" t="s">
        <v>1420</v>
      </c>
      <c r="C30" s="273"/>
      <c r="D30" s="844" t="s">
        <v>3728</v>
      </c>
      <c r="E30" s="2973" t="s">
        <v>207</v>
      </c>
      <c r="F30" s="2968"/>
      <c r="G30" s="2968"/>
      <c r="H30" s="274"/>
      <c r="I30" s="2969"/>
      <c r="J30" s="2969"/>
      <c r="K30" s="2969"/>
      <c r="L30" s="2970"/>
      <c r="M30" s="2970"/>
      <c r="O30" s="1657"/>
      <c r="P30" s="1657"/>
    </row>
    <row r="31" spans="1:19" s="8" customFormat="1">
      <c r="B31" s="276" t="s">
        <v>1921</v>
      </c>
      <c r="C31" s="277"/>
      <c r="D31" s="276"/>
      <c r="E31" s="243"/>
      <c r="F31" s="2974"/>
      <c r="G31" s="2974"/>
      <c r="H31" s="278"/>
      <c r="I31" s="2975"/>
      <c r="J31" s="2975"/>
      <c r="K31" s="2975"/>
      <c r="L31" s="2976"/>
      <c r="M31" s="2976"/>
      <c r="O31" s="1657"/>
      <c r="P31" s="1657"/>
    </row>
    <row r="32" spans="1:19" s="8" customFormat="1">
      <c r="B32" s="266" t="s">
        <v>1057</v>
      </c>
      <c r="D32" s="28"/>
      <c r="E32" s="28"/>
      <c r="F32" s="85"/>
      <c r="G32" s="85"/>
      <c r="I32" s="1409">
        <f>IF(SUM(I25:I31)=0,0,IF(OR($D25="&lt;&lt;Select Fuel &gt;&gt;",$D27="&lt;&lt;Select Fuel &gt;&gt;",$D28="&lt;&lt;Select Fuel &gt;&gt;"),"Select Fuel",IF($E30="&lt;Select&gt;","Submeter?",SUM(I25:I31))))</f>
        <v>0</v>
      </c>
      <c r="J32" s="1409">
        <f>IF(SUM(J25:J31)=0,0,IF(OR($D25="&lt;&lt;Select Fuel &gt;&gt;",$D27="&lt;&lt;Select Fuel &gt;&gt;",$D28="&lt;&lt;Select Fuel &gt;&gt;"),"Select Fuel",IF($E30="&lt;Select&gt;","Submeter?",SUM(J25:J31))))</f>
        <v>0</v>
      </c>
      <c r="K32" s="1409">
        <f>IF(SUM(K25:K31)=0,0,IF(OR($D25="&lt;&lt;Select Fuel &gt;&gt;",$D27="&lt;&lt;Select Fuel &gt;&gt;",$D28="&lt;&lt;Select Fuel &gt;&gt;"),"Select Fuel",IF($E30="&lt;Select&gt;","Submeter?",SUM(K25:K31))))</f>
        <v>0</v>
      </c>
      <c r="L32" s="1409">
        <f>IF(SUM(L25:L31)=0,0,IF(OR($D25="&lt;&lt;Select Fuel &gt;&gt;",$D27="&lt;&lt;Select Fuel &gt;&gt;",$D28="&lt;&lt;Select Fuel &gt;&gt;"),"Select Fuel",IF($E30="&lt;Select&gt;","Submeter?",SUM(L25:L31))))</f>
        <v>0</v>
      </c>
      <c r="M32" s="1409">
        <f>IF(SUM(M25:M31)=0,0,IF(OR($D25="&lt;&lt;Select Fuel &gt;&gt;",$D27="&lt;&lt;Select Fuel &gt;&gt;",$D28="&lt;&lt;Select Fuel &gt;&gt;"),"Select Fuel",IF($E30="&lt;Select&gt;","Submeter?",SUM(M25:M31))))</f>
        <v>0</v>
      </c>
    </row>
    <row r="33" spans="1:19" s="8" customFormat="1">
      <c r="B33" s="480" t="s">
        <v>3729</v>
      </c>
      <c r="D33" s="28"/>
      <c r="E33" s="28"/>
      <c r="F33" s="85"/>
      <c r="G33" s="85"/>
      <c r="I33" s="1409"/>
      <c r="J33" s="1409"/>
      <c r="K33" s="1409"/>
      <c r="L33" s="1409"/>
      <c r="M33" s="1409"/>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39.75" customHeight="1">
      <c r="B38" s="2977" t="s">
        <v>4277</v>
      </c>
      <c r="C38" s="2978"/>
      <c r="D38" s="2978"/>
      <c r="E38" s="2978"/>
      <c r="F38" s="2978"/>
      <c r="G38" s="2978"/>
      <c r="H38" s="2978"/>
      <c r="I38" s="2978"/>
      <c r="J38" s="2978"/>
      <c r="K38" s="2978"/>
      <c r="L38" s="2978"/>
      <c r="M38" s="2979"/>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80"/>
      <c r="C41" s="2981"/>
      <c r="D41" s="2981"/>
      <c r="E41" s="2981"/>
      <c r="F41" s="2981"/>
      <c r="G41" s="2981"/>
      <c r="H41" s="2981"/>
      <c r="I41" s="2981"/>
      <c r="J41" s="2981"/>
      <c r="K41" s="2981"/>
      <c r="L41" s="2981"/>
      <c r="M41" s="2982"/>
      <c r="N41" s="28"/>
      <c r="O41" s="1444"/>
      <c r="P41" s="1444"/>
      <c r="Q41" s="1444"/>
      <c r="R41" s="1444"/>
      <c r="S41" s="1444"/>
    </row>
  </sheetData>
  <sheetProtection algorithmName="SHA-512" hashValue="iUzahM08DarMAwHl8LposDY6HDWOGV/6uLWQyNGm9QJzwUOpz0XjsAxPGEhsbWMqvCRybxjXL4NfhLkYRHZQzQ==" saltValue="yZhdRi/ROP1yE+znIRW88A=="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2016-06-08T14:04:32Z</cp:lastPrinted>
  <dcterms:created xsi:type="dcterms:W3CDTF">2005-09-15T20:51:37Z</dcterms:created>
  <dcterms:modified xsi:type="dcterms:W3CDTF">2016-07-27T20:36:44Z</dcterms:modified>
</cp:coreProperties>
</file>